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Home Loans/6. 15 May 2026 (RBA)/Servicing Calculator/"/>
    </mc:Choice>
  </mc:AlternateContent>
  <xr:revisionPtr revIDLastSave="318" documentId="8_{6BFAFFAE-F2FE-4986-B470-46BB1CDD5AD0}" xr6:coauthVersionLast="47" xr6:coauthVersionMax="47" xr10:uidLastSave="{DDD78509-CD0F-458E-83B9-C84D83C93435}"/>
  <workbookProtection workbookAlgorithmName="SHA-512" workbookHashValue="75oavU2zYVSu/QmS/F4ikPgNQjFwDa8rOXHEAEQcFbYWIhMV1eoXu7qjPN7nIO6iN7C8qamhxYASbBH3G510hw==" workbookSaltValue="1X4XnZ0TDAxo5iNZYQrUww==" workbookSpinCount="100000" lockStructure="1"/>
  <bookViews>
    <workbookView xWindow="-110" yWindow="-110" windowWidth="38620" windowHeight="21100" xr2:uid="{EEDD34B8-081D-4496-B484-0B0F9C6A3412}"/>
  </bookViews>
  <sheets>
    <sheet name="Servicing Calc" sheetId="9" r:id="rId1"/>
    <sheet name="Additional Borrowers" sheetId="10" r:id="rId2"/>
    <sheet name="GL&amp;EE TOOL" sheetId="4" r:id="rId3"/>
    <sheet name="Loan Fees Calculator" sheetId="17" state="hidden" r:id="rId4"/>
    <sheet name="Exchange Rates" sheetId="8" state="hidden" r:id="rId5"/>
    <sheet name="Assessment Rate Table" sheetId="32" state="hidden" r:id="rId6"/>
    <sheet name="LVR Calc" sheetId="27" state="hidden" r:id="rId7"/>
    <sheet name="repayment" sheetId="14" state="hidden" r:id="rId8"/>
    <sheet name="INDEX" sheetId="24" state="hidden" r:id="rId9"/>
    <sheet name="Comparison Calculator" sheetId="11" state="hidden" r:id="rId10"/>
    <sheet name="Risk Fee Matrix2" sheetId="12" state="hidden" r:id="rId11"/>
    <sheet name="Brighten Product" sheetId="18" state="hidden" r:id="rId12"/>
    <sheet name="Risk Fee Matrix" sheetId="19" state="hidden" r:id="rId13"/>
    <sheet name="Rates (2)" sheetId="20" state="hidden" r:id="rId14"/>
    <sheet name="Rates" sheetId="13" state="hidden"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8" i="32" l="1" a="1"/>
  <c r="T28" i="32" s="1"/>
  <c r="T27" i="32" a="1"/>
  <c r="T27" i="32" s="1"/>
  <c r="T23" i="32" a="1"/>
  <c r="T23" i="32" s="1"/>
  <c r="O13" i="9" l="1"/>
  <c r="T25" i="32" s="1" a="1"/>
  <c r="T25" i="32" s="1"/>
  <c r="N23" i="32" a="1"/>
  <c r="N23" i="32" s="1"/>
  <c r="O14" i="9" l="1"/>
  <c r="T29" i="32" a="1"/>
  <c r="T29" i="32" s="1"/>
  <c r="T30" i="32" s="1"/>
  <c r="I23" i="32" a="1"/>
  <c r="I23" i="32" s="1"/>
  <c r="D23" i="32" a="1"/>
  <c r="D23" i="32" s="1"/>
  <c r="B49" i="4"/>
  <c r="B58" i="10"/>
  <c r="AA59" i="9"/>
  <c r="Z69" i="9"/>
  <c r="AC67" i="9" s="1"/>
  <c r="AT3" i="10"/>
  <c r="AT5" i="9" s="1"/>
  <c r="AT9" i="9" s="1"/>
  <c r="D170" i="19"/>
  <c r="C170" i="19"/>
  <c r="D169" i="19"/>
  <c r="C169" i="19"/>
  <c r="D168" i="19"/>
  <c r="C168" i="19"/>
  <c r="D167" i="19"/>
  <c r="C167" i="19"/>
  <c r="D145" i="19"/>
  <c r="C145" i="19"/>
  <c r="D144" i="19"/>
  <c r="C144" i="19"/>
  <c r="D143" i="19"/>
  <c r="C143" i="19"/>
  <c r="D142" i="19"/>
  <c r="C142" i="19"/>
  <c r="B142" i="19"/>
  <c r="B111" i="19"/>
  <c r="D108" i="19"/>
  <c r="D107" i="19"/>
  <c r="D106" i="19"/>
  <c r="D105" i="19"/>
  <c r="D80" i="19"/>
  <c r="C80" i="19"/>
  <c r="D79" i="19"/>
  <c r="C79" i="19"/>
  <c r="D73" i="19"/>
  <c r="C73" i="19"/>
  <c r="D72" i="19"/>
  <c r="C72" i="19"/>
  <c r="Z43" i="27"/>
  <c r="AU11" i="10"/>
  <c r="AU10" i="10"/>
  <c r="AU13" i="9"/>
  <c r="AU12" i="9"/>
  <c r="Q66" i="27"/>
  <c r="R66" i="27"/>
  <c r="Q62" i="27"/>
  <c r="Q59" i="27"/>
  <c r="U57" i="27"/>
  <c r="Q57" i="27"/>
  <c r="U56" i="27"/>
  <c r="Q56" i="27"/>
  <c r="U55" i="27"/>
  <c r="Q55" i="27"/>
  <c r="Q46" i="27"/>
  <c r="R46" i="27"/>
  <c r="Q42" i="27"/>
  <c r="T37" i="27"/>
  <c r="Q40" i="27"/>
  <c r="Q38" i="27"/>
  <c r="U37" i="27"/>
  <c r="Q37" i="27"/>
  <c r="U36" i="27"/>
  <c r="Q36" i="27"/>
  <c r="Y35" i="27"/>
  <c r="U35" i="27"/>
  <c r="T35" i="27"/>
  <c r="Q35" i="27"/>
  <c r="P35" i="27"/>
  <c r="Q22" i="27"/>
  <c r="R24" i="27"/>
  <c r="Q18" i="27"/>
  <c r="Z19" i="27"/>
  <c r="U15" i="27"/>
  <c r="P15" i="27"/>
  <c r="U14" i="27"/>
  <c r="P14" i="27"/>
  <c r="Y13" i="27"/>
  <c r="U13" i="27"/>
  <c r="P13" i="27"/>
  <c r="Y12" i="27"/>
  <c r="U12" i="27"/>
  <c r="P12" i="27"/>
  <c r="R18" i="27"/>
  <c r="J12" i="27"/>
  <c r="V19" i="27"/>
  <c r="V20" i="27"/>
  <c r="R22" i="27"/>
  <c r="Z20" i="27"/>
  <c r="T57" i="27"/>
  <c r="Z64" i="27"/>
  <c r="Q39" i="27"/>
  <c r="Z44" i="27"/>
  <c r="Q19" i="27"/>
  <c r="Q20" i="27"/>
  <c r="P36" i="27"/>
  <c r="Q43" i="27"/>
  <c r="Q44" i="27"/>
  <c r="T36" i="27"/>
  <c r="V43" i="27"/>
  <c r="V44" i="27"/>
  <c r="P37" i="27"/>
  <c r="P55" i="27"/>
  <c r="T55" i="27"/>
  <c r="P56" i="27"/>
  <c r="T56" i="27"/>
  <c r="P57" i="27"/>
  <c r="Q58" i="27"/>
  <c r="Q60" i="27"/>
  <c r="V63" i="27"/>
  <c r="V64" i="27"/>
  <c r="Q63" i="27"/>
  <c r="Q64" i="27"/>
  <c r="Q48" i="27"/>
  <c r="U5" i="27"/>
  <c r="Q25" i="27"/>
  <c r="Q49" i="27"/>
  <c r="Q24" i="27"/>
  <c r="V5" i="27"/>
  <c r="S5" i="27"/>
  <c r="Q68" i="27"/>
  <c r="Y6" i="27"/>
  <c r="G15" i="27"/>
  <c r="Y5" i="27"/>
  <c r="G14" i="27"/>
  <c r="J15" i="27"/>
  <c r="V4" i="27"/>
  <c r="S4" i="27"/>
  <c r="U4" i="27"/>
  <c r="Y3" i="27"/>
  <c r="U6" i="27"/>
  <c r="Q69" i="27"/>
  <c r="V6" i="27"/>
  <c r="S6" i="27"/>
  <c r="Y4" i="27"/>
  <c r="BK29" i="10"/>
  <c r="AP11" i="10"/>
  <c r="AP10" i="10"/>
  <c r="AF14" i="24" s="1"/>
  <c r="D13" i="10"/>
  <c r="G13" i="10"/>
  <c r="G17" i="10"/>
  <c r="G22" i="10"/>
  <c r="G27" i="10"/>
  <c r="Q13" i="10"/>
  <c r="Q17" i="10"/>
  <c r="Q22" i="10"/>
  <c r="Q27" i="10"/>
  <c r="N27" i="10"/>
  <c r="N22" i="10"/>
  <c r="N17" i="10"/>
  <c r="N13" i="10"/>
  <c r="D22" i="10"/>
  <c r="D17" i="10"/>
  <c r="T43" i="10"/>
  <c r="BH29" i="10"/>
  <c r="BK42" i="10"/>
  <c r="T50" i="9"/>
  <c r="D37" i="10"/>
  <c r="D28" i="10"/>
  <c r="D23" i="10"/>
  <c r="D18" i="10"/>
  <c r="J43" i="10"/>
  <c r="J50" i="9"/>
  <c r="D36" i="9"/>
  <c r="D27" i="10"/>
  <c r="D7" i="9"/>
  <c r="G36" i="9"/>
  <c r="Q22" i="9"/>
  <c r="Q26" i="9"/>
  <c r="Q31" i="9"/>
  <c r="Q36" i="9"/>
  <c r="N36" i="9"/>
  <c r="N31" i="9"/>
  <c r="N26" i="9"/>
  <c r="N22" i="9"/>
  <c r="D31" i="9"/>
  <c r="D26" i="9"/>
  <c r="G22" i="9"/>
  <c r="G31" i="9"/>
  <c r="G26" i="9"/>
  <c r="Q2" i="17"/>
  <c r="G27" i="17" s="1"/>
  <c r="G23" i="10"/>
  <c r="BH37" i="10"/>
  <c r="BL36" i="10"/>
  <c r="BK36" i="10"/>
  <c r="BH36" i="10"/>
  <c r="BL35" i="10"/>
  <c r="BK35" i="10"/>
  <c r="BH35" i="10"/>
  <c r="BL34" i="10"/>
  <c r="BK34" i="10"/>
  <c r="BH34" i="10"/>
  <c r="BL26" i="10"/>
  <c r="BK26" i="10"/>
  <c r="BI26" i="10"/>
  <c r="BH26" i="10"/>
  <c r="BL25" i="10"/>
  <c r="BK25" i="10"/>
  <c r="BI25" i="10"/>
  <c r="BH25" i="10"/>
  <c r="BL24" i="10"/>
  <c r="BK24" i="10"/>
  <c r="BI24" i="10"/>
  <c r="BH24" i="10"/>
  <c r="BL23" i="10"/>
  <c r="BK23" i="10"/>
  <c r="BI23" i="10"/>
  <c r="BH23" i="10"/>
  <c r="BL22" i="10"/>
  <c r="BK22" i="10"/>
  <c r="BI22" i="10"/>
  <c r="BH22" i="10"/>
  <c r="BL21" i="10"/>
  <c r="BK21" i="10"/>
  <c r="BI21" i="10"/>
  <c r="BH21" i="10"/>
  <c r="BL20" i="10"/>
  <c r="BK20" i="10"/>
  <c r="BI20" i="10"/>
  <c r="BH20" i="10"/>
  <c r="BL19" i="10"/>
  <c r="BK19" i="10"/>
  <c r="BI19" i="10"/>
  <c r="BH19" i="10"/>
  <c r="BB22" i="10"/>
  <c r="BC21" i="10"/>
  <c r="BC20" i="10"/>
  <c r="BC19" i="10"/>
  <c r="AT13" i="10"/>
  <c r="AT12" i="10"/>
  <c r="AX11" i="10"/>
  <c r="AP7" i="10"/>
  <c r="AX6" i="10"/>
  <c r="BQ13" i="10"/>
  <c r="BQ12" i="10"/>
  <c r="BU11" i="10"/>
  <c r="BR11" i="10"/>
  <c r="BP11" i="10"/>
  <c r="BR10" i="10"/>
  <c r="BP10" i="10"/>
  <c r="BU6" i="10"/>
  <c r="BR3" i="10"/>
  <c r="BR7" i="10"/>
  <c r="BQ3" i="10"/>
  <c r="BQ7" i="10" s="1"/>
  <c r="BU10" i="10" s="1"/>
  <c r="BU7" i="10"/>
  <c r="BS3" i="10"/>
  <c r="BS7" i="10"/>
  <c r="AL21" i="10"/>
  <c r="AE21" i="10"/>
  <c r="AE31" i="10"/>
  <c r="AC31" i="10" s="1"/>
  <c r="AE30" i="10"/>
  <c r="AC30" i="10" s="1"/>
  <c r="AE29" i="10"/>
  <c r="AC29" i="10" s="1"/>
  <c r="AP27" i="10"/>
  <c r="AO27" i="10"/>
  <c r="AM27" i="10"/>
  <c r="AK27" i="10"/>
  <c r="BC18" i="10" s="1"/>
  <c r="BC22" i="10" s="1"/>
  <c r="AJ27" i="10"/>
  <c r="AH27" i="10"/>
  <c r="AG27" i="10"/>
  <c r="AE27" i="10"/>
  <c r="AC27" i="10"/>
  <c r="AB27" i="10"/>
  <c r="AA27" i="10"/>
  <c r="AI27" i="10"/>
  <c r="Z26" i="10"/>
  <c r="AK16" i="10"/>
  <c r="AI16" i="10"/>
  <c r="BI38" i="10" s="1"/>
  <c r="AK15" i="10"/>
  <c r="AI15" i="10" s="1"/>
  <c r="BI37" i="10" s="1"/>
  <c r="AF17" i="10"/>
  <c r="AD17" i="10" s="1"/>
  <c r="BI36" i="10" s="1"/>
  <c r="AF16" i="10"/>
  <c r="AD16" i="10" s="1"/>
  <c r="BI35" i="10" s="1"/>
  <c r="AF15" i="10"/>
  <c r="AD15" i="10" s="1"/>
  <c r="AA13" i="10"/>
  <c r="AA12" i="10"/>
  <c r="BZ30" i="24"/>
  <c r="CA29" i="24"/>
  <c r="BX29" i="24"/>
  <c r="BW25" i="24"/>
  <c r="CA24" i="24"/>
  <c r="BZ24" i="24"/>
  <c r="BW24" i="24"/>
  <c r="CA23" i="24"/>
  <c r="BW23" i="24"/>
  <c r="CA22" i="24"/>
  <c r="BZ22" i="24"/>
  <c r="BW22" i="24"/>
  <c r="BZ17" i="24"/>
  <c r="BW17" i="24"/>
  <c r="CA14" i="24"/>
  <c r="CA13" i="24"/>
  <c r="BZ13" i="24"/>
  <c r="BX13" i="24"/>
  <c r="BW13" i="24"/>
  <c r="BZ12" i="24"/>
  <c r="CA11" i="24"/>
  <c r="BZ11" i="24"/>
  <c r="BX11" i="24"/>
  <c r="BW11" i="24"/>
  <c r="CA10" i="24"/>
  <c r="BZ10" i="24"/>
  <c r="BX10" i="24"/>
  <c r="BW10" i="24"/>
  <c r="CA9" i="24"/>
  <c r="BZ9" i="24"/>
  <c r="BX9" i="24"/>
  <c r="BW9" i="24"/>
  <c r="CA8" i="24"/>
  <c r="BZ8" i="24"/>
  <c r="BX8" i="24"/>
  <c r="BW8" i="24"/>
  <c r="CA7" i="24"/>
  <c r="BZ7" i="24"/>
  <c r="BX7" i="24"/>
  <c r="BW7" i="24"/>
  <c r="BO33" i="24"/>
  <c r="BP32" i="24"/>
  <c r="BP31" i="24"/>
  <c r="BP30" i="24"/>
  <c r="BP29" i="24"/>
  <c r="BP33" i="24"/>
  <c r="BG39" i="24"/>
  <c r="BG38" i="24"/>
  <c r="BK37" i="24"/>
  <c r="BH37" i="24"/>
  <c r="BF37" i="24"/>
  <c r="BE37" i="24"/>
  <c r="BD37" i="24"/>
  <c r="BG37" i="24"/>
  <c r="BC37" i="24"/>
  <c r="BH36" i="24"/>
  <c r="BI36" i="24"/>
  <c r="BF29" i="24"/>
  <c r="BF36" i="24"/>
  <c r="BE36" i="24"/>
  <c r="BD36" i="24"/>
  <c r="BG36" i="24"/>
  <c r="BC36" i="24"/>
  <c r="BG33" i="24"/>
  <c r="BC33" i="24"/>
  <c r="BK32" i="24"/>
  <c r="BE30" i="24"/>
  <c r="BD30" i="24"/>
  <c r="BH29" i="24"/>
  <c r="BH33" i="24"/>
  <c r="BG29" i="24"/>
  <c r="BD29" i="24"/>
  <c r="BE29" i="24"/>
  <c r="BE33" i="24"/>
  <c r="BK33" i="24"/>
  <c r="BD5" i="24"/>
  <c r="BD6" i="24"/>
  <c r="BF6" i="24"/>
  <c r="CA31" i="24"/>
  <c r="BD33" i="24"/>
  <c r="BK29" i="24"/>
  <c r="BK30" i="24"/>
  <c r="BK34" i="24"/>
  <c r="BI29" i="24"/>
  <c r="BI33" i="24"/>
  <c r="BK36" i="24"/>
  <c r="Z38" i="24"/>
  <c r="AM24" i="9"/>
  <c r="AK24" i="9" s="1"/>
  <c r="AM23" i="9"/>
  <c r="D5" i="24"/>
  <c r="AO31" i="24"/>
  <c r="AM31" i="24"/>
  <c r="D6" i="24"/>
  <c r="D7" i="24"/>
  <c r="D8" i="24"/>
  <c r="D9" i="24"/>
  <c r="D10" i="24"/>
  <c r="D11" i="24"/>
  <c r="D12" i="24"/>
  <c r="D13" i="24"/>
  <c r="D14" i="24"/>
  <c r="D15" i="24"/>
  <c r="D16" i="24"/>
  <c r="D4" i="24"/>
  <c r="AY34" i="24"/>
  <c r="AO38" i="24"/>
  <c r="AM38" i="24" s="1"/>
  <c r="AY66" i="9"/>
  <c r="AW66" i="9" s="1"/>
  <c r="AO32" i="24"/>
  <c r="AM32" i="24"/>
  <c r="AO25" i="24"/>
  <c r="AM25" i="24" s="1"/>
  <c r="AO24" i="24"/>
  <c r="AM24" i="24" s="1"/>
  <c r="AI32" i="24"/>
  <c r="AG32" i="24" s="1"/>
  <c r="AI31" i="24"/>
  <c r="AG31" i="24" s="1"/>
  <c r="AI25" i="24"/>
  <c r="AG25" i="24" s="1"/>
  <c r="AI24" i="24"/>
  <c r="AG24" i="24" s="1"/>
  <c r="AY26" i="24"/>
  <c r="AY33" i="24" s="1"/>
  <c r="AJ21" i="24"/>
  <c r="AH21" i="24" s="1"/>
  <c r="AJ20" i="24"/>
  <c r="AH20" i="24" s="1"/>
  <c r="AJ19" i="24"/>
  <c r="AH19" i="24" s="1"/>
  <c r="AF60" i="9"/>
  <c r="AD60" i="9" s="1"/>
  <c r="AK13" i="24"/>
  <c r="AK12" i="24"/>
  <c r="AF13" i="24"/>
  <c r="AF12" i="24"/>
  <c r="AO37" i="24"/>
  <c r="AM37" i="24" s="1"/>
  <c r="AF6" i="24"/>
  <c r="AF5" i="24"/>
  <c r="AY10" i="24"/>
  <c r="BH24" i="24"/>
  <c r="BF24" i="24"/>
  <c r="BH23" i="24"/>
  <c r="BF23" i="24"/>
  <c r="BH22" i="24"/>
  <c r="BS20" i="24"/>
  <c r="BR20" i="24"/>
  <c r="BP20" i="24"/>
  <c r="BN20" i="24"/>
  <c r="BM20" i="24"/>
  <c r="BL20" i="24"/>
  <c r="BK20" i="24"/>
  <c r="CA16" i="24" s="1"/>
  <c r="CA18" i="24" s="1"/>
  <c r="BJ20" i="24"/>
  <c r="BH20" i="24"/>
  <c r="BX16" i="24" s="1"/>
  <c r="BX18" i="24" s="1"/>
  <c r="BF20" i="24"/>
  <c r="BE20" i="24"/>
  <c r="BO14" i="24"/>
  <c r="BM14" i="24"/>
  <c r="BH14" i="24"/>
  <c r="BF14" i="24"/>
  <c r="BP9" i="24"/>
  <c r="BN9" i="24"/>
  <c r="BP8" i="24"/>
  <c r="BN8" i="24"/>
  <c r="BJ10" i="24"/>
  <c r="BH10" i="24" a="1"/>
  <c r="BH10" i="24"/>
  <c r="BJ9" i="24"/>
  <c r="BH9" i="24"/>
  <c r="BJ8" i="24"/>
  <c r="BH8" i="24"/>
  <c r="BC10" i="24"/>
  <c r="BC8" i="24"/>
  <c r="H22" i="4"/>
  <c r="D5" i="10"/>
  <c r="AS31" i="24"/>
  <c r="AU27" i="24"/>
  <c r="AY4" i="24"/>
  <c r="AG38" i="24"/>
  <c r="AF38" i="24"/>
  <c r="AD38" i="24"/>
  <c r="AB38" i="24"/>
  <c r="AA38" i="24"/>
  <c r="Y38" i="24"/>
  <c r="X38" i="24"/>
  <c r="V38" i="24"/>
  <c r="T38" i="24"/>
  <c r="S38" i="24"/>
  <c r="R38" i="24"/>
  <c r="AF21" i="9"/>
  <c r="AD21" i="9" s="1"/>
  <c r="AC34" i="24"/>
  <c r="V34" i="24"/>
  <c r="AV21" i="24"/>
  <c r="AV20" i="24"/>
  <c r="AV19" i="24"/>
  <c r="AU21" i="24"/>
  <c r="AU20" i="24"/>
  <c r="AU19" i="24"/>
  <c r="X31" i="24"/>
  <c r="V31" i="24" s="1"/>
  <c r="AS21" i="24" s="1"/>
  <c r="BX22" i="24" s="1"/>
  <c r="X30" i="24"/>
  <c r="V30" i="24" s="1"/>
  <c r="X29" i="24"/>
  <c r="V29" i="24" s="1"/>
  <c r="AS19" i="24" s="1"/>
  <c r="AC29" i="24"/>
  <c r="AA29" i="24" s="1"/>
  <c r="AS22" i="24" s="1"/>
  <c r="BX23" i="24" s="1"/>
  <c r="AC30" i="24"/>
  <c r="AA30" i="24"/>
  <c r="AS23" i="24" s="1"/>
  <c r="BX24" i="24" s="1"/>
  <c r="AR22" i="24"/>
  <c r="AR21" i="24"/>
  <c r="AR20" i="24"/>
  <c r="AR19" i="24"/>
  <c r="AU14" i="24"/>
  <c r="AR14" i="24"/>
  <c r="AV11" i="24"/>
  <c r="AU11" i="24"/>
  <c r="AV10" i="24"/>
  <c r="AU10" i="24"/>
  <c r="AV9" i="24"/>
  <c r="AU9" i="24"/>
  <c r="AV8" i="24"/>
  <c r="AU8" i="24"/>
  <c r="AV7" i="24"/>
  <c r="AS7" i="24"/>
  <c r="AU7" i="24"/>
  <c r="AV6" i="24"/>
  <c r="AU6" i="24"/>
  <c r="AV5" i="24"/>
  <c r="AU5" i="24"/>
  <c r="AV4" i="24"/>
  <c r="AU4" i="24"/>
  <c r="AS11" i="24"/>
  <c r="AS10" i="24"/>
  <c r="AS9" i="24"/>
  <c r="AS8" i="24"/>
  <c r="AS6" i="24"/>
  <c r="AS5" i="24"/>
  <c r="AS4" i="24"/>
  <c r="AR11" i="24"/>
  <c r="AR10" i="24"/>
  <c r="AR9" i="24"/>
  <c r="AR8" i="24"/>
  <c r="AR7" i="24"/>
  <c r="AR6" i="24"/>
  <c r="AR5" i="24"/>
  <c r="AR4" i="24"/>
  <c r="AC27" i="24"/>
  <c r="AA27" i="24" s="1"/>
  <c r="AC26" i="24"/>
  <c r="AA26" i="24" s="1"/>
  <c r="AC25" i="24"/>
  <c r="AA25" i="24" s="1"/>
  <c r="AC24" i="24"/>
  <c r="AA24" i="24" s="1"/>
  <c r="V27" i="24"/>
  <c r="T27" i="24" s="1"/>
  <c r="V26" i="24"/>
  <c r="T26" i="24" s="1"/>
  <c r="V25" i="24"/>
  <c r="T25" i="24" s="1"/>
  <c r="V24" i="24"/>
  <c r="T24" i="24" s="1"/>
  <c r="AC21" i="24"/>
  <c r="AA21" i="24" s="1"/>
  <c r="AC20" i="24"/>
  <c r="AA20" i="24" s="1"/>
  <c r="V20" i="24"/>
  <c r="T20" i="24" s="1"/>
  <c r="V21" i="24"/>
  <c r="T21" i="24" s="1"/>
  <c r="AC15" i="24"/>
  <c r="AA15" i="24" s="1"/>
  <c r="AC14" i="24"/>
  <c r="AA14" i="24" s="1"/>
  <c r="AY12" i="24" s="1"/>
  <c r="AC19" i="24"/>
  <c r="AA19" i="24" s="1"/>
  <c r="AC18" i="24"/>
  <c r="AA18" i="24" s="1"/>
  <c r="V19" i="24"/>
  <c r="T19" i="24" s="1"/>
  <c r="V18" i="24"/>
  <c r="T18" i="24" s="1"/>
  <c r="AC13" i="24"/>
  <c r="AA13" i="24" s="1"/>
  <c r="AC12" i="24"/>
  <c r="AA12" i="24" s="1"/>
  <c r="V15" i="24"/>
  <c r="T15" i="24" s="1"/>
  <c r="V14" i="24"/>
  <c r="T14" i="24" s="1"/>
  <c r="V13" i="24"/>
  <c r="T13" i="24" s="1"/>
  <c r="V12" i="24"/>
  <c r="T12" i="24" s="1"/>
  <c r="AC4" i="24"/>
  <c r="AA4" i="24" s="1"/>
  <c r="AC7" i="24"/>
  <c r="AA7" i="24" s="1"/>
  <c r="AC6" i="24"/>
  <c r="AA6" i="24" s="1"/>
  <c r="AC5" i="24"/>
  <c r="AA5" i="24" s="1"/>
  <c r="V7" i="24"/>
  <c r="T7" i="24" s="1"/>
  <c r="V4" i="24"/>
  <c r="T4" i="24" s="1"/>
  <c r="V5" i="24"/>
  <c r="T5" i="24" s="1"/>
  <c r="V6" i="24"/>
  <c r="T6" i="24" s="1"/>
  <c r="D8" i="9"/>
  <c r="Q46" i="9"/>
  <c r="AF23" i="9"/>
  <c r="AA5" i="9"/>
  <c r="G41" i="9"/>
  <c r="Y9" i="17"/>
  <c r="X9" i="17"/>
  <c r="U9" i="17"/>
  <c r="T9" i="17"/>
  <c r="S9" i="17"/>
  <c r="R9" i="17"/>
  <c r="Y7" i="17"/>
  <c r="X7" i="17"/>
  <c r="V7" i="17"/>
  <c r="U7" i="17"/>
  <c r="T7" i="17"/>
  <c r="S7" i="17"/>
  <c r="R7" i="17"/>
  <c r="Z6" i="17"/>
  <c r="Y6" i="17"/>
  <c r="X6" i="17"/>
  <c r="U6" i="17"/>
  <c r="T6" i="17"/>
  <c r="S6" i="17"/>
  <c r="R6" i="17"/>
  <c r="Y5" i="17"/>
  <c r="X5" i="17"/>
  <c r="U5" i="17"/>
  <c r="T5" i="17"/>
  <c r="S5" i="17"/>
  <c r="R5" i="17"/>
  <c r="E12" i="18"/>
  <c r="D9" i="20"/>
  <c r="E11" i="18"/>
  <c r="D8" i="20"/>
  <c r="E10" i="18"/>
  <c r="D7" i="20"/>
  <c r="E8" i="18"/>
  <c r="D5" i="20"/>
  <c r="E7" i="18"/>
  <c r="T22" i="18"/>
  <c r="E6" i="18"/>
  <c r="D3" i="20"/>
  <c r="E5" i="18"/>
  <c r="E159" i="20"/>
  <c r="D159" i="20"/>
  <c r="E158" i="20"/>
  <c r="D158" i="20"/>
  <c r="E139" i="20"/>
  <c r="D139" i="20"/>
  <c r="E138" i="20"/>
  <c r="D138" i="20"/>
  <c r="F121" i="20"/>
  <c r="E121" i="20"/>
  <c r="E118" i="20"/>
  <c r="D118" i="20"/>
  <c r="E117" i="20"/>
  <c r="D117" i="20"/>
  <c r="E99" i="20"/>
  <c r="D99" i="20"/>
  <c r="E98" i="20"/>
  <c r="D94" i="20"/>
  <c r="D98" i="20"/>
  <c r="L76" i="20"/>
  <c r="K76" i="20"/>
  <c r="E76" i="20"/>
  <c r="D76" i="20"/>
  <c r="L75" i="20"/>
  <c r="K75" i="20"/>
  <c r="E75" i="20"/>
  <c r="D75" i="20"/>
  <c r="M62" i="20"/>
  <c r="L62" i="20"/>
  <c r="F59" i="20"/>
  <c r="E59" i="20"/>
  <c r="D59" i="20"/>
  <c r="C59" i="20"/>
  <c r="F58" i="20"/>
  <c r="E58" i="20"/>
  <c r="D58" i="20"/>
  <c r="C58" i="20"/>
  <c r="F57" i="20"/>
  <c r="E57" i="20"/>
  <c r="D57" i="20"/>
  <c r="C57" i="20"/>
  <c r="M54" i="20"/>
  <c r="M59" i="20"/>
  <c r="L54" i="20"/>
  <c r="L59" i="20"/>
  <c r="M53" i="20"/>
  <c r="M58" i="20"/>
  <c r="L53" i="20"/>
  <c r="L58" i="20"/>
  <c r="M52" i="20"/>
  <c r="M57" i="20"/>
  <c r="L52" i="20"/>
  <c r="L57" i="20"/>
  <c r="N39" i="20"/>
  <c r="M39" i="20"/>
  <c r="L39" i="20"/>
  <c r="F36" i="20"/>
  <c r="E36" i="20"/>
  <c r="D36" i="20"/>
  <c r="F35" i="20"/>
  <c r="E35" i="20"/>
  <c r="D35" i="20"/>
  <c r="M32" i="20"/>
  <c r="M36" i="20"/>
  <c r="L32" i="20"/>
  <c r="L36" i="20"/>
  <c r="M31" i="20"/>
  <c r="M35" i="20"/>
  <c r="L31" i="20"/>
  <c r="L35" i="20"/>
  <c r="B20" i="20"/>
  <c r="M13" i="20"/>
  <c r="L13" i="20"/>
  <c r="E13" i="20"/>
  <c r="L80" i="20"/>
  <c r="D13" i="20"/>
  <c r="D17" i="20"/>
  <c r="M12" i="20"/>
  <c r="L12" i="20"/>
  <c r="E12" i="20"/>
  <c r="M16" i="20"/>
  <c r="D12" i="20"/>
  <c r="L16" i="20"/>
  <c r="D1" i="20"/>
  <c r="G170" i="19"/>
  <c r="F170" i="19"/>
  <c r="E170" i="19"/>
  <c r="G169" i="19"/>
  <c r="F169" i="19"/>
  <c r="E169" i="19"/>
  <c r="G168" i="19"/>
  <c r="F168" i="19"/>
  <c r="E168" i="19"/>
  <c r="G167" i="19"/>
  <c r="F167" i="19"/>
  <c r="E167" i="19"/>
  <c r="I145" i="19"/>
  <c r="H145" i="19"/>
  <c r="G145" i="19"/>
  <c r="F145" i="19"/>
  <c r="E145" i="19"/>
  <c r="I144" i="19"/>
  <c r="H144" i="19"/>
  <c r="G144" i="19"/>
  <c r="F144" i="19"/>
  <c r="E144" i="19"/>
  <c r="I143" i="19"/>
  <c r="H143" i="19"/>
  <c r="G143" i="19"/>
  <c r="F143" i="19"/>
  <c r="E143" i="19"/>
  <c r="I142" i="19"/>
  <c r="H142" i="19"/>
  <c r="G142" i="19"/>
  <c r="F142" i="19"/>
  <c r="E142" i="19"/>
  <c r="H108" i="19"/>
  <c r="G108" i="19"/>
  <c r="F108" i="19"/>
  <c r="E108" i="19"/>
  <c r="H107" i="19"/>
  <c r="G107" i="19"/>
  <c r="F107" i="19"/>
  <c r="E107" i="19"/>
  <c r="H106" i="19"/>
  <c r="G106" i="19"/>
  <c r="F106" i="19"/>
  <c r="E106" i="19"/>
  <c r="H105" i="19"/>
  <c r="G105" i="19"/>
  <c r="F105" i="19"/>
  <c r="E105" i="19"/>
  <c r="H80" i="19"/>
  <c r="G80" i="19"/>
  <c r="F80" i="19"/>
  <c r="E80" i="19"/>
  <c r="H79" i="19"/>
  <c r="G79" i="19"/>
  <c r="F79" i="19"/>
  <c r="E79" i="19"/>
  <c r="N77" i="19"/>
  <c r="N76" i="19"/>
  <c r="N75" i="19"/>
  <c r="H73" i="19"/>
  <c r="G73" i="19"/>
  <c r="F73" i="19"/>
  <c r="E73" i="19"/>
  <c r="H72" i="19"/>
  <c r="G72" i="19"/>
  <c r="F72" i="19"/>
  <c r="E72" i="19"/>
  <c r="S45" i="19"/>
  <c r="R45" i="19"/>
  <c r="Q45" i="19"/>
  <c r="P45" i="19"/>
  <c r="O45" i="19"/>
  <c r="N45" i="19"/>
  <c r="M45" i="19"/>
  <c r="D21" i="19"/>
  <c r="S19" i="19"/>
  <c r="R19" i="19"/>
  <c r="Q19" i="19"/>
  <c r="P19" i="19"/>
  <c r="O19" i="19"/>
  <c r="N19" i="19"/>
  <c r="M19" i="19"/>
  <c r="S18" i="19"/>
  <c r="R18" i="19"/>
  <c r="Q18" i="19"/>
  <c r="P18" i="19"/>
  <c r="O18" i="19"/>
  <c r="N18" i="19"/>
  <c r="M18" i="19"/>
  <c r="G18" i="19"/>
  <c r="F18" i="19"/>
  <c r="E18" i="19"/>
  <c r="D18" i="19"/>
  <c r="C18" i="19"/>
  <c r="S17" i="19"/>
  <c r="R17" i="19"/>
  <c r="Q17" i="19"/>
  <c r="P17" i="19"/>
  <c r="O17" i="19"/>
  <c r="N17" i="19"/>
  <c r="M17" i="19"/>
  <c r="G17" i="19"/>
  <c r="F17" i="19"/>
  <c r="E17" i="19"/>
  <c r="D17" i="19"/>
  <c r="C17" i="19"/>
  <c r="S16" i="19"/>
  <c r="R16" i="19"/>
  <c r="Q16" i="19"/>
  <c r="P16" i="19"/>
  <c r="O16" i="19"/>
  <c r="N16" i="19"/>
  <c r="M16" i="19"/>
  <c r="G16" i="19"/>
  <c r="F16" i="19"/>
  <c r="E16" i="19"/>
  <c r="D16" i="19"/>
  <c r="C16" i="19"/>
  <c r="G15" i="19"/>
  <c r="F15" i="19"/>
  <c r="E15" i="19"/>
  <c r="D15" i="19"/>
  <c r="C15" i="19"/>
  <c r="AD27" i="18"/>
  <c r="W22" i="18"/>
  <c r="G22" i="18"/>
  <c r="G164" i="12"/>
  <c r="F164" i="12"/>
  <c r="E164" i="12"/>
  <c r="D164" i="12"/>
  <c r="C164" i="12"/>
  <c r="G163" i="12"/>
  <c r="F163" i="12"/>
  <c r="E163" i="12"/>
  <c r="D163" i="12"/>
  <c r="C163" i="12"/>
  <c r="G162" i="12"/>
  <c r="F162" i="12"/>
  <c r="E162" i="12"/>
  <c r="D162" i="12"/>
  <c r="C162" i="12"/>
  <c r="G161" i="12"/>
  <c r="F161" i="12"/>
  <c r="E161" i="12"/>
  <c r="D161" i="12"/>
  <c r="C161" i="12"/>
  <c r="I139" i="12"/>
  <c r="H139" i="12"/>
  <c r="G139" i="12"/>
  <c r="F139" i="12"/>
  <c r="E139" i="12"/>
  <c r="D139" i="12"/>
  <c r="C139" i="12"/>
  <c r="I138" i="12"/>
  <c r="H138" i="12"/>
  <c r="G138" i="12"/>
  <c r="F138" i="12"/>
  <c r="E138" i="12"/>
  <c r="D138" i="12"/>
  <c r="C138" i="12"/>
  <c r="I137" i="12"/>
  <c r="H137" i="12"/>
  <c r="G137" i="12"/>
  <c r="F137" i="12"/>
  <c r="E137" i="12"/>
  <c r="D137" i="12"/>
  <c r="C137" i="12"/>
  <c r="I136" i="12"/>
  <c r="H136" i="12"/>
  <c r="G136" i="12"/>
  <c r="F136" i="12"/>
  <c r="E136" i="12"/>
  <c r="D136" i="12"/>
  <c r="C136" i="12"/>
  <c r="H102" i="12"/>
  <c r="G102" i="12"/>
  <c r="F102" i="12"/>
  <c r="E102" i="12"/>
  <c r="D102" i="12"/>
  <c r="H101" i="12"/>
  <c r="G101" i="12"/>
  <c r="F101" i="12"/>
  <c r="E101" i="12"/>
  <c r="D101" i="12"/>
  <c r="H100" i="12"/>
  <c r="G100" i="12"/>
  <c r="F100" i="12"/>
  <c r="E100" i="12"/>
  <c r="D100" i="12"/>
  <c r="H99" i="12"/>
  <c r="G99" i="12"/>
  <c r="F99" i="12"/>
  <c r="E99" i="12"/>
  <c r="D99" i="12"/>
  <c r="L78" i="12"/>
  <c r="H74" i="12"/>
  <c r="G74" i="12"/>
  <c r="F74" i="12"/>
  <c r="E74" i="12"/>
  <c r="D74" i="12"/>
  <c r="C74" i="12"/>
  <c r="H73" i="12"/>
  <c r="G73" i="12"/>
  <c r="F73" i="12"/>
  <c r="E73" i="12"/>
  <c r="D73" i="12"/>
  <c r="C73" i="12"/>
  <c r="Q72" i="12"/>
  <c r="P72" i="12"/>
  <c r="O72" i="12"/>
  <c r="N72" i="12"/>
  <c r="Q71" i="12"/>
  <c r="P71" i="12"/>
  <c r="O71" i="12"/>
  <c r="N71" i="12"/>
  <c r="Q70" i="12"/>
  <c r="P70" i="12"/>
  <c r="O70" i="12"/>
  <c r="N70" i="12"/>
  <c r="Q69" i="12"/>
  <c r="P69" i="12"/>
  <c r="O69" i="12"/>
  <c r="N69" i="12"/>
  <c r="H67" i="12"/>
  <c r="G67" i="12"/>
  <c r="F67" i="12"/>
  <c r="E67" i="12"/>
  <c r="D67" i="12"/>
  <c r="C67" i="12"/>
  <c r="H66" i="12"/>
  <c r="G66" i="12"/>
  <c r="F66" i="12"/>
  <c r="E66" i="12"/>
  <c r="D66" i="12"/>
  <c r="C66" i="12"/>
  <c r="A52" i="12"/>
  <c r="F45" i="12"/>
  <c r="E45" i="12"/>
  <c r="D45" i="12"/>
  <c r="C45" i="12"/>
  <c r="F44" i="12"/>
  <c r="E44" i="12"/>
  <c r="D44" i="12"/>
  <c r="C44" i="12"/>
  <c r="F43" i="12"/>
  <c r="E43" i="12"/>
  <c r="D43" i="12"/>
  <c r="C43" i="12"/>
  <c r="S42" i="12"/>
  <c r="R42" i="12"/>
  <c r="Q42" i="12"/>
  <c r="P42" i="12"/>
  <c r="O42" i="12"/>
  <c r="N42" i="12"/>
  <c r="M42" i="12"/>
  <c r="A25" i="12"/>
  <c r="S19" i="12"/>
  <c r="R19" i="12"/>
  <c r="Q19" i="12"/>
  <c r="P19" i="12"/>
  <c r="O19" i="12"/>
  <c r="N19" i="12"/>
  <c r="M19" i="12"/>
  <c r="S18" i="12"/>
  <c r="R18" i="12"/>
  <c r="Q18" i="12"/>
  <c r="P18" i="12"/>
  <c r="O18" i="12"/>
  <c r="N18" i="12"/>
  <c r="M18" i="12"/>
  <c r="G18" i="12"/>
  <c r="F18" i="12"/>
  <c r="E18" i="12"/>
  <c r="D18" i="12"/>
  <c r="C18" i="12"/>
  <c r="S17" i="12"/>
  <c r="R17" i="12"/>
  <c r="Q17" i="12"/>
  <c r="P17" i="12"/>
  <c r="O17" i="12"/>
  <c r="N17" i="12"/>
  <c r="M17" i="12"/>
  <c r="G17" i="12"/>
  <c r="F17" i="12"/>
  <c r="E17" i="12"/>
  <c r="D17" i="12"/>
  <c r="C17" i="12"/>
  <c r="S16" i="12"/>
  <c r="R16" i="12"/>
  <c r="Q16" i="12"/>
  <c r="P16" i="12"/>
  <c r="O16" i="12"/>
  <c r="N16" i="12"/>
  <c r="M16" i="12"/>
  <c r="G16" i="12"/>
  <c r="F16" i="12"/>
  <c r="E16" i="12"/>
  <c r="D16" i="12"/>
  <c r="C16" i="12"/>
  <c r="G15" i="12"/>
  <c r="F15" i="12"/>
  <c r="E15" i="12"/>
  <c r="D15" i="12"/>
  <c r="C15" i="12"/>
  <c r="E160" i="12"/>
  <c r="C101" i="12"/>
  <c r="C14" i="12"/>
  <c r="E14" i="12"/>
  <c r="R15" i="12"/>
  <c r="S41" i="12"/>
  <c r="O68" i="12"/>
  <c r="G69" i="12"/>
  <c r="H98" i="12"/>
  <c r="F160" i="12"/>
  <c r="D14" i="12"/>
  <c r="G14" i="12"/>
  <c r="M15" i="12"/>
  <c r="S15" i="12"/>
  <c r="R41" i="12"/>
  <c r="C42" i="12"/>
  <c r="F69" i="12"/>
  <c r="B70" i="12"/>
  <c r="G98" i="12"/>
  <c r="C115" i="12"/>
  <c r="H135" i="12"/>
  <c r="B16" i="12"/>
  <c r="B73" i="12"/>
  <c r="M41" i="12"/>
  <c r="B44" i="12"/>
  <c r="N68" i="12"/>
  <c r="F98" i="12"/>
  <c r="C100" i="12"/>
  <c r="H114" i="12"/>
  <c r="E17" i="20"/>
  <c r="M70" i="12"/>
  <c r="C116" i="12"/>
  <c r="B162" i="12"/>
  <c r="K79" i="20"/>
  <c r="F14" i="12"/>
  <c r="N15" i="12"/>
  <c r="B17" i="12"/>
  <c r="D42" i="12"/>
  <c r="H69" i="12"/>
  <c r="F135" i="12"/>
  <c r="G160" i="12"/>
  <c r="B45" i="12"/>
  <c r="L79" i="20"/>
  <c r="G135" i="12"/>
  <c r="B161" i="12"/>
  <c r="B74" i="12"/>
  <c r="D16" i="20"/>
  <c r="E16" i="20"/>
  <c r="AD22" i="18"/>
  <c r="V6" i="17"/>
  <c r="V9" i="17"/>
  <c r="N23" i="18"/>
  <c r="H22" i="18"/>
  <c r="V5" i="17"/>
  <c r="B2" i="19"/>
  <c r="L17" i="19"/>
  <c r="E9" i="18"/>
  <c r="D6" i="20"/>
  <c r="E56" i="20"/>
  <c r="D4" i="20"/>
  <c r="C118" i="20"/>
  <c r="D2" i="20"/>
  <c r="E80" i="20"/>
  <c r="C105" i="20"/>
  <c r="M17" i="20"/>
  <c r="C23" i="20"/>
  <c r="C25" i="20"/>
  <c r="D79" i="20"/>
  <c r="C86" i="20"/>
  <c r="C106" i="20"/>
  <c r="C88" i="20"/>
  <c r="L17" i="20"/>
  <c r="J88" i="20"/>
  <c r="AC32" i="18"/>
  <c r="E79" i="20"/>
  <c r="K80" i="20"/>
  <c r="J86" i="20"/>
  <c r="AC30" i="18"/>
  <c r="C89" i="20"/>
  <c r="C107" i="20"/>
  <c r="K24" i="20"/>
  <c r="D80" i="20"/>
  <c r="K23" i="20"/>
  <c r="K25" i="20"/>
  <c r="J89" i="20"/>
  <c r="C108" i="20"/>
  <c r="C87" i="20"/>
  <c r="K26" i="20"/>
  <c r="C24" i="20"/>
  <c r="C26" i="20"/>
  <c r="J87" i="20"/>
  <c r="L18" i="12"/>
  <c r="C99" i="12"/>
  <c r="I135" i="12"/>
  <c r="P68" i="12"/>
  <c r="M69" i="12"/>
  <c r="L2" i="12"/>
  <c r="B15" i="12"/>
  <c r="O15" i="12"/>
  <c r="N41" i="12"/>
  <c r="E42" i="12"/>
  <c r="Q68" i="12"/>
  <c r="B72" i="12"/>
  <c r="D114" i="12"/>
  <c r="B136" i="12"/>
  <c r="B137" i="12"/>
  <c r="B138" i="12"/>
  <c r="B139" i="12"/>
  <c r="B164" i="12"/>
  <c r="C69" i="12"/>
  <c r="M72" i="12"/>
  <c r="C102" i="12"/>
  <c r="E114" i="12"/>
  <c r="C135" i="12"/>
  <c r="C160" i="12"/>
  <c r="L19" i="12"/>
  <c r="P15" i="12"/>
  <c r="L17" i="12"/>
  <c r="B18" i="12"/>
  <c r="O41" i="12"/>
  <c r="F42" i="12"/>
  <c r="B43" i="12"/>
  <c r="L3" i="12"/>
  <c r="Q15" i="12"/>
  <c r="P41" i="12"/>
  <c r="D69" i="12"/>
  <c r="B71" i="12"/>
  <c r="D98" i="12"/>
  <c r="F114" i="12"/>
  <c r="D135" i="12"/>
  <c r="D160" i="12"/>
  <c r="B163" i="12"/>
  <c r="Q41" i="12"/>
  <c r="E69" i="12"/>
  <c r="M71" i="12"/>
  <c r="E98" i="12"/>
  <c r="G114" i="12"/>
  <c r="E135" i="12"/>
  <c r="B49" i="19"/>
  <c r="B51" i="19"/>
  <c r="B48" i="19"/>
  <c r="B53" i="19"/>
  <c r="B50" i="19"/>
  <c r="B52" i="19"/>
  <c r="B170" i="19"/>
  <c r="B168" i="19"/>
  <c r="B145" i="19"/>
  <c r="B143" i="19"/>
  <c r="C122" i="19"/>
  <c r="B79" i="19"/>
  <c r="B77" i="19"/>
  <c r="B169" i="19"/>
  <c r="B167" i="19"/>
  <c r="B144" i="19"/>
  <c r="C121" i="19"/>
  <c r="C108" i="19"/>
  <c r="C107" i="19"/>
  <c r="C106" i="19"/>
  <c r="C105" i="19"/>
  <c r="B80" i="19"/>
  <c r="B78" i="19"/>
  <c r="B76" i="19"/>
  <c r="B47" i="19"/>
  <c r="B15" i="19"/>
  <c r="M77" i="19"/>
  <c r="B18" i="19"/>
  <c r="N27" i="18"/>
  <c r="W7" i="17"/>
  <c r="A49" i="12"/>
  <c r="A22" i="12"/>
  <c r="D25" i="20"/>
  <c r="G32" i="18"/>
  <c r="L23" i="20"/>
  <c r="L25" i="20"/>
  <c r="K45" i="12"/>
  <c r="P45" i="12"/>
  <c r="B105" i="12"/>
  <c r="L75" i="12"/>
  <c r="K88" i="20"/>
  <c r="C36" i="20"/>
  <c r="C158" i="20"/>
  <c r="C139" i="20"/>
  <c r="J79" i="20"/>
  <c r="K16" i="20"/>
  <c r="K59" i="20"/>
  <c r="C17" i="20"/>
  <c r="C35" i="20"/>
  <c r="C99" i="20"/>
  <c r="C159" i="20"/>
  <c r="J80" i="20"/>
  <c r="M75" i="19"/>
  <c r="L19" i="19"/>
  <c r="L18" i="19"/>
  <c r="L56" i="20"/>
  <c r="X19" i="18"/>
  <c r="L78" i="20"/>
  <c r="E137" i="20"/>
  <c r="E78" i="20"/>
  <c r="K78" i="20"/>
  <c r="D56" i="20"/>
  <c r="E34" i="20"/>
  <c r="D34" i="20"/>
  <c r="L15" i="20"/>
  <c r="E15" i="20"/>
  <c r="X24" i="18"/>
  <c r="M34" i="20"/>
  <c r="K58" i="20"/>
  <c r="C98" i="20"/>
  <c r="C80" i="20"/>
  <c r="K35" i="20"/>
  <c r="K17" i="20"/>
  <c r="C117" i="20"/>
  <c r="K57" i="20"/>
  <c r="K36" i="20"/>
  <c r="C16" i="20"/>
  <c r="C138" i="20"/>
  <c r="C79" i="20"/>
  <c r="E97" i="20"/>
  <c r="X21" i="18"/>
  <c r="X25" i="18"/>
  <c r="E116" i="20"/>
  <c r="D116" i="20"/>
  <c r="D157" i="20"/>
  <c r="L2" i="19"/>
  <c r="L16" i="19"/>
  <c r="M76" i="19"/>
  <c r="B17" i="19"/>
  <c r="B16" i="19"/>
  <c r="M15" i="20"/>
  <c r="D15" i="20"/>
  <c r="X26" i="18"/>
  <c r="X22" i="18"/>
  <c r="X18" i="18"/>
  <c r="F56" i="20"/>
  <c r="D137" i="20"/>
  <c r="D78" i="20"/>
  <c r="B3" i="19"/>
  <c r="E46" i="19"/>
  <c r="X20" i="18"/>
  <c r="D97" i="20"/>
  <c r="E157" i="20"/>
  <c r="L34" i="20"/>
  <c r="F34" i="20"/>
  <c r="M56" i="20"/>
  <c r="K89" i="20"/>
  <c r="D26" i="20"/>
  <c r="L26" i="20"/>
  <c r="D24" i="20"/>
  <c r="G31" i="18"/>
  <c r="L24" i="20"/>
  <c r="K86" i="20"/>
  <c r="K87" i="20"/>
  <c r="AC31" i="18"/>
  <c r="D23" i="20"/>
  <c r="G30" i="18"/>
  <c r="L16" i="12"/>
  <c r="K22" i="12"/>
  <c r="A76" i="12"/>
  <c r="A119" i="12"/>
  <c r="A167" i="12"/>
  <c r="A142" i="12"/>
  <c r="F46" i="19"/>
  <c r="D46" i="19"/>
  <c r="G120" i="19"/>
  <c r="D166" i="19"/>
  <c r="D141" i="19"/>
  <c r="D120" i="19"/>
  <c r="D104" i="19"/>
  <c r="D75" i="19"/>
  <c r="C166" i="19"/>
  <c r="C141" i="19"/>
  <c r="C75" i="19"/>
  <c r="I85" i="20"/>
  <c r="J85" i="20"/>
  <c r="K85" i="20"/>
  <c r="K39" i="20"/>
  <c r="K41" i="20"/>
  <c r="J43" i="20"/>
  <c r="K43" i="20"/>
  <c r="L43" i="20"/>
  <c r="M43" i="20"/>
  <c r="M29" i="18"/>
  <c r="B144" i="20"/>
  <c r="B145" i="20"/>
  <c r="B146" i="20"/>
  <c r="B147" i="20"/>
  <c r="B148" i="20"/>
  <c r="C148" i="20"/>
  <c r="G75" i="19"/>
  <c r="E166" i="19"/>
  <c r="H75" i="19"/>
  <c r="N15" i="19"/>
  <c r="G166" i="19"/>
  <c r="M44" i="19"/>
  <c r="R44" i="19"/>
  <c r="N44" i="19"/>
  <c r="P15" i="19"/>
  <c r="Q15" i="19"/>
  <c r="H120" i="19"/>
  <c r="F104" i="19"/>
  <c r="P44" i="19"/>
  <c r="G104" i="19"/>
  <c r="F166" i="19"/>
  <c r="O15" i="19"/>
  <c r="H141" i="19"/>
  <c r="D14" i="19"/>
  <c r="E14" i="19"/>
  <c r="G141" i="19"/>
  <c r="F75" i="19"/>
  <c r="E120" i="19"/>
  <c r="R15" i="19"/>
  <c r="H104" i="19"/>
  <c r="F14" i="19"/>
  <c r="F141" i="19"/>
  <c r="F120" i="19"/>
  <c r="Q44" i="19"/>
  <c r="I141" i="19"/>
  <c r="C14" i="19"/>
  <c r="G14" i="19"/>
  <c r="C46" i="19"/>
  <c r="A55" i="19"/>
  <c r="N74" i="19"/>
  <c r="E141" i="19"/>
  <c r="E75" i="19"/>
  <c r="M15" i="19"/>
  <c r="S44" i="19"/>
  <c r="O44" i="19"/>
  <c r="L3" i="19"/>
  <c r="S15" i="19"/>
  <c r="E104" i="19"/>
  <c r="B104" i="20"/>
  <c r="C104" i="20"/>
  <c r="B22" i="20"/>
  <c r="C22" i="20"/>
  <c r="B85" i="20"/>
  <c r="C85" i="20"/>
  <c r="C63" i="20"/>
  <c r="B164" i="20"/>
  <c r="C121" i="20"/>
  <c r="C123" i="20"/>
  <c r="J22" i="20"/>
  <c r="C39" i="20"/>
  <c r="C41" i="20"/>
  <c r="K63" i="20"/>
  <c r="C144" i="20"/>
  <c r="C56" i="19"/>
  <c r="D56" i="19"/>
  <c r="J45" i="20"/>
  <c r="K45" i="20"/>
  <c r="L45" i="20"/>
  <c r="M45" i="20"/>
  <c r="M31" i="18"/>
  <c r="J46" i="20"/>
  <c r="K46" i="20"/>
  <c r="L46" i="20"/>
  <c r="M46" i="20"/>
  <c r="M32" i="18"/>
  <c r="J47" i="20"/>
  <c r="K47" i="20"/>
  <c r="L47" i="20"/>
  <c r="M47" i="20"/>
  <c r="J44" i="20"/>
  <c r="K44" i="20"/>
  <c r="L44" i="20"/>
  <c r="M44" i="20"/>
  <c r="M30" i="18"/>
  <c r="AC29" i="18"/>
  <c r="J69" i="20"/>
  <c r="K69" i="20"/>
  <c r="L69" i="20"/>
  <c r="J66" i="20"/>
  <c r="J68" i="20"/>
  <c r="K68" i="20"/>
  <c r="L68" i="20"/>
  <c r="S32" i="18"/>
  <c r="J67" i="20"/>
  <c r="K67" i="20"/>
  <c r="L67" i="20"/>
  <c r="S31" i="18"/>
  <c r="J65" i="20"/>
  <c r="K65" i="20"/>
  <c r="L65" i="20"/>
  <c r="S29" i="18"/>
  <c r="K22" i="19"/>
  <c r="M22" i="19"/>
  <c r="K25" i="19"/>
  <c r="A125" i="19"/>
  <c r="A128" i="19"/>
  <c r="L81" i="19"/>
  <c r="N82" i="19"/>
  <c r="Q82" i="19"/>
  <c r="L84" i="19"/>
  <c r="C146" i="20"/>
  <c r="C147" i="20"/>
  <c r="C145" i="20"/>
  <c r="A148" i="19"/>
  <c r="A173" i="19"/>
  <c r="A22" i="19"/>
  <c r="C22" i="19"/>
  <c r="D22" i="19"/>
  <c r="A25" i="19"/>
  <c r="G23" i="18"/>
  <c r="H23" i="18"/>
  <c r="A82" i="19"/>
  <c r="A85" i="19"/>
  <c r="K51" i="19"/>
  <c r="M51" i="19"/>
  <c r="P51" i="19"/>
  <c r="K54" i="19"/>
  <c r="K22" i="20"/>
  <c r="K66" i="20"/>
  <c r="L66" i="20"/>
  <c r="S30" i="18"/>
  <c r="B43" i="20"/>
  <c r="C43" i="20"/>
  <c r="D43" i="20"/>
  <c r="E43" i="20"/>
  <c r="B46" i="20"/>
  <c r="C46" i="20"/>
  <c r="D46" i="20"/>
  <c r="E46" i="20"/>
  <c r="B47" i="20"/>
  <c r="C47" i="20"/>
  <c r="D47" i="20"/>
  <c r="E47" i="20"/>
  <c r="B45" i="20"/>
  <c r="C45" i="20"/>
  <c r="D45" i="20"/>
  <c r="E45" i="20"/>
  <c r="B44" i="20"/>
  <c r="C44" i="20"/>
  <c r="D44" i="20"/>
  <c r="E44" i="20"/>
  <c r="B165" i="20"/>
  <c r="C164" i="20"/>
  <c r="D22" i="20"/>
  <c r="G29" i="18"/>
  <c r="L22" i="20"/>
  <c r="B68" i="20"/>
  <c r="C68" i="20"/>
  <c r="B67" i="20"/>
  <c r="C67" i="20"/>
  <c r="B65" i="20"/>
  <c r="C65" i="20"/>
  <c r="B66" i="20"/>
  <c r="C66" i="20"/>
  <c r="B69" i="20"/>
  <c r="C69" i="20"/>
  <c r="B129" i="20"/>
  <c r="B128" i="20"/>
  <c r="B125" i="20"/>
  <c r="B127" i="20"/>
  <c r="B126" i="20"/>
  <c r="A58" i="19"/>
  <c r="S23" i="18"/>
  <c r="W23" i="18"/>
  <c r="AC23" i="18"/>
  <c r="AD23" i="18"/>
  <c r="W6" i="17"/>
  <c r="H27" i="18"/>
  <c r="W5" i="17"/>
  <c r="B166" i="20"/>
  <c r="C165" i="20"/>
  <c r="T23" i="18"/>
  <c r="W9" i="17"/>
  <c r="B167" i="20"/>
  <c r="C166" i="20"/>
  <c r="X23" i="18"/>
  <c r="X27" i="18" a="1"/>
  <c r="X27" i="18"/>
  <c r="W30" i="18"/>
  <c r="T27" i="18"/>
  <c r="B168" i="20"/>
  <c r="C168" i="20"/>
  <c r="C167" i="20"/>
  <c r="W31" i="18"/>
  <c r="W29" i="18"/>
  <c r="W32" i="18"/>
  <c r="E8" i="11" a="1"/>
  <c r="E8" i="11"/>
  <c r="E7" i="11" a="1"/>
  <c r="E7" i="11"/>
  <c r="AS74" i="9"/>
  <c r="AQ74" i="9"/>
  <c r="AS73" i="9"/>
  <c r="AQ73" i="9"/>
  <c r="AM74" i="9"/>
  <c r="AK74" i="9" s="1"/>
  <c r="AM73" i="9"/>
  <c r="AK73" i="9" s="1"/>
  <c r="AY67" i="9"/>
  <c r="AW67" i="9" s="1"/>
  <c r="BL27" i="9"/>
  <c r="BL26" i="9"/>
  <c r="BL25" i="9"/>
  <c r="BL24" i="9"/>
  <c r="BL22" i="9"/>
  <c r="BL28" i="9"/>
  <c r="BI25" i="9"/>
  <c r="AS67" i="9"/>
  <c r="AQ67" i="9" s="1"/>
  <c r="AS66" i="9"/>
  <c r="AQ66" i="9" s="1"/>
  <c r="AM67" i="9"/>
  <c r="AK67" i="9" s="1"/>
  <c r="AM66" i="9"/>
  <c r="AK66" i="9" s="1"/>
  <c r="AF62" i="9"/>
  <c r="AD62" i="9" s="1"/>
  <c r="AF61" i="9"/>
  <c r="AD61" i="9" s="1"/>
  <c r="E12" i="11" a="1"/>
  <c r="E12" i="11"/>
  <c r="P62" i="13"/>
  <c r="E11" i="11"/>
  <c r="E10" i="11"/>
  <c r="E6" i="11"/>
  <c r="E5" i="11"/>
  <c r="J58" i="13"/>
  <c r="L46" i="4"/>
  <c r="G46" i="4"/>
  <c r="L24" i="4"/>
  <c r="G24" i="4"/>
  <c r="J51" i="10"/>
  <c r="J50" i="10"/>
  <c r="J49" i="10"/>
  <c r="T36" i="10"/>
  <c r="T34" i="10"/>
  <c r="T33" i="10"/>
  <c r="J38" i="10"/>
  <c r="J36" i="10"/>
  <c r="J34" i="10"/>
  <c r="J33" i="10"/>
  <c r="T27" i="10"/>
  <c r="J27" i="10"/>
  <c r="T22" i="10"/>
  <c r="J22" i="10"/>
  <c r="T17" i="10"/>
  <c r="N5" i="10"/>
  <c r="T5" i="10"/>
  <c r="T13" i="10"/>
  <c r="J17" i="10"/>
  <c r="J13" i="10"/>
  <c r="N15" i="9"/>
  <c r="T7" i="9"/>
  <c r="N7" i="9"/>
  <c r="J58" i="9"/>
  <c r="J57" i="9"/>
  <c r="J56" i="9"/>
  <c r="T44" i="9"/>
  <c r="T42" i="9"/>
  <c r="T41" i="9"/>
  <c r="J46" i="9"/>
  <c r="J44" i="9"/>
  <c r="J42" i="9"/>
  <c r="J41" i="9"/>
  <c r="T36" i="9"/>
  <c r="J36" i="9"/>
  <c r="T31" i="9"/>
  <c r="J31" i="9"/>
  <c r="J26" i="9"/>
  <c r="T26" i="9"/>
  <c r="T22" i="9"/>
  <c r="J22" i="9"/>
  <c r="D14" i="17"/>
  <c r="Q19" i="17"/>
  <c r="G14" i="17"/>
  <c r="Q18" i="17"/>
  <c r="R8" i="17"/>
  <c r="T8" i="17"/>
  <c r="U8" i="17"/>
  <c r="S8" i="17"/>
  <c r="V8" i="17"/>
  <c r="W8" i="17"/>
  <c r="X8" i="17"/>
  <c r="Y8" i="17"/>
  <c r="BI66" i="14"/>
  <c r="BI54" i="14"/>
  <c r="BI42" i="14"/>
  <c r="BI18" i="14"/>
  <c r="BI5" i="14"/>
  <c r="DI1" i="14"/>
  <c r="DF1" i="14"/>
  <c r="DB1" i="14"/>
  <c r="CZ1" i="14"/>
  <c r="CW1" i="14"/>
  <c r="CS1" i="14"/>
  <c r="CQ1" i="14"/>
  <c r="CN1" i="14"/>
  <c r="CH1" i="14"/>
  <c r="CE1" i="14"/>
  <c r="CA1" i="14"/>
  <c r="BY1" i="14"/>
  <c r="BV1" i="14"/>
  <c r="BR1" i="14"/>
  <c r="BP1" i="14"/>
  <c r="BM1" i="14"/>
  <c r="BJ1" i="14"/>
  <c r="BH1" i="14"/>
  <c r="BE1" i="14"/>
  <c r="BA1" i="14"/>
  <c r="AY1" i="14"/>
  <c r="AV1" i="14"/>
  <c r="AP1" i="14"/>
  <c r="AM1" i="14"/>
  <c r="AI1" i="14"/>
  <c r="AG1" i="14"/>
  <c r="AD1" i="14"/>
  <c r="Z1" i="14"/>
  <c r="X1" i="14"/>
  <c r="U1" i="14"/>
  <c r="Q1" i="14"/>
  <c r="O1" i="14"/>
  <c r="L1" i="14"/>
  <c r="H1" i="14"/>
  <c r="F1" i="14"/>
  <c r="C1" i="14"/>
  <c r="E159" i="13"/>
  <c r="D159" i="13"/>
  <c r="E158" i="13"/>
  <c r="D158" i="13"/>
  <c r="E139" i="13"/>
  <c r="D139" i="13"/>
  <c r="E138" i="13"/>
  <c r="D138" i="13"/>
  <c r="F121" i="13"/>
  <c r="E121" i="13"/>
  <c r="E118" i="13"/>
  <c r="D118" i="13"/>
  <c r="E117" i="13"/>
  <c r="D117" i="13"/>
  <c r="E99" i="13"/>
  <c r="D99" i="13"/>
  <c r="E98" i="13"/>
  <c r="D94" i="13"/>
  <c r="D98" i="13"/>
  <c r="L76" i="13"/>
  <c r="K76" i="13"/>
  <c r="E76" i="13"/>
  <c r="D76" i="13"/>
  <c r="L75" i="13"/>
  <c r="K75" i="13"/>
  <c r="E75" i="13"/>
  <c r="D75" i="13"/>
  <c r="M62" i="13"/>
  <c r="L62" i="13"/>
  <c r="F59" i="13"/>
  <c r="E59" i="13"/>
  <c r="D59" i="13"/>
  <c r="C59" i="13"/>
  <c r="F58" i="13"/>
  <c r="E58" i="13"/>
  <c r="D58" i="13"/>
  <c r="C58" i="13"/>
  <c r="F57" i="13"/>
  <c r="E57" i="13"/>
  <c r="D57" i="13"/>
  <c r="C57" i="13"/>
  <c r="M54" i="13"/>
  <c r="M59" i="13"/>
  <c r="L54" i="13"/>
  <c r="L59" i="13"/>
  <c r="M53" i="13"/>
  <c r="M58" i="13"/>
  <c r="L53" i="13"/>
  <c r="L58" i="13"/>
  <c r="M52" i="13"/>
  <c r="M57" i="13"/>
  <c r="L52" i="13"/>
  <c r="L57" i="13"/>
  <c r="N39" i="13"/>
  <c r="M39" i="13"/>
  <c r="L39" i="13"/>
  <c r="M36" i="13"/>
  <c r="F36" i="13"/>
  <c r="E36" i="13"/>
  <c r="D36" i="13"/>
  <c r="F35" i="13"/>
  <c r="E35" i="13"/>
  <c r="D35" i="13"/>
  <c r="M32" i="13"/>
  <c r="L32" i="13"/>
  <c r="L36" i="13"/>
  <c r="M31" i="13"/>
  <c r="M35" i="13"/>
  <c r="L31" i="13"/>
  <c r="L35" i="13"/>
  <c r="B20" i="13"/>
  <c r="M13" i="13"/>
  <c r="L13" i="13"/>
  <c r="E13" i="13"/>
  <c r="E80" i="13"/>
  <c r="D13" i="13"/>
  <c r="M12" i="13"/>
  <c r="L12" i="13"/>
  <c r="P4" i="14"/>
  <c r="Q4" i="14"/>
  <c r="E12" i="13"/>
  <c r="E16" i="13"/>
  <c r="D12" i="13"/>
  <c r="G4" i="14"/>
  <c r="H4" i="14"/>
  <c r="D9" i="13"/>
  <c r="D8" i="13"/>
  <c r="D7" i="13"/>
  <c r="D5" i="13"/>
  <c r="D4" i="13"/>
  <c r="C98" i="13"/>
  <c r="D3" i="13"/>
  <c r="D2" i="13"/>
  <c r="D1" i="13"/>
  <c r="AC49" i="11"/>
  <c r="Z49" i="11"/>
  <c r="W49" i="11"/>
  <c r="AI45" i="11"/>
  <c r="AC45" i="11"/>
  <c r="Z45" i="11"/>
  <c r="W45" i="11"/>
  <c r="Q45" i="11"/>
  <c r="N45" i="11"/>
  <c r="K45" i="11"/>
  <c r="H45" i="11"/>
  <c r="E45" i="11"/>
  <c r="W44" i="11"/>
  <c r="AI43" i="11"/>
  <c r="AF43" i="11"/>
  <c r="DK1" i="14"/>
  <c r="Q43" i="11"/>
  <c r="K43" i="11"/>
  <c r="H43" i="11"/>
  <c r="CJ1" i="14"/>
  <c r="E43" i="11"/>
  <c r="N42" i="11"/>
  <c r="N46" i="11"/>
  <c r="N50" i="11"/>
  <c r="J42" i="11"/>
  <c r="AF41" i="11"/>
  <c r="AC41" i="11"/>
  <c r="Z41" i="11"/>
  <c r="W41" i="11"/>
  <c r="P41" i="11"/>
  <c r="K41" i="11"/>
  <c r="H41" i="11"/>
  <c r="AI40" i="11"/>
  <c r="AF40" i="11"/>
  <c r="Q40" i="11"/>
  <c r="K40" i="11"/>
  <c r="E40" i="11"/>
  <c r="AI39" i="11"/>
  <c r="AF39" i="11"/>
  <c r="Q39" i="11"/>
  <c r="K39" i="11"/>
  <c r="E39" i="11"/>
  <c r="AI38" i="11"/>
  <c r="AF38" i="11"/>
  <c r="Q38" i="11"/>
  <c r="K38" i="11"/>
  <c r="E38" i="11"/>
  <c r="AI37" i="11"/>
  <c r="AF37" i="11"/>
  <c r="Q37" i="11"/>
  <c r="K37" i="11"/>
  <c r="E37" i="11"/>
  <c r="AC26" i="11"/>
  <c r="AI46" i="11"/>
  <c r="AI50" i="11"/>
  <c r="Z26" i="11"/>
  <c r="Y26" i="11"/>
  <c r="Z25" i="11"/>
  <c r="AF45" i="11"/>
  <c r="N23" i="11"/>
  <c r="K23" i="11"/>
  <c r="K26" i="11"/>
  <c r="J26" i="11"/>
  <c r="J23" i="11"/>
  <c r="AC22" i="11"/>
  <c r="AI41" i="11"/>
  <c r="Z22" i="11"/>
  <c r="V22" i="11"/>
  <c r="S41" i="11"/>
  <c r="T22" i="11"/>
  <c r="Q22" i="11"/>
  <c r="H22" i="11"/>
  <c r="E22" i="11"/>
  <c r="E9" i="11"/>
  <c r="F24" i="17"/>
  <c r="D6" i="13"/>
  <c r="E157" i="13"/>
  <c r="J63" i="13"/>
  <c r="D16" i="13"/>
  <c r="E17" i="13"/>
  <c r="Q41" i="11"/>
  <c r="W22" i="11"/>
  <c r="T41" i="11"/>
  <c r="K35" i="13"/>
  <c r="C80" i="13"/>
  <c r="W19" i="11"/>
  <c r="T38" i="11"/>
  <c r="W21" i="11"/>
  <c r="T40" i="11"/>
  <c r="W20" i="11"/>
  <c r="T39" i="11"/>
  <c r="C16" i="13"/>
  <c r="K57" i="13"/>
  <c r="E41" i="11"/>
  <c r="C138" i="13"/>
  <c r="K17" i="13"/>
  <c r="BE15" i="14"/>
  <c r="T10" i="17"/>
  <c r="T11" i="17"/>
  <c r="AB26" i="11"/>
  <c r="AH46" i="11"/>
  <c r="N26" i="11"/>
  <c r="K42" i="11"/>
  <c r="L17" i="13"/>
  <c r="D17" i="13"/>
  <c r="K80" i="13"/>
  <c r="D80" i="13"/>
  <c r="W24" i="11"/>
  <c r="T43" i="11"/>
  <c r="K16" i="13"/>
  <c r="M17" i="13"/>
  <c r="C23" i="13"/>
  <c r="L23" i="13"/>
  <c r="C25" i="13"/>
  <c r="L25" i="13"/>
  <c r="C36" i="13"/>
  <c r="D79" i="13"/>
  <c r="J80" i="13"/>
  <c r="C86" i="13"/>
  <c r="C106" i="13"/>
  <c r="C118" i="13"/>
  <c r="C158" i="13"/>
  <c r="BE5" i="14"/>
  <c r="BH5" i="14"/>
  <c r="BF7" i="14"/>
  <c r="BF9" i="14"/>
  <c r="BF11" i="14"/>
  <c r="BF13" i="14"/>
  <c r="BF15" i="14"/>
  <c r="W25" i="11"/>
  <c r="T44" i="11"/>
  <c r="M46" i="11"/>
  <c r="L16" i="13"/>
  <c r="C35" i="13"/>
  <c r="E79" i="13"/>
  <c r="J86" i="13"/>
  <c r="K86" i="13"/>
  <c r="BZ18" i="14"/>
  <c r="C89" i="13"/>
  <c r="BQ54" i="14"/>
  <c r="C107" i="13"/>
  <c r="C139" i="13"/>
  <c r="BF5" i="14"/>
  <c r="BE16" i="14"/>
  <c r="K24" i="13"/>
  <c r="M16" i="13"/>
  <c r="K23" i="13"/>
  <c r="K25" i="13"/>
  <c r="J79" i="13"/>
  <c r="L80" i="13"/>
  <c r="J89" i="13"/>
  <c r="K89" i="13"/>
  <c r="BZ54" i="14"/>
  <c r="C99" i="13"/>
  <c r="C108" i="13"/>
  <c r="CI54" i="14"/>
  <c r="BF16" i="14"/>
  <c r="W18" i="11"/>
  <c r="T37" i="11"/>
  <c r="C17" i="13"/>
  <c r="K59" i="13"/>
  <c r="K79" i="13"/>
  <c r="C87" i="13"/>
  <c r="C159" i="13"/>
  <c r="BE6" i="14"/>
  <c r="BE8" i="14"/>
  <c r="BE10" i="14"/>
  <c r="BE12" i="14"/>
  <c r="BE14" i="14"/>
  <c r="C24" i="13"/>
  <c r="D24" i="13"/>
  <c r="C26" i="13"/>
  <c r="D26" i="13"/>
  <c r="G54" i="14"/>
  <c r="K36" i="13"/>
  <c r="K58" i="13"/>
  <c r="L79" i="13"/>
  <c r="J87" i="13"/>
  <c r="BF6" i="14"/>
  <c r="BF8" i="14"/>
  <c r="BF10" i="14"/>
  <c r="BF12" i="14"/>
  <c r="BF14" i="14"/>
  <c r="C117" i="13"/>
  <c r="K26" i="13"/>
  <c r="C88" i="13"/>
  <c r="C79" i="13"/>
  <c r="J88" i="13"/>
  <c r="C105" i="13"/>
  <c r="BE7" i="14"/>
  <c r="BE9" i="14"/>
  <c r="BE11" i="14"/>
  <c r="BE13" i="14"/>
  <c r="D20" i="17"/>
  <c r="D25" i="17"/>
  <c r="E34" i="13"/>
  <c r="E15" i="13"/>
  <c r="M56" i="13"/>
  <c r="E78" i="13"/>
  <c r="E56" i="13"/>
  <c r="D157" i="13"/>
  <c r="B164" i="13"/>
  <c r="D15" i="13"/>
  <c r="D116" i="13"/>
  <c r="L78" i="13"/>
  <c r="D97" i="13"/>
  <c r="K78" i="13"/>
  <c r="I85" i="13"/>
  <c r="J85" i="13"/>
  <c r="E97" i="13"/>
  <c r="M34" i="13"/>
  <c r="F34" i="13"/>
  <c r="F56" i="13"/>
  <c r="L15" i="13"/>
  <c r="D34" i="13"/>
  <c r="D137" i="13"/>
  <c r="L56" i="13"/>
  <c r="K63" i="13"/>
  <c r="D78" i="13"/>
  <c r="M15" i="13"/>
  <c r="D56" i="13"/>
  <c r="E116" i="13"/>
  <c r="E137" i="13"/>
  <c r="B144" i="13"/>
  <c r="L34" i="13"/>
  <c r="Q62" i="13"/>
  <c r="I63" i="13"/>
  <c r="O65" i="13"/>
  <c r="BG13" i="14"/>
  <c r="BG6" i="14"/>
  <c r="BG11" i="14"/>
  <c r="BG9" i="14"/>
  <c r="BG15" i="14"/>
  <c r="D23" i="13"/>
  <c r="G29" i="11"/>
  <c r="D53" i="11"/>
  <c r="BG7" i="14"/>
  <c r="L26" i="13"/>
  <c r="P54" i="14"/>
  <c r="P66" i="14"/>
  <c r="D25" i="13"/>
  <c r="G42" i="14"/>
  <c r="L24" i="13"/>
  <c r="AB29" i="11"/>
  <c r="AG53" i="11"/>
  <c r="AB31" i="11"/>
  <c r="AG55" i="11"/>
  <c r="Y10" i="17"/>
  <c r="Y11" i="17"/>
  <c r="D21" i="17"/>
  <c r="X10" i="17"/>
  <c r="X11" i="17"/>
  <c r="S10" i="17"/>
  <c r="S11" i="17"/>
  <c r="D24" i="17"/>
  <c r="R10" i="17"/>
  <c r="R11" i="17"/>
  <c r="D18" i="17"/>
  <c r="U10" i="17"/>
  <c r="U11" i="17"/>
  <c r="D19" i="17"/>
  <c r="V10" i="17"/>
  <c r="V11" i="17"/>
  <c r="D22" i="17"/>
  <c r="W10" i="17"/>
  <c r="Z11" i="17"/>
  <c r="BZ66" i="14"/>
  <c r="BQ30" i="14"/>
  <c r="Y30" i="11"/>
  <c r="AB30" i="11"/>
  <c r="AG54" i="11"/>
  <c r="K87" i="13"/>
  <c r="BZ30" i="14"/>
  <c r="BH6" i="14"/>
  <c r="BH7" i="14"/>
  <c r="BH8" i="14"/>
  <c r="BH9" i="14"/>
  <c r="BH10" i="14"/>
  <c r="BH11" i="14"/>
  <c r="BH12" i="14"/>
  <c r="BH13" i="14"/>
  <c r="BH14" i="14"/>
  <c r="BH15" i="14"/>
  <c r="BH16" i="14"/>
  <c r="B85" i="13"/>
  <c r="C85" i="13"/>
  <c r="CI66" i="14"/>
  <c r="BG5" i="14"/>
  <c r="P42" i="14"/>
  <c r="D31" i="11"/>
  <c r="BQ42" i="14"/>
  <c r="Y31" i="11"/>
  <c r="BG14" i="14"/>
  <c r="P18" i="14"/>
  <c r="D29" i="11"/>
  <c r="CI30" i="14"/>
  <c r="G54" i="11"/>
  <c r="CI18" i="14"/>
  <c r="G53" i="11"/>
  <c r="BG12" i="14"/>
  <c r="CI42" i="14"/>
  <c r="G55" i="11"/>
  <c r="K88" i="13"/>
  <c r="BZ42" i="14"/>
  <c r="G66" i="14"/>
  <c r="BG10" i="14"/>
  <c r="BQ66" i="14"/>
  <c r="BQ18" i="14"/>
  <c r="Y29" i="11"/>
  <c r="G30" i="14"/>
  <c r="G30" i="11"/>
  <c r="D54" i="11"/>
  <c r="BG8" i="14"/>
  <c r="BG16" i="14"/>
  <c r="M26" i="11"/>
  <c r="J46" i="11"/>
  <c r="K46" i="11"/>
  <c r="K50" i="11"/>
  <c r="F26" i="17"/>
  <c r="D26" i="17"/>
  <c r="B104" i="13"/>
  <c r="C104" i="13"/>
  <c r="CI5" i="14"/>
  <c r="CF13" i="14"/>
  <c r="J22" i="13"/>
  <c r="C63" i="13"/>
  <c r="B68" i="13"/>
  <c r="C68" i="13"/>
  <c r="C121" i="13"/>
  <c r="C123" i="13"/>
  <c r="B129" i="13"/>
  <c r="CR54" i="14"/>
  <c r="K39" i="13"/>
  <c r="K41" i="13"/>
  <c r="J43" i="13"/>
  <c r="K43" i="13"/>
  <c r="L43" i="13"/>
  <c r="M43" i="13"/>
  <c r="AH5" i="14"/>
  <c r="B22" i="13"/>
  <c r="C22" i="13"/>
  <c r="L22" i="13"/>
  <c r="P5" i="14"/>
  <c r="L12" i="14"/>
  <c r="C39" i="13"/>
  <c r="C41" i="13"/>
  <c r="B43" i="13"/>
  <c r="C43" i="13"/>
  <c r="D43" i="13"/>
  <c r="E43" i="13"/>
  <c r="J67" i="13"/>
  <c r="K67" i="13"/>
  <c r="L67" i="13"/>
  <c r="J66" i="13"/>
  <c r="K66" i="13"/>
  <c r="L66" i="13"/>
  <c r="J69" i="13"/>
  <c r="K69" i="13"/>
  <c r="L69" i="13"/>
  <c r="AZ54" i="14"/>
  <c r="AZ66" i="14"/>
  <c r="J65" i="13"/>
  <c r="K65" i="13"/>
  <c r="L65" i="13"/>
  <c r="J68" i="13"/>
  <c r="K68" i="13"/>
  <c r="L68" i="13"/>
  <c r="J44" i="13"/>
  <c r="K44" i="13"/>
  <c r="L44" i="13"/>
  <c r="M44" i="13"/>
  <c r="AH18" i="14"/>
  <c r="B145" i="13"/>
  <c r="C144" i="13"/>
  <c r="Y23" i="11"/>
  <c r="Z23" i="11"/>
  <c r="G42" i="11"/>
  <c r="H42" i="11"/>
  <c r="H46" i="11"/>
  <c r="G46" i="11"/>
  <c r="AB42" i="11"/>
  <c r="AC42" i="11"/>
  <c r="AC46" i="11"/>
  <c r="G31" i="11"/>
  <c r="D55" i="11"/>
  <c r="G18" i="14"/>
  <c r="D30" i="11"/>
  <c r="P30" i="14"/>
  <c r="AE42" i="11"/>
  <c r="AF42" i="11"/>
  <c r="AF46" i="11"/>
  <c r="BI17" i="14"/>
  <c r="CE14" i="14"/>
  <c r="CE12" i="14"/>
  <c r="CE10" i="14"/>
  <c r="CE8" i="14"/>
  <c r="CE6" i="14"/>
  <c r="CE5" i="14"/>
  <c r="CE15" i="14"/>
  <c r="CE13" i="14"/>
  <c r="CE11" i="14"/>
  <c r="CE9" i="14"/>
  <c r="CE7" i="14"/>
  <c r="CE16" i="14"/>
  <c r="CF10" i="14"/>
  <c r="L14" i="14"/>
  <c r="BQ5" i="14"/>
  <c r="Y28" i="11"/>
  <c r="BI16" i="14"/>
  <c r="B165" i="13"/>
  <c r="C164" i="13"/>
  <c r="AB28" i="11"/>
  <c r="AG52" i="11"/>
  <c r="K85" i="13"/>
  <c r="BZ5" i="14"/>
  <c r="B128" i="13"/>
  <c r="M55" i="11"/>
  <c r="CF11" i="14"/>
  <c r="CG11" i="14"/>
  <c r="CF6" i="14"/>
  <c r="CG6" i="14"/>
  <c r="CF14" i="14"/>
  <c r="CG14" i="14"/>
  <c r="CF16" i="14"/>
  <c r="CF7" i="14"/>
  <c r="CG7" i="14"/>
  <c r="CF15" i="14"/>
  <c r="CG15" i="14"/>
  <c r="CF5" i="14"/>
  <c r="CG5" i="14"/>
  <c r="CF8" i="14"/>
  <c r="CG8" i="14"/>
  <c r="CF12" i="14"/>
  <c r="CG12" i="14"/>
  <c r="CF9" i="14"/>
  <c r="CG9" i="14"/>
  <c r="G52" i="11"/>
  <c r="M16" i="14"/>
  <c r="B126" i="13"/>
  <c r="M53" i="11"/>
  <c r="B125" i="13"/>
  <c r="CR5" i="14"/>
  <c r="M11" i="14"/>
  <c r="M10" i="14"/>
  <c r="L13" i="14"/>
  <c r="L6" i="14"/>
  <c r="B127" i="13"/>
  <c r="M54" i="11"/>
  <c r="M6" i="14"/>
  <c r="N6" i="14"/>
  <c r="M14" i="14"/>
  <c r="N14" i="14"/>
  <c r="L9" i="14"/>
  <c r="M7" i="14"/>
  <c r="M15" i="14"/>
  <c r="L10" i="14"/>
  <c r="B47" i="13"/>
  <c r="C47" i="13"/>
  <c r="D47" i="13"/>
  <c r="E47" i="13"/>
  <c r="Y54" i="14"/>
  <c r="Y66" i="14"/>
  <c r="B67" i="13"/>
  <c r="C67" i="13"/>
  <c r="AQ30" i="14"/>
  <c r="B46" i="13"/>
  <c r="C46" i="13"/>
  <c r="D46" i="13"/>
  <c r="E46" i="13"/>
  <c r="Y42" i="14"/>
  <c r="B69" i="13"/>
  <c r="C69" i="13"/>
  <c r="AQ54" i="14"/>
  <c r="AQ66" i="14"/>
  <c r="B66" i="13"/>
  <c r="C66" i="13"/>
  <c r="P29" i="11"/>
  <c r="B45" i="13"/>
  <c r="C45" i="13"/>
  <c r="D45" i="13"/>
  <c r="E45" i="13"/>
  <c r="J30" i="11"/>
  <c r="B65" i="13"/>
  <c r="C65" i="13"/>
  <c r="P28" i="11"/>
  <c r="J45" i="13"/>
  <c r="K45" i="13"/>
  <c r="L45" i="13"/>
  <c r="M45" i="13"/>
  <c r="AH30" i="14"/>
  <c r="J46" i="13"/>
  <c r="K46" i="13"/>
  <c r="L46" i="13"/>
  <c r="M46" i="13"/>
  <c r="AH42" i="14"/>
  <c r="J47" i="13"/>
  <c r="K47" i="13"/>
  <c r="L47" i="13"/>
  <c r="M47" i="13"/>
  <c r="AH54" i="14"/>
  <c r="AH66" i="14"/>
  <c r="M28" i="11"/>
  <c r="J52" i="11"/>
  <c r="M5" i="14"/>
  <c r="M8" i="14"/>
  <c r="M12" i="14"/>
  <c r="N12" i="14"/>
  <c r="L16" i="14"/>
  <c r="N16" i="14"/>
  <c r="L7" i="14"/>
  <c r="N7" i="14"/>
  <c r="L11" i="14"/>
  <c r="L15" i="14"/>
  <c r="M9" i="14"/>
  <c r="N9" i="14"/>
  <c r="M13" i="14"/>
  <c r="N13" i="14"/>
  <c r="L5" i="14"/>
  <c r="L8" i="14"/>
  <c r="K22" i="13"/>
  <c r="D22" i="13"/>
  <c r="G28" i="11"/>
  <c r="D52" i="11"/>
  <c r="B44" i="13"/>
  <c r="C44" i="13"/>
  <c r="D44" i="13"/>
  <c r="E44" i="13"/>
  <c r="Y18" i="14"/>
  <c r="D28" i="11"/>
  <c r="M29" i="11"/>
  <c r="J53" i="11"/>
  <c r="V42" i="11"/>
  <c r="W42" i="11"/>
  <c r="W46" i="11"/>
  <c r="V46" i="11"/>
  <c r="Y42" i="11"/>
  <c r="Z42" i="11"/>
  <c r="Z46" i="11"/>
  <c r="Y46" i="11"/>
  <c r="AQ42" i="14"/>
  <c r="P31" i="11"/>
  <c r="AZ18" i="14"/>
  <c r="S29" i="11"/>
  <c r="P53" i="11"/>
  <c r="AZ30" i="14"/>
  <c r="S30" i="11"/>
  <c r="P54" i="11"/>
  <c r="AZ5" i="14"/>
  <c r="S28" i="11"/>
  <c r="P52" i="11"/>
  <c r="AZ42" i="14"/>
  <c r="S31" i="11"/>
  <c r="P55" i="11"/>
  <c r="H50" i="11"/>
  <c r="AB52" i="11"/>
  <c r="Y52" i="11"/>
  <c r="DA5" i="14"/>
  <c r="V52" i="11"/>
  <c r="B146" i="13"/>
  <c r="C145" i="13"/>
  <c r="CG16" i="14"/>
  <c r="CG13" i="14"/>
  <c r="P23" i="11"/>
  <c r="Q23" i="11"/>
  <c r="Q26" i="11"/>
  <c r="P26" i="11"/>
  <c r="D23" i="11"/>
  <c r="E23" i="11"/>
  <c r="E26" i="11"/>
  <c r="D26" i="11"/>
  <c r="G23" i="11"/>
  <c r="D42" i="11"/>
  <c r="AB23" i="11"/>
  <c r="AH42" i="11"/>
  <c r="AD14" i="14"/>
  <c r="AD12" i="14"/>
  <c r="AD10" i="14"/>
  <c r="AD8" i="14"/>
  <c r="AD6" i="14"/>
  <c r="AE15" i="14"/>
  <c r="AE13" i="14"/>
  <c r="AE11" i="14"/>
  <c r="AE9" i="14"/>
  <c r="AE7" i="14"/>
  <c r="AE16" i="14"/>
  <c r="AD15" i="14"/>
  <c r="AD13" i="14"/>
  <c r="AD11" i="14"/>
  <c r="AD9" i="14"/>
  <c r="AD7" i="14"/>
  <c r="AD16" i="14"/>
  <c r="AE5" i="14"/>
  <c r="AD5" i="14"/>
  <c r="AE14" i="14"/>
  <c r="AE12" i="14"/>
  <c r="AE10" i="14"/>
  <c r="AE8" i="14"/>
  <c r="AE6" i="14"/>
  <c r="J28" i="11"/>
  <c r="Y5" i="14"/>
  <c r="BN16" i="14"/>
  <c r="BM14" i="14"/>
  <c r="BM12" i="14"/>
  <c r="BM10" i="14"/>
  <c r="BM8" i="14"/>
  <c r="BM6" i="14"/>
  <c r="BM16" i="14"/>
  <c r="BN5" i="14"/>
  <c r="BM5" i="14"/>
  <c r="BN15" i="14"/>
  <c r="BN13" i="14"/>
  <c r="BN11" i="14"/>
  <c r="BN9" i="14"/>
  <c r="BN7" i="14"/>
  <c r="BM15" i="14"/>
  <c r="BM13" i="14"/>
  <c r="BM11" i="14"/>
  <c r="BM9" i="14"/>
  <c r="BM7" i="14"/>
  <c r="BN14" i="14"/>
  <c r="BN12" i="14"/>
  <c r="BN10" i="14"/>
  <c r="BN8" i="14"/>
  <c r="BN6" i="14"/>
  <c r="CR42" i="14"/>
  <c r="BV15" i="14"/>
  <c r="BV13" i="14"/>
  <c r="BV11" i="14"/>
  <c r="BV9" i="14"/>
  <c r="BV7" i="14"/>
  <c r="BW16" i="14"/>
  <c r="BW14" i="14"/>
  <c r="BW12" i="14"/>
  <c r="BW10" i="14"/>
  <c r="BW8" i="14"/>
  <c r="BW6" i="14"/>
  <c r="BV16" i="14"/>
  <c r="BV14" i="14"/>
  <c r="BV12" i="14"/>
  <c r="BV10" i="14"/>
  <c r="BV8" i="14"/>
  <c r="BV6" i="14"/>
  <c r="BW5" i="14"/>
  <c r="BV5" i="14"/>
  <c r="BW15" i="14"/>
  <c r="BW13" i="14"/>
  <c r="BW11" i="14"/>
  <c r="BW9" i="14"/>
  <c r="BW7" i="14"/>
  <c r="DJ5" i="14"/>
  <c r="AE52" i="11"/>
  <c r="BE17" i="14"/>
  <c r="BF24" i="14"/>
  <c r="BF23" i="14"/>
  <c r="BF28" i="14"/>
  <c r="BE20" i="14"/>
  <c r="BF26" i="14"/>
  <c r="BE19" i="14"/>
  <c r="BF25" i="14"/>
  <c r="BE22" i="14"/>
  <c r="BE21" i="14"/>
  <c r="BE24" i="14"/>
  <c r="BE23" i="14"/>
  <c r="BE26" i="14"/>
  <c r="BF17" i="14"/>
  <c r="BE25" i="14"/>
  <c r="BE18" i="14"/>
  <c r="BF18" i="14"/>
  <c r="BE27" i="14"/>
  <c r="BF27" i="14"/>
  <c r="BE28" i="14"/>
  <c r="BF20" i="14"/>
  <c r="BF19" i="14"/>
  <c r="BF22" i="14"/>
  <c r="BF21" i="14"/>
  <c r="AB46" i="11"/>
  <c r="AC50" i="11"/>
  <c r="AF50" i="11"/>
  <c r="AE46" i="11"/>
  <c r="CG10" i="14"/>
  <c r="B166" i="13"/>
  <c r="C165" i="13"/>
  <c r="CR66" i="14"/>
  <c r="CH5" i="14"/>
  <c r="CH6" i="14"/>
  <c r="CH7" i="14"/>
  <c r="CH8" i="14"/>
  <c r="CH9" i="14"/>
  <c r="CH10" i="14"/>
  <c r="CH11" i="14"/>
  <c r="CH12" i="14"/>
  <c r="CH13" i="14"/>
  <c r="CH14" i="14"/>
  <c r="CH15" i="14"/>
  <c r="CH16" i="14"/>
  <c r="CR30" i="14"/>
  <c r="CR18" i="14"/>
  <c r="N11" i="14"/>
  <c r="J29" i="11"/>
  <c r="M52" i="11"/>
  <c r="J31" i="11"/>
  <c r="AQ5" i="14"/>
  <c r="AM15" i="14"/>
  <c r="AQ18" i="14"/>
  <c r="N10" i="14"/>
  <c r="M31" i="11"/>
  <c r="J55" i="11"/>
  <c r="N15" i="14"/>
  <c r="Y30" i="14"/>
  <c r="P30" i="11"/>
  <c r="M30" i="11"/>
  <c r="J54" i="11"/>
  <c r="N5" i="14"/>
  <c r="N8" i="14"/>
  <c r="O5" i="14"/>
  <c r="O6" i="14"/>
  <c r="O7" i="14"/>
  <c r="O8" i="14"/>
  <c r="O9" i="14"/>
  <c r="O10" i="14"/>
  <c r="O11" i="14"/>
  <c r="O12" i="14"/>
  <c r="O13" i="14"/>
  <c r="O14" i="14"/>
  <c r="O15" i="14"/>
  <c r="O16" i="14"/>
  <c r="P17" i="14"/>
  <c r="G5" i="14"/>
  <c r="D15" i="14"/>
  <c r="Z50" i="11" a="1"/>
  <c r="Z50" i="11"/>
  <c r="C8" i="14"/>
  <c r="BG28" i="14"/>
  <c r="D5" i="14"/>
  <c r="W50" i="11"/>
  <c r="Y53" i="11"/>
  <c r="V53" i="11"/>
  <c r="DA18" i="14"/>
  <c r="AB53" i="11"/>
  <c r="B147" i="13"/>
  <c r="C146" i="13"/>
  <c r="AM8" i="14"/>
  <c r="AN14" i="14"/>
  <c r="AM9" i="14"/>
  <c r="AM14" i="14"/>
  <c r="AM12" i="14"/>
  <c r="AN7" i="14"/>
  <c r="AV16" i="14"/>
  <c r="AV13" i="14"/>
  <c r="AW8" i="14"/>
  <c r="AW10" i="14"/>
  <c r="AW15" i="14"/>
  <c r="AV11" i="14"/>
  <c r="AW6" i="14"/>
  <c r="AV14" i="14"/>
  <c r="AW13" i="14"/>
  <c r="AV9" i="14"/>
  <c r="AV12" i="14"/>
  <c r="AW11" i="14"/>
  <c r="AV7" i="14"/>
  <c r="AV10" i="14"/>
  <c r="AW9" i="14"/>
  <c r="AV5" i="14"/>
  <c r="AW16" i="14"/>
  <c r="AV8" i="14"/>
  <c r="AW7" i="14"/>
  <c r="AW14" i="14"/>
  <c r="AV15" i="14"/>
  <c r="AX15" i="14"/>
  <c r="AV6" i="14"/>
  <c r="AW5" i="14"/>
  <c r="AW12" i="14"/>
  <c r="CX15" i="14"/>
  <c r="CW11" i="14"/>
  <c r="CX10" i="14"/>
  <c r="CX13" i="14"/>
  <c r="CW9" i="14"/>
  <c r="CX8" i="14"/>
  <c r="CW6" i="14"/>
  <c r="CX11" i="14"/>
  <c r="CW7" i="14"/>
  <c r="CX6" i="14"/>
  <c r="CW14" i="14"/>
  <c r="CX9" i="14"/>
  <c r="CW16" i="14"/>
  <c r="CW12" i="14"/>
  <c r="CX7" i="14"/>
  <c r="CX5" i="14"/>
  <c r="CW13" i="14"/>
  <c r="CW10" i="14"/>
  <c r="CX16" i="14"/>
  <c r="CW5" i="14"/>
  <c r="CX12" i="14"/>
  <c r="CW8" i="14"/>
  <c r="CY8" i="14"/>
  <c r="CW15" i="14"/>
  <c r="CX14" i="14"/>
  <c r="BG24" i="14"/>
  <c r="BG23" i="14"/>
  <c r="BO12" i="14"/>
  <c r="BO9" i="14"/>
  <c r="BO11" i="14"/>
  <c r="AC23" i="11"/>
  <c r="AI42" i="11"/>
  <c r="BG25" i="14"/>
  <c r="BO7" i="14"/>
  <c r="BO10" i="14"/>
  <c r="BX6" i="14"/>
  <c r="AF13" i="14"/>
  <c r="BX8" i="14"/>
  <c r="BX10" i="14"/>
  <c r="AF16" i="14"/>
  <c r="BX14" i="14"/>
  <c r="AF7" i="14"/>
  <c r="H23" i="11"/>
  <c r="BX16" i="14"/>
  <c r="AF9" i="14"/>
  <c r="B167" i="13"/>
  <c r="C166" i="13"/>
  <c r="BG22" i="14"/>
  <c r="BG17" i="14"/>
  <c r="BH17" i="14"/>
  <c r="BH18" i="14"/>
  <c r="BH19" i="14"/>
  <c r="BH20" i="14"/>
  <c r="BH21" i="14"/>
  <c r="BH22" i="14"/>
  <c r="BH23" i="14"/>
  <c r="BH24" i="14"/>
  <c r="BH25" i="14"/>
  <c r="BH26" i="14"/>
  <c r="BH27" i="14"/>
  <c r="BH28" i="14"/>
  <c r="BX7" i="14"/>
  <c r="BG18" i="14"/>
  <c r="BX9" i="14"/>
  <c r="BG19" i="14"/>
  <c r="BX5" i="14"/>
  <c r="BY5" i="14"/>
  <c r="BY6" i="14"/>
  <c r="BY7" i="14"/>
  <c r="BY8" i="14"/>
  <c r="BY9" i="14"/>
  <c r="BY10" i="14"/>
  <c r="BY11" i="14"/>
  <c r="BY12" i="14"/>
  <c r="BY13" i="14"/>
  <c r="BY14" i="14"/>
  <c r="BY15" i="14"/>
  <c r="BY16" i="14"/>
  <c r="BX11" i="14"/>
  <c r="BO14" i="14"/>
  <c r="AF11" i="14"/>
  <c r="BX13" i="14"/>
  <c r="BO5" i="14"/>
  <c r="BP5" i="14"/>
  <c r="BP6" i="14"/>
  <c r="BP7" i="14"/>
  <c r="BP8" i="14"/>
  <c r="BP9" i="14"/>
  <c r="BP10" i="14"/>
  <c r="BP11" i="14"/>
  <c r="BP12" i="14"/>
  <c r="BP13" i="14"/>
  <c r="BP14" i="14"/>
  <c r="BP15" i="14"/>
  <c r="BP16" i="14"/>
  <c r="AF6" i="14"/>
  <c r="BG26" i="14"/>
  <c r="BG20" i="14"/>
  <c r="DF16" i="14"/>
  <c r="DF15" i="14"/>
  <c r="DF13" i="14"/>
  <c r="DF11" i="14"/>
  <c r="DF9" i="14"/>
  <c r="DF7" i="14"/>
  <c r="DG5" i="14"/>
  <c r="DF5" i="14"/>
  <c r="DG14" i="14"/>
  <c r="DG12" i="14"/>
  <c r="DG10" i="14"/>
  <c r="DG8" i="14"/>
  <c r="DG6" i="14"/>
  <c r="DF14" i="14"/>
  <c r="DF12" i="14"/>
  <c r="DF10" i="14"/>
  <c r="DF8" i="14"/>
  <c r="DF6" i="14"/>
  <c r="DG16" i="14"/>
  <c r="DG15" i="14"/>
  <c r="DG13" i="14"/>
  <c r="DG11" i="14"/>
  <c r="DG9" i="14"/>
  <c r="DG7" i="14"/>
  <c r="BX15" i="14"/>
  <c r="BO13" i="14"/>
  <c r="AF15" i="14"/>
  <c r="AF8" i="14"/>
  <c r="CI17" i="14"/>
  <c r="BO15" i="14"/>
  <c r="BO16" i="14"/>
  <c r="AG5" i="14"/>
  <c r="AG6" i="14"/>
  <c r="AG7" i="14"/>
  <c r="AG8" i="14"/>
  <c r="AG9" i="14"/>
  <c r="AG10" i="14"/>
  <c r="AG11" i="14"/>
  <c r="AG12" i="14"/>
  <c r="AG13" i="14"/>
  <c r="AG14" i="14"/>
  <c r="AG15" i="14"/>
  <c r="AG16" i="14"/>
  <c r="AF5" i="14"/>
  <c r="AF10" i="14"/>
  <c r="CI16" i="14"/>
  <c r="CN15" i="14"/>
  <c r="CN13" i="14"/>
  <c r="CN11" i="14"/>
  <c r="CN9" i="14"/>
  <c r="CN7" i="14"/>
  <c r="CO16" i="14"/>
  <c r="CN16" i="14"/>
  <c r="CO5" i="14"/>
  <c r="CO14" i="14"/>
  <c r="CO12" i="14"/>
  <c r="CO10" i="14"/>
  <c r="CO8" i="14"/>
  <c r="CO6" i="14"/>
  <c r="CN5" i="14"/>
  <c r="CN14" i="14"/>
  <c r="CN12" i="14"/>
  <c r="CN10" i="14"/>
  <c r="CN8" i="14"/>
  <c r="CN6" i="14"/>
  <c r="CO15" i="14"/>
  <c r="CO13" i="14"/>
  <c r="CO11" i="14"/>
  <c r="CO9" i="14"/>
  <c r="CO7" i="14"/>
  <c r="BO6" i="14"/>
  <c r="U15" i="14"/>
  <c r="U13" i="14"/>
  <c r="U11" i="14"/>
  <c r="U9" i="14"/>
  <c r="U7" i="14"/>
  <c r="V16" i="14"/>
  <c r="U16" i="14"/>
  <c r="V5" i="14"/>
  <c r="V14" i="14"/>
  <c r="V12" i="14"/>
  <c r="V10" i="14"/>
  <c r="V8" i="14"/>
  <c r="V6" i="14"/>
  <c r="U5" i="14"/>
  <c r="U14" i="14"/>
  <c r="U12" i="14"/>
  <c r="U10" i="14"/>
  <c r="U8" i="14"/>
  <c r="U6" i="14"/>
  <c r="V15" i="14"/>
  <c r="V13" i="14"/>
  <c r="V11" i="14"/>
  <c r="V9" i="14"/>
  <c r="V7" i="14"/>
  <c r="AF12" i="14"/>
  <c r="DJ18" i="14"/>
  <c r="AE53" i="11"/>
  <c r="BG27" i="14"/>
  <c r="BG21" i="14"/>
  <c r="BX12" i="14"/>
  <c r="BO8" i="14"/>
  <c r="AF14" i="14"/>
  <c r="AM5" i="14"/>
  <c r="AP5" i="14"/>
  <c r="AM16" i="14"/>
  <c r="AN13" i="14"/>
  <c r="AN8" i="14"/>
  <c r="AO8" i="14"/>
  <c r="AN10" i="14"/>
  <c r="AN12" i="14"/>
  <c r="AO12" i="14"/>
  <c r="AM10" i="14"/>
  <c r="AO10" i="14"/>
  <c r="AN9" i="14"/>
  <c r="AO9" i="14"/>
  <c r="AN5" i="14"/>
  <c r="AN11" i="14"/>
  <c r="AM7" i="14"/>
  <c r="AN6" i="14"/>
  <c r="AN15" i="14"/>
  <c r="AM11" i="14"/>
  <c r="AN16" i="14"/>
  <c r="AM13" i="14"/>
  <c r="AM6" i="14"/>
  <c r="D12" i="14"/>
  <c r="P16" i="14"/>
  <c r="E28" i="11"/>
  <c r="C13" i="14"/>
  <c r="C9" i="14"/>
  <c r="D6" i="14"/>
  <c r="C11" i="14"/>
  <c r="D9" i="14"/>
  <c r="C6" i="14"/>
  <c r="C5" i="14"/>
  <c r="F5" i="14"/>
  <c r="C16" i="14"/>
  <c r="D8" i="14"/>
  <c r="E8" i="14"/>
  <c r="C10" i="14"/>
  <c r="C12" i="14"/>
  <c r="D13" i="14"/>
  <c r="C15" i="14"/>
  <c r="E15" i="14"/>
  <c r="C14" i="14"/>
  <c r="D14" i="14"/>
  <c r="D7" i="14"/>
  <c r="D11" i="14"/>
  <c r="D10" i="14"/>
  <c r="D16" i="14"/>
  <c r="C7" i="14"/>
  <c r="CY10" i="14"/>
  <c r="AX8" i="14"/>
  <c r="AO14" i="14"/>
  <c r="AX10" i="14"/>
  <c r="CY12" i="14"/>
  <c r="AX6" i="14"/>
  <c r="CY11" i="14"/>
  <c r="CY13" i="14"/>
  <c r="CY7" i="14"/>
  <c r="AX5" i="14"/>
  <c r="AY5" i="14"/>
  <c r="AY6" i="14"/>
  <c r="AY7" i="14"/>
  <c r="AY8" i="14"/>
  <c r="AY9" i="14"/>
  <c r="AY10" i="14"/>
  <c r="AY11" i="14"/>
  <c r="AY12" i="14"/>
  <c r="AY13" i="14"/>
  <c r="AY14" i="14"/>
  <c r="AY15" i="14"/>
  <c r="AY16" i="14"/>
  <c r="AZ17" i="14"/>
  <c r="AV28" i="14"/>
  <c r="AX14" i="14"/>
  <c r="AO11" i="14"/>
  <c r="AO15" i="14"/>
  <c r="CY15" i="14"/>
  <c r="CY6" i="14"/>
  <c r="DA30" i="14"/>
  <c r="AB54" i="11"/>
  <c r="Y54" i="11"/>
  <c r="V54" i="11"/>
  <c r="AX11" i="14"/>
  <c r="AO7" i="14"/>
  <c r="B148" i="13"/>
  <c r="C148" i="13"/>
  <c r="DA54" i="14"/>
  <c r="DA66" i="14"/>
  <c r="C147" i="13"/>
  <c r="AX16" i="14"/>
  <c r="CY16" i="14"/>
  <c r="CY9" i="14"/>
  <c r="AX7" i="14"/>
  <c r="CZ5" i="14"/>
  <c r="CZ6" i="14"/>
  <c r="CZ7" i="14"/>
  <c r="CZ8" i="14"/>
  <c r="CZ9" i="14"/>
  <c r="CZ10" i="14"/>
  <c r="CZ11" i="14"/>
  <c r="CZ12" i="14"/>
  <c r="CZ13" i="14"/>
  <c r="CZ14" i="14"/>
  <c r="CZ15" i="14"/>
  <c r="CZ16" i="14"/>
  <c r="DA17" i="14"/>
  <c r="CW22" i="14"/>
  <c r="CY5" i="14"/>
  <c r="CY14" i="14"/>
  <c r="AX12" i="14"/>
  <c r="AX9" i="14"/>
  <c r="AX13" i="14"/>
  <c r="CP12" i="14"/>
  <c r="CP6" i="14"/>
  <c r="CP11" i="14"/>
  <c r="CP8" i="14"/>
  <c r="CP13" i="14"/>
  <c r="CP15" i="14"/>
  <c r="CP14" i="14"/>
  <c r="CP16" i="14"/>
  <c r="E42" i="11"/>
  <c r="DH11" i="14"/>
  <c r="H52" i="11"/>
  <c r="DH6" i="14"/>
  <c r="DH16" i="14"/>
  <c r="DH10" i="14"/>
  <c r="DH13" i="14"/>
  <c r="H26" i="11"/>
  <c r="E46" i="11"/>
  <c r="E50" i="11"/>
  <c r="W8" i="14"/>
  <c r="W10" i="14"/>
  <c r="W15" i="14"/>
  <c r="W16" i="14"/>
  <c r="W14" i="14"/>
  <c r="W6" i="14"/>
  <c r="W13" i="14"/>
  <c r="DJ30" i="14"/>
  <c r="AE54" i="11"/>
  <c r="BZ17" i="14"/>
  <c r="B168" i="13"/>
  <c r="C168" i="13"/>
  <c r="DJ54" i="14"/>
  <c r="C167" i="13"/>
  <c r="W12" i="14"/>
  <c r="CP10" i="14"/>
  <c r="CE22" i="14"/>
  <c r="CE27" i="14"/>
  <c r="CF28" i="14"/>
  <c r="CE28" i="14"/>
  <c r="CE20" i="14"/>
  <c r="CE25" i="14"/>
  <c r="CF26" i="14"/>
  <c r="CF27" i="14"/>
  <c r="CE23" i="14"/>
  <c r="CF24" i="14"/>
  <c r="CF25" i="14"/>
  <c r="CE21" i="14"/>
  <c r="CF22" i="14"/>
  <c r="CF23" i="14"/>
  <c r="CE19" i="14"/>
  <c r="CF20" i="14"/>
  <c r="CF21" i="14"/>
  <c r="CE18" i="14"/>
  <c r="CE26" i="14"/>
  <c r="CF19" i="14"/>
  <c r="CF17" i="14"/>
  <c r="CE24" i="14"/>
  <c r="CF18" i="14"/>
  <c r="CE17" i="14"/>
  <c r="DH15" i="14"/>
  <c r="BZ16" i="14"/>
  <c r="DH8" i="14"/>
  <c r="BI29" i="14"/>
  <c r="W5" i="14"/>
  <c r="X5" i="14"/>
  <c r="X6" i="14"/>
  <c r="X7" i="14"/>
  <c r="X8" i="14"/>
  <c r="X9" i="14"/>
  <c r="X10" i="14"/>
  <c r="X11" i="14"/>
  <c r="X12" i="14"/>
  <c r="X13" i="14"/>
  <c r="X14" i="14"/>
  <c r="X15" i="14"/>
  <c r="X16" i="14"/>
  <c r="AH17" i="14"/>
  <c r="BI28" i="14"/>
  <c r="DI5" i="14"/>
  <c r="DI6" i="14"/>
  <c r="DI7" i="14"/>
  <c r="DI8" i="14"/>
  <c r="DI9" i="14"/>
  <c r="DI10" i="14"/>
  <c r="DI11" i="14"/>
  <c r="DI12" i="14"/>
  <c r="DI13" i="14"/>
  <c r="DI14" i="14"/>
  <c r="DI15" i="14"/>
  <c r="DI16" i="14"/>
  <c r="DH5" i="14"/>
  <c r="W7" i="14"/>
  <c r="CP5" i="14"/>
  <c r="CQ5" i="14"/>
  <c r="CQ6" i="14"/>
  <c r="CQ7" i="14"/>
  <c r="CQ8" i="14"/>
  <c r="CQ9" i="14"/>
  <c r="CQ10" i="14"/>
  <c r="CQ11" i="14"/>
  <c r="CQ12" i="14"/>
  <c r="CQ13" i="14"/>
  <c r="CQ14" i="14"/>
  <c r="CQ15" i="14"/>
  <c r="CQ16" i="14"/>
  <c r="DH12" i="14"/>
  <c r="BQ16" i="14"/>
  <c r="AH16" i="14"/>
  <c r="DH14" i="14"/>
  <c r="BQ17" i="14"/>
  <c r="W9" i="14"/>
  <c r="CP7" i="14"/>
  <c r="DH7" i="14"/>
  <c r="W11" i="14"/>
  <c r="CP9" i="14"/>
  <c r="DH9" i="14"/>
  <c r="L24" i="14"/>
  <c r="M18" i="14"/>
  <c r="L17" i="14"/>
  <c r="L22" i="14"/>
  <c r="L27" i="14"/>
  <c r="M28" i="14"/>
  <c r="L28" i="14"/>
  <c r="L20" i="14"/>
  <c r="L25" i="14"/>
  <c r="M26" i="14"/>
  <c r="M27" i="14"/>
  <c r="L23" i="14"/>
  <c r="M22" i="14"/>
  <c r="M23" i="14"/>
  <c r="L19" i="14"/>
  <c r="M20" i="14"/>
  <c r="M21" i="14"/>
  <c r="L18" i="14"/>
  <c r="M24" i="14"/>
  <c r="L26" i="14"/>
  <c r="M25" i="14"/>
  <c r="M19" i="14"/>
  <c r="L21" i="14"/>
  <c r="M17" i="14"/>
  <c r="AO5" i="14"/>
  <c r="AO16" i="14"/>
  <c r="AO13" i="14"/>
  <c r="AP6" i="14"/>
  <c r="AP7" i="14"/>
  <c r="AP8" i="14"/>
  <c r="AP9" i="14"/>
  <c r="AP10" i="14"/>
  <c r="AP11" i="14"/>
  <c r="AP12" i="14"/>
  <c r="AP13" i="14"/>
  <c r="AP14" i="14"/>
  <c r="AP15" i="14"/>
  <c r="AP16" i="14"/>
  <c r="AQ17" i="14"/>
  <c r="AN28" i="14"/>
  <c r="AO6" i="14"/>
  <c r="E12" i="14"/>
  <c r="E13" i="14"/>
  <c r="F6" i="14"/>
  <c r="E9" i="14"/>
  <c r="E11" i="14"/>
  <c r="E6" i="14"/>
  <c r="E5" i="14"/>
  <c r="E14" i="14"/>
  <c r="E7" i="14"/>
  <c r="E10" i="14"/>
  <c r="F7" i="14"/>
  <c r="F8" i="14"/>
  <c r="F9" i="14"/>
  <c r="F10" i="14"/>
  <c r="F11" i="14"/>
  <c r="F12" i="14"/>
  <c r="F13" i="14"/>
  <c r="F14" i="14"/>
  <c r="F15" i="14"/>
  <c r="F16" i="14"/>
  <c r="G17" i="14"/>
  <c r="C17" i="14"/>
  <c r="E16" i="14"/>
  <c r="CW23" i="14"/>
  <c r="CW25" i="14"/>
  <c r="CX17" i="14"/>
  <c r="AM25" i="14"/>
  <c r="AN24" i="14"/>
  <c r="AN19" i="14"/>
  <c r="AN21" i="14"/>
  <c r="AM19" i="14"/>
  <c r="CW26" i="14"/>
  <c r="CX27" i="14"/>
  <c r="CW27" i="14"/>
  <c r="CW28" i="14"/>
  <c r="CX20" i="14"/>
  <c r="CX18" i="14"/>
  <c r="CX22" i="14"/>
  <c r="CY22" i="14"/>
  <c r="CX19" i="14"/>
  <c r="CX28" i="14"/>
  <c r="CW17" i="14"/>
  <c r="CW18" i="14"/>
  <c r="CX26" i="14"/>
  <c r="CW19" i="14"/>
  <c r="CX24" i="14"/>
  <c r="CW21" i="14"/>
  <c r="CX23" i="14"/>
  <c r="CX21" i="14"/>
  <c r="CW20" i="14"/>
  <c r="AV20" i="14"/>
  <c r="CW24" i="14"/>
  <c r="CX25" i="14"/>
  <c r="AV25" i="14"/>
  <c r="AV17" i="14"/>
  <c r="AY17" i="14"/>
  <c r="AV19" i="14"/>
  <c r="AV23" i="14"/>
  <c r="AV26" i="14"/>
  <c r="AM22" i="14"/>
  <c r="AN20" i="14"/>
  <c r="AM26" i="14"/>
  <c r="AM17" i="14"/>
  <c r="AW28" i="14"/>
  <c r="AX28" i="14"/>
  <c r="AW19" i="14"/>
  <c r="AV22" i="14"/>
  <c r="AM27" i="14"/>
  <c r="AN18" i="14"/>
  <c r="AM21" i="14"/>
  <c r="AW21" i="14"/>
  <c r="AV18" i="14"/>
  <c r="AW17" i="14"/>
  <c r="AV21" i="14"/>
  <c r="AN17" i="14"/>
  <c r="AM20" i="14"/>
  <c r="AM24" i="14"/>
  <c r="AW20" i="14"/>
  <c r="AW27" i="14"/>
  <c r="AN22" i="14"/>
  <c r="AM23" i="14"/>
  <c r="AW25" i="14"/>
  <c r="AW18" i="14"/>
  <c r="AW22" i="14"/>
  <c r="AN26" i="14"/>
  <c r="AW24" i="14"/>
  <c r="AW23" i="14"/>
  <c r="AV24" i="14"/>
  <c r="AM28" i="14"/>
  <c r="AO28" i="14"/>
  <c r="AN23" i="14"/>
  <c r="AN27" i="14"/>
  <c r="AV27" i="14"/>
  <c r="AW26" i="14"/>
  <c r="AM18" i="14"/>
  <c r="AN25" i="14"/>
  <c r="DA16" i="14"/>
  <c r="W52" i="11"/>
  <c r="Z52" i="11"/>
  <c r="AC52" i="11"/>
  <c r="Y55" i="11"/>
  <c r="V55" i="11"/>
  <c r="DA42" i="14"/>
  <c r="AB55" i="11"/>
  <c r="AZ16" i="14"/>
  <c r="N18" i="14"/>
  <c r="CG28" i="14"/>
  <c r="CG24" i="14"/>
  <c r="CG25" i="14"/>
  <c r="CG20" i="14"/>
  <c r="CG26" i="14"/>
  <c r="Z28" i="11"/>
  <c r="CG23" i="14"/>
  <c r="G26" i="11"/>
  <c r="D46" i="11"/>
  <c r="N26" i="14"/>
  <c r="N27" i="14"/>
  <c r="N24" i="14"/>
  <c r="N25" i="14"/>
  <c r="BN24" i="14"/>
  <c r="BM20" i="14"/>
  <c r="BM25" i="14"/>
  <c r="BN20" i="14"/>
  <c r="BN27" i="14"/>
  <c r="BM21" i="14"/>
  <c r="BM26" i="14"/>
  <c r="BN21" i="14"/>
  <c r="BM18" i="14"/>
  <c r="BM24" i="14"/>
  <c r="BN19" i="14"/>
  <c r="BN17" i="14"/>
  <c r="BM22" i="14"/>
  <c r="BM28" i="14"/>
  <c r="BN25" i="14"/>
  <c r="BN23" i="14"/>
  <c r="BN26" i="14"/>
  <c r="BM27" i="14"/>
  <c r="BN22" i="14"/>
  <c r="BM23" i="14"/>
  <c r="BM17" i="14"/>
  <c r="BM19" i="14"/>
  <c r="BN28" i="14"/>
  <c r="BN18" i="14"/>
  <c r="N20" i="14"/>
  <c r="DJ17" i="14"/>
  <c r="AE24" i="14"/>
  <c r="AD18" i="14"/>
  <c r="AE28" i="14"/>
  <c r="AE22" i="14"/>
  <c r="AE17" i="14"/>
  <c r="AD27" i="14"/>
  <c r="AE20" i="14"/>
  <c r="AE27" i="14"/>
  <c r="AD25" i="14"/>
  <c r="AD26" i="14"/>
  <c r="AE25" i="14"/>
  <c r="AD23" i="14"/>
  <c r="AD24" i="14"/>
  <c r="AE23" i="14"/>
  <c r="AD21" i="14"/>
  <c r="AD22" i="14"/>
  <c r="AE21" i="14"/>
  <c r="AD19" i="14"/>
  <c r="AD20" i="14"/>
  <c r="AE19" i="14"/>
  <c r="AD28" i="14"/>
  <c r="AE26" i="14"/>
  <c r="AE18" i="14"/>
  <c r="AD17" i="14"/>
  <c r="CG17" i="14"/>
  <c r="CH17" i="14"/>
  <c r="CH18" i="14"/>
  <c r="CH19" i="14"/>
  <c r="CH20" i="14"/>
  <c r="CH21" i="14"/>
  <c r="CH22" i="14"/>
  <c r="CH23" i="14"/>
  <c r="CH24" i="14"/>
  <c r="CH25" i="14"/>
  <c r="CH26" i="14"/>
  <c r="CH27" i="14"/>
  <c r="CH28" i="14"/>
  <c r="DJ16" i="14"/>
  <c r="CG22" i="14"/>
  <c r="N21" i="14"/>
  <c r="N19" i="14"/>
  <c r="N28" i="14"/>
  <c r="Y17" i="14"/>
  <c r="CG19" i="14"/>
  <c r="Y16" i="14"/>
  <c r="AE55" i="11"/>
  <c r="DJ42" i="14"/>
  <c r="DJ66" i="14"/>
  <c r="N23" i="14"/>
  <c r="N22" i="14"/>
  <c r="CR17" i="14"/>
  <c r="CG21" i="14"/>
  <c r="BW27" i="14"/>
  <c r="BV21" i="14"/>
  <c r="BW24" i="14"/>
  <c r="BW25" i="14"/>
  <c r="BV19" i="14"/>
  <c r="BW22" i="14"/>
  <c r="BV18" i="14"/>
  <c r="BW23" i="14"/>
  <c r="BW18" i="14"/>
  <c r="BW20" i="14"/>
  <c r="BV28" i="14"/>
  <c r="BW21" i="14"/>
  <c r="BV23" i="14"/>
  <c r="BW19" i="14"/>
  <c r="BW17" i="14"/>
  <c r="BV26" i="14"/>
  <c r="BV27" i="14"/>
  <c r="BV17" i="14"/>
  <c r="BV24" i="14"/>
  <c r="BW26" i="14"/>
  <c r="BV25" i="14"/>
  <c r="BW28" i="14"/>
  <c r="BV22" i="14"/>
  <c r="BV20" i="14"/>
  <c r="N17" i="14"/>
  <c r="O17" i="14"/>
  <c r="O18" i="14"/>
  <c r="O19" i="14"/>
  <c r="O20" i="14"/>
  <c r="O21" i="14"/>
  <c r="O22" i="14"/>
  <c r="O23" i="14"/>
  <c r="O24" i="14"/>
  <c r="O25" i="14"/>
  <c r="O26" i="14"/>
  <c r="O27" i="14"/>
  <c r="O28" i="14"/>
  <c r="K52" i="11"/>
  <c r="N28" i="11"/>
  <c r="CR16" i="14"/>
  <c r="AC28" i="11"/>
  <c r="AI52" i="11"/>
  <c r="BE34" i="14"/>
  <c r="BE33" i="14"/>
  <c r="BF31" i="14"/>
  <c r="BE36" i="14"/>
  <c r="BF38" i="14"/>
  <c r="BE35" i="14"/>
  <c r="BF33" i="14"/>
  <c r="BE29" i="14"/>
  <c r="BE37" i="14"/>
  <c r="BF35" i="14"/>
  <c r="BE40" i="14"/>
  <c r="BF32" i="14"/>
  <c r="BF30" i="14"/>
  <c r="BE39" i="14"/>
  <c r="BF37" i="14"/>
  <c r="BF39" i="14"/>
  <c r="BF34" i="14"/>
  <c r="BE38" i="14"/>
  <c r="BF40" i="14"/>
  <c r="BF36" i="14"/>
  <c r="BF29" i="14"/>
  <c r="BE30" i="14"/>
  <c r="BE32" i="14"/>
  <c r="BE31" i="14"/>
  <c r="CG18" i="14"/>
  <c r="CG27" i="14"/>
  <c r="AP17" i="14"/>
  <c r="AQ16" i="14"/>
  <c r="Q28" i="11"/>
  <c r="F17" i="14"/>
  <c r="C23" i="14"/>
  <c r="C25" i="14"/>
  <c r="C24" i="14"/>
  <c r="C22" i="14"/>
  <c r="C18" i="14"/>
  <c r="D27" i="14"/>
  <c r="D26" i="14"/>
  <c r="D25" i="14"/>
  <c r="E25" i="14"/>
  <c r="D19" i="14"/>
  <c r="C21" i="14"/>
  <c r="D24" i="14"/>
  <c r="E24" i="14"/>
  <c r="D18" i="14"/>
  <c r="C28" i="14"/>
  <c r="C19" i="14"/>
  <c r="D28" i="14"/>
  <c r="D17" i="14"/>
  <c r="E17" i="14"/>
  <c r="D23" i="14"/>
  <c r="E23" i="14"/>
  <c r="D20" i="14"/>
  <c r="C27" i="14"/>
  <c r="D22" i="14"/>
  <c r="E22" i="14"/>
  <c r="C26" i="14"/>
  <c r="E26" i="14"/>
  <c r="G16" i="14"/>
  <c r="H28" i="11"/>
  <c r="D21" i="14"/>
  <c r="C20" i="14"/>
  <c r="CY23" i="14"/>
  <c r="CY17" i="14"/>
  <c r="CY25" i="14"/>
  <c r="CY28" i="14"/>
  <c r="AX22" i="14"/>
  <c r="CY20" i="14"/>
  <c r="AO17" i="14"/>
  <c r="CZ17" i="14"/>
  <c r="CZ18" i="14"/>
  <c r="CZ19" i="14"/>
  <c r="CZ20" i="14"/>
  <c r="CZ21" i="14"/>
  <c r="CZ22" i="14"/>
  <c r="CZ23" i="14"/>
  <c r="CZ24" i="14"/>
  <c r="CZ25" i="14"/>
  <c r="CZ26" i="14"/>
  <c r="CZ27" i="14"/>
  <c r="CZ28" i="14"/>
  <c r="DA29" i="14"/>
  <c r="AX17" i="14"/>
  <c r="AX26" i="14"/>
  <c r="AX20" i="14"/>
  <c r="CY18" i="14"/>
  <c r="CY27" i="14"/>
  <c r="AX25" i="14"/>
  <c r="AO19" i="14"/>
  <c r="AO25" i="14"/>
  <c r="AX23" i="14"/>
  <c r="AX27" i="14"/>
  <c r="AO18" i="14"/>
  <c r="AO21" i="14"/>
  <c r="AO20" i="14"/>
  <c r="CY24" i="14"/>
  <c r="CY26" i="14"/>
  <c r="AO24" i="14"/>
  <c r="AX21" i="14"/>
  <c r="AX19" i="14"/>
  <c r="CY19" i="14"/>
  <c r="AP18" i="14"/>
  <c r="AP19" i="14"/>
  <c r="AP20" i="14"/>
  <c r="AP21" i="14"/>
  <c r="AP22" i="14"/>
  <c r="AP23" i="14"/>
  <c r="AP24" i="14"/>
  <c r="AP25" i="14"/>
  <c r="AP26" i="14"/>
  <c r="AP27" i="14"/>
  <c r="AP28" i="14"/>
  <c r="AQ29" i="14"/>
  <c r="CY21" i="14"/>
  <c r="AO26" i="14"/>
  <c r="AO27" i="14"/>
  <c r="AX24" i="14"/>
  <c r="AO22" i="14"/>
  <c r="AX18" i="14"/>
  <c r="AO23" i="14"/>
  <c r="AY18" i="14"/>
  <c r="AY19" i="14"/>
  <c r="AY20" i="14"/>
  <c r="AY21" i="14"/>
  <c r="AY22" i="14"/>
  <c r="AY23" i="14"/>
  <c r="AY24" i="14"/>
  <c r="AY25" i="14"/>
  <c r="AY26" i="14"/>
  <c r="AY27" i="14"/>
  <c r="AY28" i="14"/>
  <c r="AZ29" i="14"/>
  <c r="Q52" i="11"/>
  <c r="T28" i="11"/>
  <c r="BX27" i="14"/>
  <c r="BX24" i="14"/>
  <c r="BG37" i="14"/>
  <c r="BO24" i="14"/>
  <c r="BG35" i="14"/>
  <c r="BO26" i="14"/>
  <c r="BO19" i="14"/>
  <c r="BO21" i="14"/>
  <c r="BO27" i="14"/>
  <c r="BX22" i="14"/>
  <c r="N52" i="11"/>
  <c r="BG31" i="14"/>
  <c r="AF22" i="14"/>
  <c r="BO23" i="14"/>
  <c r="AF52" i="11"/>
  <c r="K28" i="11"/>
  <c r="BX20" i="14"/>
  <c r="AF24" i="14"/>
  <c r="BX19" i="14"/>
  <c r="BX25" i="14"/>
  <c r="BX23" i="14"/>
  <c r="AF20" i="14"/>
  <c r="AF25" i="14"/>
  <c r="AF28" i="14"/>
  <c r="BG29" i="14"/>
  <c r="BH29" i="14"/>
  <c r="BH30" i="14"/>
  <c r="BH31" i="14"/>
  <c r="BH32" i="14"/>
  <c r="BH33" i="14"/>
  <c r="BH34" i="14"/>
  <c r="BH35" i="14"/>
  <c r="BH36" i="14"/>
  <c r="BH37" i="14"/>
  <c r="BH38" i="14"/>
  <c r="BH39" i="14"/>
  <c r="BH40" i="14"/>
  <c r="P28" i="14"/>
  <c r="CI28" i="14"/>
  <c r="BG32" i="14"/>
  <c r="BX26" i="14"/>
  <c r="AF17" i="14"/>
  <c r="AG17" i="14"/>
  <c r="AG18" i="14"/>
  <c r="AG19" i="14"/>
  <c r="AG20" i="14"/>
  <c r="AG21" i="14"/>
  <c r="AG22" i="14"/>
  <c r="AG23" i="14"/>
  <c r="AG24" i="14"/>
  <c r="AG25" i="14"/>
  <c r="AG26" i="14"/>
  <c r="AG27" i="14"/>
  <c r="AG28" i="14"/>
  <c r="BO28" i="14"/>
  <c r="BG30" i="14"/>
  <c r="BG39" i="14"/>
  <c r="BX18" i="14"/>
  <c r="AF21" i="14"/>
  <c r="DG23" i="14"/>
  <c r="DF19" i="14"/>
  <c r="DF20" i="14"/>
  <c r="DF28" i="14"/>
  <c r="DG17" i="14"/>
  <c r="DG21" i="14"/>
  <c r="DG26" i="14"/>
  <c r="DG18" i="14"/>
  <c r="DG22" i="14"/>
  <c r="DG19" i="14"/>
  <c r="DG24" i="14"/>
  <c r="DF18" i="14"/>
  <c r="DF27" i="14"/>
  <c r="DG20" i="14"/>
  <c r="DF17" i="14"/>
  <c r="DG28" i="14"/>
  <c r="DF25" i="14"/>
  <c r="DF26" i="14"/>
  <c r="DF21" i="14"/>
  <c r="DG27" i="14"/>
  <c r="DF23" i="14"/>
  <c r="DF24" i="14"/>
  <c r="DG25" i="14"/>
  <c r="DF22" i="14"/>
  <c r="BO17" i="14"/>
  <c r="BP17" i="14"/>
  <c r="BP18" i="14"/>
  <c r="BP19" i="14"/>
  <c r="BP20" i="14"/>
  <c r="BP21" i="14"/>
  <c r="BP22" i="14"/>
  <c r="BP23" i="14"/>
  <c r="BP24" i="14"/>
  <c r="BP25" i="14"/>
  <c r="BP26" i="14"/>
  <c r="BP27" i="14"/>
  <c r="BP28" i="14"/>
  <c r="BO22" i="14"/>
  <c r="CN18" i="14"/>
  <c r="CO28" i="14"/>
  <c r="CN22" i="14"/>
  <c r="CO17" i="14"/>
  <c r="CN20" i="14"/>
  <c r="CN25" i="14"/>
  <c r="CO22" i="14"/>
  <c r="CN28" i="14"/>
  <c r="CO24" i="14"/>
  <c r="CN27" i="14"/>
  <c r="CO26" i="14"/>
  <c r="CO18" i="14"/>
  <c r="CO27" i="14"/>
  <c r="CO25" i="14"/>
  <c r="CN23" i="14"/>
  <c r="CN24" i="14"/>
  <c r="CO19" i="14"/>
  <c r="CO23" i="14"/>
  <c r="CN21" i="14"/>
  <c r="CO20" i="14"/>
  <c r="CO21" i="14"/>
  <c r="CN19" i="14"/>
  <c r="CN26" i="14"/>
  <c r="CN17" i="14"/>
  <c r="AF27" i="14"/>
  <c r="BO25" i="14"/>
  <c r="BG36" i="14"/>
  <c r="BG40" i="14"/>
  <c r="AF23" i="14"/>
  <c r="BO20" i="14"/>
  <c r="BG38" i="14"/>
  <c r="BG33" i="14"/>
  <c r="BX28" i="14"/>
  <c r="BO18" i="14"/>
  <c r="BG34" i="14"/>
  <c r="P29" i="14"/>
  <c r="BX17" i="14"/>
  <c r="BY17" i="14"/>
  <c r="BY18" i="14"/>
  <c r="BY19" i="14"/>
  <c r="BY20" i="14"/>
  <c r="BY21" i="14"/>
  <c r="BY22" i="14"/>
  <c r="BY23" i="14"/>
  <c r="BY24" i="14"/>
  <c r="BY25" i="14"/>
  <c r="BY26" i="14"/>
  <c r="BY27" i="14"/>
  <c r="BY28" i="14"/>
  <c r="BX21" i="14"/>
  <c r="V23" i="14"/>
  <c r="U21" i="14"/>
  <c r="V20" i="14"/>
  <c r="U28" i="14"/>
  <c r="V21" i="14"/>
  <c r="U19" i="14"/>
  <c r="U26" i="14"/>
  <c r="V19" i="14"/>
  <c r="U17" i="14"/>
  <c r="U24" i="14"/>
  <c r="V17" i="14"/>
  <c r="U18" i="14"/>
  <c r="V28" i="14"/>
  <c r="U22" i="14"/>
  <c r="U20" i="14"/>
  <c r="U27" i="14"/>
  <c r="V26" i="14"/>
  <c r="V18" i="14"/>
  <c r="V25" i="14"/>
  <c r="U23" i="14"/>
  <c r="V22" i="14"/>
  <c r="V27" i="14"/>
  <c r="U25" i="14"/>
  <c r="V24" i="14"/>
  <c r="CI29" i="14"/>
  <c r="AF19" i="14"/>
  <c r="AF26" i="14"/>
  <c r="AF18" i="14"/>
  <c r="E28" i="14"/>
  <c r="E18" i="14"/>
  <c r="F18" i="14"/>
  <c r="F19" i="14"/>
  <c r="F20" i="14"/>
  <c r="F21" i="14"/>
  <c r="F22" i="14"/>
  <c r="F23" i="14"/>
  <c r="F24" i="14"/>
  <c r="F25" i="14"/>
  <c r="F26" i="14"/>
  <c r="F27" i="14"/>
  <c r="F28" i="14"/>
  <c r="G29" i="14"/>
  <c r="E19" i="14"/>
  <c r="E21" i="14"/>
  <c r="E27" i="14"/>
  <c r="E20" i="14"/>
  <c r="E52" i="11"/>
  <c r="DA28" i="14"/>
  <c r="W53" i="11"/>
  <c r="Z53" i="11"/>
  <c r="AC53" i="11"/>
  <c r="AZ28" i="14"/>
  <c r="T29" i="11"/>
  <c r="AQ28" i="14"/>
  <c r="Q29" i="11"/>
  <c r="CP27" i="14"/>
  <c r="CP19" i="14"/>
  <c r="CP24" i="14"/>
  <c r="CP22" i="14"/>
  <c r="DH21" i="14"/>
  <c r="DH20" i="14"/>
  <c r="H53" i="11"/>
  <c r="E29" i="11"/>
  <c r="W25" i="14"/>
  <c r="W20" i="14"/>
  <c r="W23" i="14"/>
  <c r="W24" i="14"/>
  <c r="W21" i="14"/>
  <c r="W26" i="14"/>
  <c r="W19" i="14"/>
  <c r="DH17" i="14"/>
  <c r="DI17" i="14"/>
  <c r="DI18" i="14"/>
  <c r="DI19" i="14"/>
  <c r="DI20" i="14"/>
  <c r="DI21" i="14"/>
  <c r="DI22" i="14"/>
  <c r="DI23" i="14"/>
  <c r="DI24" i="14"/>
  <c r="DI25" i="14"/>
  <c r="DI26" i="14"/>
  <c r="DI27" i="14"/>
  <c r="DI28" i="14"/>
  <c r="CF36" i="14"/>
  <c r="CF33" i="14"/>
  <c r="CE30" i="14"/>
  <c r="CF34" i="14"/>
  <c r="CF31" i="14"/>
  <c r="CE29" i="14"/>
  <c r="CF39" i="14"/>
  <c r="CF32" i="14"/>
  <c r="CF30" i="14"/>
  <c r="CE40" i="14"/>
  <c r="CE34" i="14"/>
  <c r="CF38" i="14"/>
  <c r="CE32" i="14"/>
  <c r="CE35" i="14"/>
  <c r="CF35" i="14"/>
  <c r="CF29" i="14"/>
  <c r="CE37" i="14"/>
  <c r="CF40" i="14"/>
  <c r="CE33" i="14"/>
  <c r="CE38" i="14"/>
  <c r="CE31" i="14"/>
  <c r="CE39" i="14"/>
  <c r="CE36" i="14"/>
  <c r="CF37" i="14"/>
  <c r="W17" i="14"/>
  <c r="X17" i="14"/>
  <c r="X18" i="14"/>
  <c r="X19" i="14"/>
  <c r="X20" i="14"/>
  <c r="X21" i="14"/>
  <c r="X22" i="14"/>
  <c r="X23" i="14"/>
  <c r="X24" i="14"/>
  <c r="X25" i="14"/>
  <c r="X26" i="14"/>
  <c r="X27" i="14"/>
  <c r="X28" i="14"/>
  <c r="CW40" i="14"/>
  <c r="CW39" i="14"/>
  <c r="CX31" i="14"/>
  <c r="CX34" i="14"/>
  <c r="CX29" i="14"/>
  <c r="CW35" i="14"/>
  <c r="CX39" i="14"/>
  <c r="CW36" i="14"/>
  <c r="CX37" i="14"/>
  <c r="CX38" i="14"/>
  <c r="CW34" i="14"/>
  <c r="CX35" i="14"/>
  <c r="CW29" i="14"/>
  <c r="CX40" i="14"/>
  <c r="CX33" i="14"/>
  <c r="CX36" i="14"/>
  <c r="CW37" i="14"/>
  <c r="CX32" i="14"/>
  <c r="CW33" i="14"/>
  <c r="CW38" i="14"/>
  <c r="CW31" i="14"/>
  <c r="CW32" i="14"/>
  <c r="CX30" i="14"/>
  <c r="CW30" i="14"/>
  <c r="CP18" i="14"/>
  <c r="DH24" i="14"/>
  <c r="AH28" i="14"/>
  <c r="AH29" i="14"/>
  <c r="W27" i="14"/>
  <c r="CP17" i="14"/>
  <c r="CQ17" i="14"/>
  <c r="CQ18" i="14"/>
  <c r="CQ19" i="14"/>
  <c r="CQ20" i="14"/>
  <c r="CQ21" i="14"/>
  <c r="CQ22" i="14"/>
  <c r="CQ23" i="14"/>
  <c r="CQ24" i="14"/>
  <c r="CQ25" i="14"/>
  <c r="CQ26" i="14"/>
  <c r="CQ27" i="14"/>
  <c r="CQ28" i="14"/>
  <c r="CP28" i="14"/>
  <c r="DH23" i="14"/>
  <c r="DH27" i="14"/>
  <c r="CP26" i="14"/>
  <c r="CP23" i="14"/>
  <c r="DH18" i="14"/>
  <c r="DH28" i="14"/>
  <c r="AN40" i="14"/>
  <c r="AN31" i="14"/>
  <c r="AN30" i="14"/>
  <c r="AM38" i="14"/>
  <c r="AM35" i="14"/>
  <c r="AM36" i="14"/>
  <c r="AN37" i="14"/>
  <c r="AN36" i="14"/>
  <c r="AM30" i="14"/>
  <c r="AN35" i="14"/>
  <c r="AN34" i="14"/>
  <c r="AN29" i="14"/>
  <c r="AN38" i="14"/>
  <c r="AN32" i="14"/>
  <c r="AN39" i="14"/>
  <c r="AM40" i="14"/>
  <c r="AM29" i="14"/>
  <c r="AM34" i="14"/>
  <c r="AM39" i="14"/>
  <c r="AM32" i="14"/>
  <c r="AN33" i="14"/>
  <c r="AM37" i="14"/>
  <c r="AM33" i="14"/>
  <c r="AM31" i="14"/>
  <c r="BZ29" i="14"/>
  <c r="W22" i="14"/>
  <c r="BZ28" i="14"/>
  <c r="CP25" i="14"/>
  <c r="CP20" i="14"/>
  <c r="BQ29" i="14"/>
  <c r="DH26" i="14"/>
  <c r="DH19" i="14"/>
  <c r="W28" i="14"/>
  <c r="AW39" i="14"/>
  <c r="AW40" i="14"/>
  <c r="AW35" i="14"/>
  <c r="AW38" i="14"/>
  <c r="AV36" i="14"/>
  <c r="AW33" i="14"/>
  <c r="AW30" i="14"/>
  <c r="AV34" i="14"/>
  <c r="AW31" i="14"/>
  <c r="AW36" i="14"/>
  <c r="AV32" i="14"/>
  <c r="AV37" i="14"/>
  <c r="AW34" i="14"/>
  <c r="AV29" i="14"/>
  <c r="AV35" i="14"/>
  <c r="AW32" i="14"/>
  <c r="AV38" i="14"/>
  <c r="AV33" i="14"/>
  <c r="AV30" i="14"/>
  <c r="AV39" i="14"/>
  <c r="AV31" i="14"/>
  <c r="AV40" i="14"/>
  <c r="AW29" i="14"/>
  <c r="AW37" i="14"/>
  <c r="BQ28" i="14"/>
  <c r="DH25" i="14"/>
  <c r="BI41" i="14"/>
  <c r="W18" i="14"/>
  <c r="M34" i="14"/>
  <c r="M35" i="14"/>
  <c r="L31" i="14"/>
  <c r="M32" i="14"/>
  <c r="M33" i="14"/>
  <c r="L29" i="14"/>
  <c r="M39" i="14"/>
  <c r="L38" i="14"/>
  <c r="M31" i="14"/>
  <c r="M40" i="14"/>
  <c r="L34" i="14"/>
  <c r="M29" i="14"/>
  <c r="L39" i="14"/>
  <c r="L32" i="14"/>
  <c r="L37" i="14"/>
  <c r="L40" i="14"/>
  <c r="L33" i="14"/>
  <c r="M38" i="14"/>
  <c r="M36" i="14"/>
  <c r="L36" i="14"/>
  <c r="M30" i="14"/>
  <c r="M37" i="14"/>
  <c r="L30" i="14"/>
  <c r="L35" i="14"/>
  <c r="CP21" i="14"/>
  <c r="DH22" i="14"/>
  <c r="BI40" i="14"/>
  <c r="G28" i="14"/>
  <c r="E53" i="11"/>
  <c r="C39" i="14"/>
  <c r="C37" i="14"/>
  <c r="C32" i="14"/>
  <c r="C35" i="14"/>
  <c r="D39" i="14"/>
  <c r="D36" i="14"/>
  <c r="C31" i="14"/>
  <c r="D35" i="14"/>
  <c r="D32" i="14"/>
  <c r="D29" i="14"/>
  <c r="D31" i="14"/>
  <c r="C36" i="14"/>
  <c r="E36" i="14"/>
  <c r="D30" i="14"/>
  <c r="C34" i="14"/>
  <c r="C40" i="14"/>
  <c r="D40" i="14"/>
  <c r="D38" i="14"/>
  <c r="C33" i="14"/>
  <c r="D37" i="14"/>
  <c r="D34" i="14"/>
  <c r="C30" i="14"/>
  <c r="E30" i="14"/>
  <c r="D33" i="14"/>
  <c r="C38" i="14"/>
  <c r="E38" i="14"/>
  <c r="C29" i="14"/>
  <c r="E29" i="14"/>
  <c r="Q53" i="11"/>
  <c r="CG38" i="14"/>
  <c r="CG31" i="14"/>
  <c r="CY37" i="14"/>
  <c r="CY33" i="14"/>
  <c r="AO36" i="14"/>
  <c r="AO32" i="14"/>
  <c r="CG33" i="14"/>
  <c r="CY35" i="14"/>
  <c r="CY34" i="14"/>
  <c r="CG32" i="14"/>
  <c r="Z29" i="11"/>
  <c r="CG39" i="14"/>
  <c r="AO38" i="14"/>
  <c r="AO33" i="14"/>
  <c r="CG37" i="14"/>
  <c r="S23" i="11"/>
  <c r="P42" i="11"/>
  <c r="N33" i="14"/>
  <c r="N31" i="14"/>
  <c r="N34" i="14"/>
  <c r="N32" i="14"/>
  <c r="AX30" i="14"/>
  <c r="AX38" i="14"/>
  <c r="AX40" i="14"/>
  <c r="AX31" i="14"/>
  <c r="N39" i="14"/>
  <c r="AX34" i="14"/>
  <c r="AI53" i="11"/>
  <c r="AC29" i="11"/>
  <c r="AX36" i="14"/>
  <c r="AO37" i="14"/>
  <c r="CY39" i="14"/>
  <c r="AX29" i="14"/>
  <c r="AY29" i="14"/>
  <c r="AY30" i="14"/>
  <c r="AY31" i="14"/>
  <c r="AY32" i="14"/>
  <c r="AY33" i="14"/>
  <c r="AY34" i="14"/>
  <c r="AY35" i="14"/>
  <c r="AY36" i="14"/>
  <c r="AY37" i="14"/>
  <c r="AY38" i="14"/>
  <c r="AY39" i="14"/>
  <c r="AY40" i="14"/>
  <c r="N36" i="14"/>
  <c r="AX39" i="14"/>
  <c r="AX37" i="14"/>
  <c r="BN36" i="14"/>
  <c r="BN37" i="14"/>
  <c r="BM31" i="14"/>
  <c r="BN38" i="14"/>
  <c r="BN32" i="14"/>
  <c r="BN33" i="14"/>
  <c r="BN29" i="14"/>
  <c r="BM32" i="14"/>
  <c r="BM37" i="14"/>
  <c r="BM30" i="14"/>
  <c r="BN40" i="14"/>
  <c r="BM35" i="14"/>
  <c r="BM40" i="14"/>
  <c r="BN39" i="14"/>
  <c r="BN35" i="14"/>
  <c r="BM39" i="14"/>
  <c r="BN31" i="14"/>
  <c r="BN30" i="14"/>
  <c r="BM38" i="14"/>
  <c r="BM29" i="14"/>
  <c r="BM33" i="14"/>
  <c r="BN34" i="14"/>
  <c r="BM36" i="14"/>
  <c r="BM34" i="14"/>
  <c r="AO35" i="14"/>
  <c r="CY40" i="14"/>
  <c r="CG34" i="14"/>
  <c r="CG30" i="14"/>
  <c r="N29" i="14"/>
  <c r="O29" i="14"/>
  <c r="O30" i="14"/>
  <c r="O31" i="14"/>
  <c r="O32" i="14"/>
  <c r="O33" i="14"/>
  <c r="O34" i="14"/>
  <c r="O35" i="14"/>
  <c r="O36" i="14"/>
  <c r="O37" i="14"/>
  <c r="O38" i="14"/>
  <c r="O39" i="14"/>
  <c r="O40" i="14"/>
  <c r="BE52" i="14"/>
  <c r="BE44" i="14"/>
  <c r="BF44" i="14"/>
  <c r="BE49" i="14"/>
  <c r="BE51" i="14"/>
  <c r="BF41" i="14"/>
  <c r="BE42" i="14"/>
  <c r="BE46" i="14"/>
  <c r="BF46" i="14"/>
  <c r="BE48" i="14"/>
  <c r="BF48" i="14"/>
  <c r="BE50" i="14"/>
  <c r="BF50" i="14"/>
  <c r="BF42" i="14"/>
  <c r="BE45" i="14"/>
  <c r="BE43" i="14"/>
  <c r="BE41" i="14"/>
  <c r="BF43" i="14"/>
  <c r="BE47" i="14"/>
  <c r="BF51" i="14"/>
  <c r="BF52" i="14"/>
  <c r="BF45" i="14"/>
  <c r="BF47" i="14"/>
  <c r="BF49" i="14"/>
  <c r="AX32" i="14"/>
  <c r="CY30" i="14"/>
  <c r="CY36" i="14"/>
  <c r="Y29" i="14"/>
  <c r="CG40" i="14"/>
  <c r="AD38" i="14"/>
  <c r="AD29" i="14"/>
  <c r="AD31" i="14"/>
  <c r="AE39" i="14"/>
  <c r="AD36" i="14"/>
  <c r="AE37" i="14"/>
  <c r="AE38" i="14"/>
  <c r="AD34" i="14"/>
  <c r="AE35" i="14"/>
  <c r="AE40" i="14"/>
  <c r="AD32" i="14"/>
  <c r="AE33" i="14"/>
  <c r="AE36" i="14"/>
  <c r="AE30" i="14"/>
  <c r="AE31" i="14"/>
  <c r="AE34" i="14"/>
  <c r="AD39" i="14"/>
  <c r="AD37" i="14"/>
  <c r="AE32" i="14"/>
  <c r="AD30" i="14"/>
  <c r="AD35" i="14"/>
  <c r="AD40" i="14"/>
  <c r="AE29" i="14"/>
  <c r="AD33" i="14"/>
  <c r="AO34" i="14"/>
  <c r="K53" i="11"/>
  <c r="N29" i="11"/>
  <c r="CY32" i="14"/>
  <c r="DJ29" i="14"/>
  <c r="Y28" i="14"/>
  <c r="N38" i="14"/>
  <c r="BW35" i="14"/>
  <c r="BW29" i="14"/>
  <c r="BV36" i="14"/>
  <c r="BW31" i="14"/>
  <c r="BV30" i="14"/>
  <c r="BV32" i="14"/>
  <c r="BW39" i="14"/>
  <c r="BV33" i="14"/>
  <c r="BW36" i="14"/>
  <c r="BV40" i="14"/>
  <c r="BV31" i="14"/>
  <c r="BW34" i="14"/>
  <c r="BW38" i="14"/>
  <c r="BV39" i="14"/>
  <c r="BW37" i="14"/>
  <c r="BW32" i="14"/>
  <c r="BW33" i="14"/>
  <c r="BV34" i="14"/>
  <c r="BV37" i="14"/>
  <c r="BV35" i="14"/>
  <c r="BW30" i="14"/>
  <c r="BV38" i="14"/>
  <c r="BW40" i="14"/>
  <c r="BV29" i="14"/>
  <c r="AO29" i="14"/>
  <c r="AP29" i="14"/>
  <c r="AP30" i="14"/>
  <c r="AP31" i="14"/>
  <c r="AP32" i="14"/>
  <c r="AP33" i="14"/>
  <c r="AP34" i="14"/>
  <c r="AP35" i="14"/>
  <c r="AP36" i="14"/>
  <c r="AP37" i="14"/>
  <c r="AP38" i="14"/>
  <c r="AP39" i="14"/>
  <c r="AP40" i="14"/>
  <c r="AO30" i="14"/>
  <c r="CR29" i="14"/>
  <c r="CY31" i="14"/>
  <c r="CY29" i="14"/>
  <c r="CZ29" i="14"/>
  <c r="CZ30" i="14"/>
  <c r="CZ31" i="14"/>
  <c r="CZ32" i="14"/>
  <c r="CZ33" i="14"/>
  <c r="CZ34" i="14"/>
  <c r="CZ35" i="14"/>
  <c r="CZ36" i="14"/>
  <c r="CZ37" i="14"/>
  <c r="CZ38" i="14"/>
  <c r="CZ39" i="14"/>
  <c r="CZ40" i="14"/>
  <c r="CG36" i="14"/>
  <c r="DJ28" i="14"/>
  <c r="AX33" i="14"/>
  <c r="AO39" i="14"/>
  <c r="N35" i="14"/>
  <c r="N40" i="14"/>
  <c r="N30" i="14"/>
  <c r="N37" i="14"/>
  <c r="AX35" i="14"/>
  <c r="AO31" i="14"/>
  <c r="AO40" i="14"/>
  <c r="CR28" i="14"/>
  <c r="CY38" i="14"/>
  <c r="CG35" i="14"/>
  <c r="CG29" i="14"/>
  <c r="CH29" i="14"/>
  <c r="CH30" i="14"/>
  <c r="CH31" i="14"/>
  <c r="CH32" i="14"/>
  <c r="CH33" i="14"/>
  <c r="CH34" i="14"/>
  <c r="CH35" i="14"/>
  <c r="CH36" i="14"/>
  <c r="CH37" i="14"/>
  <c r="CH38" i="14"/>
  <c r="CH39" i="14"/>
  <c r="CH40" i="14"/>
  <c r="F29" i="14"/>
  <c r="F30" i="14"/>
  <c r="F31" i="14"/>
  <c r="F32" i="14"/>
  <c r="F33" i="14"/>
  <c r="F34" i="14"/>
  <c r="F35" i="14"/>
  <c r="F36" i="14"/>
  <c r="F37" i="14"/>
  <c r="F38" i="14"/>
  <c r="F39" i="14"/>
  <c r="F40" i="14"/>
  <c r="G41" i="14"/>
  <c r="E33" i="14"/>
  <c r="E34" i="14"/>
  <c r="E35" i="14"/>
  <c r="H29" i="11"/>
  <c r="E37" i="14"/>
  <c r="E40" i="14"/>
  <c r="E31" i="14"/>
  <c r="E39" i="14"/>
  <c r="E32" i="14"/>
  <c r="BO40" i="14"/>
  <c r="BG48" i="14"/>
  <c r="BG44" i="14"/>
  <c r="BG52" i="14"/>
  <c r="BG43" i="14"/>
  <c r="BG46" i="14"/>
  <c r="BO34" i="14"/>
  <c r="BO39" i="14"/>
  <c r="BG45" i="14"/>
  <c r="BG42" i="14"/>
  <c r="BO36" i="14"/>
  <c r="BG51" i="14"/>
  <c r="N53" i="11"/>
  <c r="BO38" i="14"/>
  <c r="BO37" i="14"/>
  <c r="BO32" i="14"/>
  <c r="AF53" i="11"/>
  <c r="V23" i="11"/>
  <c r="S42" i="11"/>
  <c r="K29" i="11"/>
  <c r="T23" i="11"/>
  <c r="W11" i="17"/>
  <c r="AF39" i="14"/>
  <c r="AF33" i="14"/>
  <c r="BX37" i="14"/>
  <c r="BX36" i="14"/>
  <c r="BX34" i="14"/>
  <c r="BX40" i="14"/>
  <c r="AF37" i="14"/>
  <c r="AF38" i="14"/>
  <c r="BX31" i="14"/>
  <c r="DA41" i="14"/>
  <c r="AF34" i="14"/>
  <c r="DG37" i="14"/>
  <c r="DF40" i="14"/>
  <c r="DG29" i="14"/>
  <c r="DG38" i="14"/>
  <c r="DG35" i="14"/>
  <c r="DG36" i="14"/>
  <c r="DG40" i="14"/>
  <c r="DG33" i="14"/>
  <c r="DG34" i="14"/>
  <c r="DG39" i="14"/>
  <c r="DG31" i="14"/>
  <c r="DG32" i="14"/>
  <c r="DF38" i="14"/>
  <c r="DF37" i="14"/>
  <c r="DF36" i="14"/>
  <c r="DF30" i="14"/>
  <c r="DF35" i="14"/>
  <c r="DF34" i="14"/>
  <c r="DF29" i="14"/>
  <c r="DF33" i="14"/>
  <c r="DF32" i="14"/>
  <c r="DF39" i="14"/>
  <c r="DF31" i="14"/>
  <c r="DG30" i="14"/>
  <c r="AZ41" i="14"/>
  <c r="BX38" i="14"/>
  <c r="BX39" i="14"/>
  <c r="BX32" i="14"/>
  <c r="AF35" i="14"/>
  <c r="AF36" i="14"/>
  <c r="BG50" i="14"/>
  <c r="BG49" i="14"/>
  <c r="BO29" i="14"/>
  <c r="BP29" i="14"/>
  <c r="BP30" i="14"/>
  <c r="BP31" i="14"/>
  <c r="BP32" i="14"/>
  <c r="BP33" i="14"/>
  <c r="BP34" i="14"/>
  <c r="BP35" i="14"/>
  <c r="BP36" i="14"/>
  <c r="BP37" i="14"/>
  <c r="BP38" i="14"/>
  <c r="BP39" i="14"/>
  <c r="BP40" i="14"/>
  <c r="BO35" i="14"/>
  <c r="AZ40" i="14"/>
  <c r="CI41" i="14"/>
  <c r="DA40" i="14"/>
  <c r="BX33" i="14"/>
  <c r="CI40" i="14"/>
  <c r="AF40" i="14"/>
  <c r="V35" i="14"/>
  <c r="V40" i="14"/>
  <c r="U36" i="14"/>
  <c r="V38" i="14"/>
  <c r="U34" i="14"/>
  <c r="U29" i="14"/>
  <c r="V32" i="14"/>
  <c r="V33" i="14"/>
  <c r="V34" i="14"/>
  <c r="U31" i="14"/>
  <c r="V31" i="14"/>
  <c r="V36" i="14"/>
  <c r="U32" i="14"/>
  <c r="V39" i="14"/>
  <c r="V30" i="14"/>
  <c r="U38" i="14"/>
  <c r="U37" i="14"/>
  <c r="V37" i="14"/>
  <c r="U30" i="14"/>
  <c r="U35" i="14"/>
  <c r="U40" i="14"/>
  <c r="V29" i="14"/>
  <c r="U33" i="14"/>
  <c r="U39" i="14"/>
  <c r="BO33" i="14"/>
  <c r="CO29" i="14"/>
  <c r="CN37" i="14"/>
  <c r="CO32" i="14"/>
  <c r="CN35" i="14"/>
  <c r="CN39" i="14"/>
  <c r="CO31" i="14"/>
  <c r="CO37" i="14"/>
  <c r="CO33" i="14"/>
  <c r="CO35" i="14"/>
  <c r="CN33" i="14"/>
  <c r="CN36" i="14"/>
  <c r="CN34" i="14"/>
  <c r="CN40" i="14"/>
  <c r="CO30" i="14"/>
  <c r="CN31" i="14"/>
  <c r="CN32" i="14"/>
  <c r="CO40" i="14"/>
  <c r="CO34" i="14"/>
  <c r="CO38" i="14"/>
  <c r="CN30" i="14"/>
  <c r="CN38" i="14"/>
  <c r="CO39" i="14"/>
  <c r="CN29" i="14"/>
  <c r="CO36" i="14"/>
  <c r="BX30" i="14"/>
  <c r="AF30" i="14"/>
  <c r="BG47" i="14"/>
  <c r="BO31" i="14"/>
  <c r="P41" i="14"/>
  <c r="BX35" i="14"/>
  <c r="AF32" i="14"/>
  <c r="AF31" i="14"/>
  <c r="BO30" i="14"/>
  <c r="AF29" i="14"/>
  <c r="AG29" i="14"/>
  <c r="AG30" i="14"/>
  <c r="AG31" i="14"/>
  <c r="AG32" i="14"/>
  <c r="AG33" i="14"/>
  <c r="AG34" i="14"/>
  <c r="AG35" i="14"/>
  <c r="AG36" i="14"/>
  <c r="AG37" i="14"/>
  <c r="AG38" i="14"/>
  <c r="AG39" i="14"/>
  <c r="AG40" i="14"/>
  <c r="BG41" i="14"/>
  <c r="BH41" i="14"/>
  <c r="BH42" i="14"/>
  <c r="BH43" i="14"/>
  <c r="BH44" i="14"/>
  <c r="BH45" i="14"/>
  <c r="BH46" i="14"/>
  <c r="BH47" i="14"/>
  <c r="BH48" i="14"/>
  <c r="BH49" i="14"/>
  <c r="BH50" i="14"/>
  <c r="BH51" i="14"/>
  <c r="BH52" i="14"/>
  <c r="AQ41" i="14"/>
  <c r="P40" i="14"/>
  <c r="AQ40" i="14"/>
  <c r="BX29" i="14"/>
  <c r="BY29" i="14"/>
  <c r="BY30" i="14"/>
  <c r="BY31" i="14"/>
  <c r="BY32" i="14"/>
  <c r="BY33" i="14"/>
  <c r="BY34" i="14"/>
  <c r="BY35" i="14"/>
  <c r="BY36" i="14"/>
  <c r="BY37" i="14"/>
  <c r="BY38" i="14"/>
  <c r="BY39" i="14"/>
  <c r="BY40" i="14"/>
  <c r="D23" i="17"/>
  <c r="Q20" i="17"/>
  <c r="G40" i="14"/>
  <c r="E54" i="11"/>
  <c r="CP38" i="14"/>
  <c r="CP40" i="14"/>
  <c r="CP35" i="14"/>
  <c r="DH31" i="14"/>
  <c r="DH35" i="14"/>
  <c r="DH36" i="14"/>
  <c r="CP36" i="14"/>
  <c r="CP33" i="14"/>
  <c r="CP37" i="14"/>
  <c r="H54" i="11"/>
  <c r="W54" i="11"/>
  <c r="Z54" i="11"/>
  <c r="AC54" i="11"/>
  <c r="DH39" i="14"/>
  <c r="DH37" i="14"/>
  <c r="Q30" i="11"/>
  <c r="T26" i="11"/>
  <c r="W23" i="11"/>
  <c r="Q42" i="11"/>
  <c r="E30" i="11"/>
  <c r="W33" i="14"/>
  <c r="W36" i="14"/>
  <c r="W38" i="14"/>
  <c r="W40" i="14"/>
  <c r="W34" i="14"/>
  <c r="W35" i="14"/>
  <c r="BI52" i="14"/>
  <c r="D51" i="14"/>
  <c r="D52" i="14"/>
  <c r="C46" i="14"/>
  <c r="D49" i="14"/>
  <c r="D50" i="14"/>
  <c r="C44" i="14"/>
  <c r="D47" i="14"/>
  <c r="D48" i="14"/>
  <c r="D42" i="14"/>
  <c r="D45" i="14"/>
  <c r="D46" i="14"/>
  <c r="C42" i="14"/>
  <c r="D43" i="14"/>
  <c r="D44" i="14"/>
  <c r="D41" i="14"/>
  <c r="C51" i="14"/>
  <c r="C52" i="14"/>
  <c r="C47" i="14"/>
  <c r="C49" i="14"/>
  <c r="C50" i="14"/>
  <c r="C43" i="14"/>
  <c r="C41" i="14"/>
  <c r="C48" i="14"/>
  <c r="C45" i="14"/>
  <c r="AH41" i="14"/>
  <c r="DH32" i="14"/>
  <c r="DH38" i="14"/>
  <c r="BI53" i="14"/>
  <c r="AH40" i="14"/>
  <c r="DH33" i="14"/>
  <c r="W31" i="14"/>
  <c r="BQ41" i="14"/>
  <c r="DH29" i="14"/>
  <c r="DI29" i="14"/>
  <c r="DI30" i="14"/>
  <c r="DI31" i="14"/>
  <c r="DI32" i="14"/>
  <c r="DI33" i="14"/>
  <c r="DI34" i="14"/>
  <c r="DI35" i="14"/>
  <c r="DI36" i="14"/>
  <c r="DI37" i="14"/>
  <c r="DI38" i="14"/>
  <c r="DI39" i="14"/>
  <c r="DI40" i="14"/>
  <c r="W30" i="14"/>
  <c r="BZ41" i="14"/>
  <c r="BZ40" i="14"/>
  <c r="M44" i="14"/>
  <c r="L51" i="14"/>
  <c r="M42" i="14"/>
  <c r="L50" i="14"/>
  <c r="L49" i="14"/>
  <c r="L46" i="14"/>
  <c r="L48" i="14"/>
  <c r="L47" i="14"/>
  <c r="L42" i="14"/>
  <c r="M50" i="14"/>
  <c r="M47" i="14"/>
  <c r="M52" i="14"/>
  <c r="M48" i="14"/>
  <c r="L44" i="14"/>
  <c r="M46" i="14"/>
  <c r="L43" i="14"/>
  <c r="M51" i="14"/>
  <c r="M41" i="14"/>
  <c r="M49" i="14"/>
  <c r="M45" i="14"/>
  <c r="M43" i="14"/>
  <c r="L45" i="14"/>
  <c r="L52" i="14"/>
  <c r="L41" i="14"/>
  <c r="CP32" i="14"/>
  <c r="W37" i="14"/>
  <c r="BQ40" i="14"/>
  <c r="DH34" i="14"/>
  <c r="DH40" i="14"/>
  <c r="W29" i="14"/>
  <c r="X29" i="14"/>
  <c r="X30" i="14"/>
  <c r="X31" i="14"/>
  <c r="X32" i="14"/>
  <c r="X33" i="14"/>
  <c r="X34" i="14"/>
  <c r="X35" i="14"/>
  <c r="X36" i="14"/>
  <c r="X37" i="14"/>
  <c r="X38" i="14"/>
  <c r="X39" i="14"/>
  <c r="X40" i="14"/>
  <c r="CP29" i="14"/>
  <c r="CQ29" i="14"/>
  <c r="CQ30" i="14"/>
  <c r="CQ31" i="14"/>
  <c r="CQ32" i="14"/>
  <c r="CQ33" i="14"/>
  <c r="CQ34" i="14"/>
  <c r="CQ35" i="14"/>
  <c r="CQ36" i="14"/>
  <c r="CQ37" i="14"/>
  <c r="CQ38" i="14"/>
  <c r="CQ39" i="14"/>
  <c r="CQ40" i="14"/>
  <c r="CP31" i="14"/>
  <c r="W39" i="14"/>
  <c r="CE48" i="14"/>
  <c r="CE49" i="14"/>
  <c r="CE46" i="14"/>
  <c r="CF51" i="14"/>
  <c r="CE47" i="14"/>
  <c r="CE43" i="14"/>
  <c r="CE52" i="14"/>
  <c r="CF49" i="14"/>
  <c r="CE45" i="14"/>
  <c r="CF48" i="14"/>
  <c r="CF45" i="14"/>
  <c r="CF52" i="14"/>
  <c r="CF46" i="14"/>
  <c r="CF43" i="14"/>
  <c r="CE44" i="14"/>
  <c r="CE41" i="14"/>
  <c r="CE42" i="14"/>
  <c r="CF50" i="14"/>
  <c r="CF41" i="14"/>
  <c r="CF44" i="14"/>
  <c r="CE50" i="14"/>
  <c r="CF47" i="14"/>
  <c r="CF42" i="14"/>
  <c r="CE51" i="14"/>
  <c r="AV50" i="14"/>
  <c r="AW43" i="14"/>
  <c r="AV42" i="14"/>
  <c r="AW52" i="14"/>
  <c r="AV49" i="14"/>
  <c r="AV43" i="14"/>
  <c r="AW46" i="14"/>
  <c r="AW49" i="14"/>
  <c r="AW41" i="14"/>
  <c r="AW44" i="14"/>
  <c r="AW47" i="14"/>
  <c r="AV46" i="14"/>
  <c r="AW51" i="14"/>
  <c r="AW45" i="14"/>
  <c r="AV51" i="14"/>
  <c r="AW50" i="14"/>
  <c r="AV47" i="14"/>
  <c r="AW48" i="14"/>
  <c r="AV45" i="14"/>
  <c r="AW42" i="14"/>
  <c r="AV41" i="14"/>
  <c r="AV48" i="14"/>
  <c r="AV44" i="14"/>
  <c r="AV52" i="14"/>
  <c r="DH30" i="14"/>
  <c r="AN43" i="14"/>
  <c r="AM50" i="14"/>
  <c r="AM47" i="14"/>
  <c r="AM52" i="14"/>
  <c r="AM48" i="14"/>
  <c r="AM43" i="14"/>
  <c r="AM51" i="14"/>
  <c r="AM46" i="14"/>
  <c r="AN42" i="14"/>
  <c r="AN52" i="14"/>
  <c r="AM49" i="14"/>
  <c r="AM44" i="14"/>
  <c r="AN49" i="14"/>
  <c r="AN48" i="14"/>
  <c r="AN41" i="14"/>
  <c r="AN47" i="14"/>
  <c r="AN46" i="14"/>
  <c r="AM41" i="14"/>
  <c r="AN44" i="14"/>
  <c r="AM42" i="14"/>
  <c r="AM45" i="14"/>
  <c r="AN51" i="14"/>
  <c r="AN45" i="14"/>
  <c r="AN50" i="14"/>
  <c r="T30" i="11"/>
  <c r="Q54" i="11"/>
  <c r="CP39" i="14"/>
  <c r="CP30" i="14"/>
  <c r="CP34" i="14"/>
  <c r="W32" i="14"/>
  <c r="CW42" i="14"/>
  <c r="CW51" i="14"/>
  <c r="CW46" i="14"/>
  <c r="CX41" i="14"/>
  <c r="CW49" i="14"/>
  <c r="CW44" i="14"/>
  <c r="CX50" i="14"/>
  <c r="CX51" i="14"/>
  <c r="CW47" i="14"/>
  <c r="CX46" i="14"/>
  <c r="CX47" i="14"/>
  <c r="CW43" i="14"/>
  <c r="CX44" i="14"/>
  <c r="CX45" i="14"/>
  <c r="CW52" i="14"/>
  <c r="CX42" i="14"/>
  <c r="CX48" i="14"/>
  <c r="CW41" i="14"/>
  <c r="CW50" i="14"/>
  <c r="CW48" i="14"/>
  <c r="CX49" i="14"/>
  <c r="CX43" i="14"/>
  <c r="CX52" i="14"/>
  <c r="CW45" i="14"/>
  <c r="D29" i="17"/>
  <c r="H30" i="11"/>
  <c r="AO42" i="14"/>
  <c r="CG50" i="14"/>
  <c r="AO49" i="14"/>
  <c r="CG47" i="14"/>
  <c r="E43" i="14"/>
  <c r="AO52" i="14"/>
  <c r="CY44" i="14"/>
  <c r="AO44" i="14"/>
  <c r="CY50" i="14"/>
  <c r="CY47" i="14"/>
  <c r="CY42" i="14"/>
  <c r="AO51" i="14"/>
  <c r="CG45" i="14"/>
  <c r="CG48" i="14"/>
  <c r="CG51" i="14"/>
  <c r="AO43" i="14"/>
  <c r="Z30" i="11"/>
  <c r="AX43" i="14"/>
  <c r="AO47" i="14"/>
  <c r="S26" i="11"/>
  <c r="P46" i="11"/>
  <c r="Q46" i="11"/>
  <c r="Q50" i="11"/>
  <c r="W26" i="11" a="1"/>
  <c r="W26" i="11"/>
  <c r="T42" i="11"/>
  <c r="AX48" i="14"/>
  <c r="AX52" i="14"/>
  <c r="AX44" i="14"/>
  <c r="E48" i="14"/>
  <c r="N45" i="14"/>
  <c r="N44" i="14"/>
  <c r="N51" i="14"/>
  <c r="E52" i="14"/>
  <c r="N42" i="14"/>
  <c r="E45" i="14"/>
  <c r="N47" i="14"/>
  <c r="N46" i="14"/>
  <c r="AX47" i="14"/>
  <c r="AX46" i="14"/>
  <c r="N49" i="14"/>
  <c r="E50" i="14"/>
  <c r="E42" i="14"/>
  <c r="CY45" i="14"/>
  <c r="AX51" i="14"/>
  <c r="CG44" i="14"/>
  <c r="CG52" i="14"/>
  <c r="N50" i="14"/>
  <c r="BW47" i="14"/>
  <c r="BW50" i="14"/>
  <c r="BV44" i="14"/>
  <c r="BW43" i="14"/>
  <c r="BW46" i="14"/>
  <c r="BW41" i="14"/>
  <c r="BV47" i="14"/>
  <c r="BV50" i="14"/>
  <c r="BV42" i="14"/>
  <c r="BW51" i="14"/>
  <c r="BV41" i="14"/>
  <c r="BV48" i="14"/>
  <c r="BW44" i="14"/>
  <c r="BV52" i="14"/>
  <c r="BW49" i="14"/>
  <c r="BV46" i="14"/>
  <c r="BW45" i="14"/>
  <c r="BV43" i="14"/>
  <c r="BV51" i="14"/>
  <c r="BV45" i="14"/>
  <c r="BV49" i="14"/>
  <c r="BW42" i="14"/>
  <c r="BW52" i="14"/>
  <c r="BW48" i="14"/>
  <c r="E49" i="14"/>
  <c r="E46" i="14"/>
  <c r="CY52" i="14"/>
  <c r="AO45" i="14"/>
  <c r="AO48" i="14"/>
  <c r="CG43" i="14"/>
  <c r="CR41" i="14"/>
  <c r="E47" i="14"/>
  <c r="DJ41" i="14"/>
  <c r="N30" i="11"/>
  <c r="K54" i="11"/>
  <c r="AD42" i="14"/>
  <c r="AD51" i="14"/>
  <c r="AD46" i="14"/>
  <c r="AE41" i="14"/>
  <c r="AD49" i="14"/>
  <c r="AD44" i="14"/>
  <c r="AE50" i="14"/>
  <c r="AE51" i="14"/>
  <c r="AD47" i="14"/>
  <c r="AE48" i="14"/>
  <c r="AE49" i="14"/>
  <c r="AD45" i="14"/>
  <c r="AE46" i="14"/>
  <c r="AE47" i="14"/>
  <c r="AD52" i="14"/>
  <c r="AE44" i="14"/>
  <c r="AE45" i="14"/>
  <c r="AD43" i="14"/>
  <c r="AD50" i="14"/>
  <c r="AE43" i="14"/>
  <c r="AE42" i="14"/>
  <c r="AD48" i="14"/>
  <c r="AE52" i="14"/>
  <c r="AD41" i="14"/>
  <c r="CY49" i="14"/>
  <c r="Y41" i="14"/>
  <c r="DJ40" i="14"/>
  <c r="E51" i="14"/>
  <c r="AX49" i="14"/>
  <c r="CR40" i="14"/>
  <c r="CY48" i="14"/>
  <c r="CY43" i="14"/>
  <c r="AO41" i="14"/>
  <c r="AP41" i="14"/>
  <c r="AP42" i="14"/>
  <c r="AP43" i="14"/>
  <c r="AP44" i="14"/>
  <c r="AP45" i="14"/>
  <c r="AP46" i="14"/>
  <c r="AP47" i="14"/>
  <c r="AP48" i="14"/>
  <c r="AP49" i="14"/>
  <c r="AP50" i="14"/>
  <c r="AP51" i="14"/>
  <c r="AP52" i="14"/>
  <c r="AO50" i="14"/>
  <c r="AX45" i="14"/>
  <c r="AX42" i="14"/>
  <c r="CG46" i="14"/>
  <c r="Y40" i="14"/>
  <c r="N41" i="14"/>
  <c r="O41" i="14"/>
  <c r="O42" i="14"/>
  <c r="O43" i="14"/>
  <c r="O44" i="14"/>
  <c r="O45" i="14"/>
  <c r="O46" i="14"/>
  <c r="O47" i="14"/>
  <c r="O48" i="14"/>
  <c r="O49" i="14"/>
  <c r="O50" i="14"/>
  <c r="O51" i="14"/>
  <c r="O52" i="14"/>
  <c r="N43" i="14"/>
  <c r="CY46" i="14"/>
  <c r="CG49" i="14"/>
  <c r="N52" i="14"/>
  <c r="N48" i="14"/>
  <c r="AC30" i="11"/>
  <c r="AI54" i="11"/>
  <c r="BN48" i="14"/>
  <c r="BN49" i="14"/>
  <c r="BN42" i="14"/>
  <c r="BN46" i="14"/>
  <c r="BN47" i="14"/>
  <c r="BM42" i="14"/>
  <c r="BN44" i="14"/>
  <c r="BN45" i="14"/>
  <c r="BN41" i="14"/>
  <c r="BN52" i="14"/>
  <c r="BN43" i="14"/>
  <c r="BM46" i="14"/>
  <c r="BM50" i="14"/>
  <c r="BM51" i="14"/>
  <c r="BM43" i="14"/>
  <c r="BM48" i="14"/>
  <c r="BM49" i="14"/>
  <c r="BM44" i="14"/>
  <c r="BM52" i="14"/>
  <c r="BM47" i="14"/>
  <c r="BM41" i="14"/>
  <c r="BN50" i="14"/>
  <c r="BN51" i="14"/>
  <c r="BM45" i="14"/>
  <c r="E41" i="14"/>
  <c r="F41" i="14"/>
  <c r="F42" i="14"/>
  <c r="F43" i="14"/>
  <c r="F44" i="14"/>
  <c r="F45" i="14"/>
  <c r="F46" i="14"/>
  <c r="F47" i="14"/>
  <c r="F48" i="14"/>
  <c r="F49" i="14"/>
  <c r="F50" i="14"/>
  <c r="F51" i="14"/>
  <c r="F52" i="14"/>
  <c r="E44" i="14"/>
  <c r="CG41" i="14"/>
  <c r="CH41" i="14"/>
  <c r="CH42" i="14"/>
  <c r="CH43" i="14"/>
  <c r="CH44" i="14"/>
  <c r="CH45" i="14"/>
  <c r="CH46" i="14"/>
  <c r="CH47" i="14"/>
  <c r="CH48" i="14"/>
  <c r="CH49" i="14"/>
  <c r="CH50" i="14"/>
  <c r="CH51" i="14"/>
  <c r="CH52" i="14"/>
  <c r="AX41" i="14"/>
  <c r="AY41" i="14"/>
  <c r="AY42" i="14"/>
  <c r="AY43" i="14"/>
  <c r="AY44" i="14"/>
  <c r="AY45" i="14"/>
  <c r="AY46" i="14"/>
  <c r="AY47" i="14"/>
  <c r="AY48" i="14"/>
  <c r="AY49" i="14"/>
  <c r="AY50" i="14"/>
  <c r="AY51" i="14"/>
  <c r="AY52" i="14"/>
  <c r="CY41" i="14"/>
  <c r="CZ41" i="14"/>
  <c r="CZ42" i="14"/>
  <c r="CZ43" i="14"/>
  <c r="CZ44" i="14"/>
  <c r="CZ45" i="14"/>
  <c r="CZ46" i="14"/>
  <c r="CZ47" i="14"/>
  <c r="CZ48" i="14"/>
  <c r="CZ49" i="14"/>
  <c r="CZ50" i="14"/>
  <c r="CZ51" i="14"/>
  <c r="CZ52" i="14"/>
  <c r="CY51" i="14"/>
  <c r="AO46" i="14"/>
  <c r="AX50" i="14"/>
  <c r="CG42" i="14"/>
  <c r="BE55" i="14"/>
  <c r="BE64" i="14"/>
  <c r="BE56" i="14"/>
  <c r="BF58" i="14"/>
  <c r="BE61" i="14"/>
  <c r="BF64" i="14"/>
  <c r="BE58" i="14"/>
  <c r="BF60" i="14"/>
  <c r="BE63" i="14"/>
  <c r="BE60" i="14"/>
  <c r="BF62" i="14"/>
  <c r="BE62" i="14"/>
  <c r="BF53" i="14"/>
  <c r="BF54" i="14"/>
  <c r="BF57" i="14"/>
  <c r="BF63" i="14"/>
  <c r="BE54" i="14"/>
  <c r="BF59" i="14"/>
  <c r="BF61" i="14"/>
  <c r="BE57" i="14"/>
  <c r="BE53" i="14"/>
  <c r="BF56" i="14"/>
  <c r="BE59" i="14"/>
  <c r="BF55" i="14"/>
  <c r="BO45" i="14"/>
  <c r="BG64" i="14"/>
  <c r="BO49" i="14"/>
  <c r="BG58" i="14"/>
  <c r="BG56" i="14"/>
  <c r="BO52" i="14"/>
  <c r="N54" i="11"/>
  <c r="BG59" i="14"/>
  <c r="BO46" i="14"/>
  <c r="BO47" i="14"/>
  <c r="BG60" i="14"/>
  <c r="BO48" i="14"/>
  <c r="BO43" i="14"/>
  <c r="AF54" i="11"/>
  <c r="W30" i="11"/>
  <c r="T54" i="11"/>
  <c r="V28" i="11"/>
  <c r="S52" i="11"/>
  <c r="V26" i="11"/>
  <c r="S46" i="11"/>
  <c r="W28" i="11"/>
  <c r="T52" i="11"/>
  <c r="T46" i="11"/>
  <c r="T50" i="11"/>
  <c r="W29" i="11"/>
  <c r="T53" i="11"/>
  <c r="V31" i="11"/>
  <c r="S55" i="11"/>
  <c r="V30" i="11"/>
  <c r="S54" i="11"/>
  <c r="V29" i="11"/>
  <c r="S53" i="11"/>
  <c r="W31" i="11"/>
  <c r="T55" i="11"/>
  <c r="K30" i="11"/>
  <c r="BX51" i="14"/>
  <c r="AF46" i="14"/>
  <c r="AF50" i="14"/>
  <c r="BX50" i="14"/>
  <c r="BX44" i="14"/>
  <c r="AF48" i="14"/>
  <c r="BX46" i="14"/>
  <c r="BX47" i="14"/>
  <c r="BX45" i="14"/>
  <c r="AF43" i="14"/>
  <c r="AF51" i="14"/>
  <c r="AF44" i="14"/>
  <c r="AZ53" i="14"/>
  <c r="AQ52" i="14"/>
  <c r="BX41" i="14"/>
  <c r="BY41" i="14"/>
  <c r="BY42" i="14"/>
  <c r="BY43" i="14"/>
  <c r="BY44" i="14"/>
  <c r="BY45" i="14"/>
  <c r="BY46" i="14"/>
  <c r="BY47" i="14"/>
  <c r="BY48" i="14"/>
  <c r="BY49" i="14"/>
  <c r="BY50" i="14"/>
  <c r="BY51" i="14"/>
  <c r="BY52" i="14"/>
  <c r="BG54" i="14"/>
  <c r="BG63" i="14"/>
  <c r="BG55" i="14"/>
  <c r="AZ52" i="14"/>
  <c r="BO51" i="14"/>
  <c r="BO42" i="14"/>
  <c r="AF49" i="14"/>
  <c r="DG49" i="14"/>
  <c r="DG50" i="14"/>
  <c r="DF42" i="14"/>
  <c r="DG47" i="14"/>
  <c r="DG48" i="14"/>
  <c r="DG41" i="14"/>
  <c r="DG45" i="14"/>
  <c r="DG46" i="14"/>
  <c r="DF41" i="14"/>
  <c r="DG43" i="14"/>
  <c r="DG44" i="14"/>
  <c r="DF45" i="14"/>
  <c r="DF52" i="14"/>
  <c r="DF50" i="14"/>
  <c r="DF43" i="14"/>
  <c r="DF51" i="14"/>
  <c r="DF48" i="14"/>
  <c r="DG42" i="14"/>
  <c r="DG51" i="14"/>
  <c r="DF44" i="14"/>
  <c r="DG52" i="14"/>
  <c r="DF49" i="14"/>
  <c r="DF46" i="14"/>
  <c r="DF47" i="14"/>
  <c r="BX43" i="14"/>
  <c r="CI53" i="14"/>
  <c r="BO41" i="14"/>
  <c r="BP41" i="14"/>
  <c r="BP42" i="14"/>
  <c r="BP43" i="14"/>
  <c r="BP44" i="14"/>
  <c r="BP45" i="14"/>
  <c r="BP46" i="14"/>
  <c r="BP47" i="14"/>
  <c r="BP48" i="14"/>
  <c r="BP49" i="14"/>
  <c r="BP50" i="14"/>
  <c r="BP51" i="14"/>
  <c r="BP52" i="14"/>
  <c r="BO50" i="14"/>
  <c r="AF45" i="14"/>
  <c r="BX42" i="14"/>
  <c r="CI52" i="14"/>
  <c r="V45" i="14"/>
  <c r="V46" i="14"/>
  <c r="U47" i="14"/>
  <c r="V43" i="14"/>
  <c r="U45" i="14"/>
  <c r="U49" i="14"/>
  <c r="U48" i="14"/>
  <c r="U41" i="14"/>
  <c r="V47" i="14"/>
  <c r="V44" i="14"/>
  <c r="V41" i="14"/>
  <c r="U51" i="14"/>
  <c r="U50" i="14"/>
  <c r="U42" i="14"/>
  <c r="V52" i="14"/>
  <c r="V48" i="14"/>
  <c r="U46" i="14"/>
  <c r="V51" i="14"/>
  <c r="U52" i="14"/>
  <c r="U44" i="14"/>
  <c r="V50" i="14"/>
  <c r="U43" i="14"/>
  <c r="V49" i="14"/>
  <c r="V42" i="14"/>
  <c r="CO51" i="14"/>
  <c r="CN47" i="14"/>
  <c r="CN48" i="14"/>
  <c r="CO52" i="14"/>
  <c r="CN46" i="14"/>
  <c r="CO50" i="14"/>
  <c r="CO43" i="14"/>
  <c r="CO49" i="14"/>
  <c r="CO41" i="14"/>
  <c r="CO47" i="14"/>
  <c r="CN52" i="14"/>
  <c r="CN44" i="14"/>
  <c r="CO45" i="14"/>
  <c r="CO48" i="14"/>
  <c r="CO42" i="14"/>
  <c r="CN49" i="14"/>
  <c r="CN42" i="14"/>
  <c r="CO46" i="14"/>
  <c r="CN45" i="14"/>
  <c r="CN50" i="14"/>
  <c r="CN51" i="14"/>
  <c r="CO44" i="14"/>
  <c r="CN41" i="14"/>
  <c r="CN43" i="14"/>
  <c r="BG53" i="14"/>
  <c r="BH53" i="14"/>
  <c r="BH54" i="14"/>
  <c r="BH55" i="14"/>
  <c r="BH56" i="14"/>
  <c r="BH57" i="14"/>
  <c r="BH58" i="14"/>
  <c r="BH59" i="14"/>
  <c r="BH60" i="14"/>
  <c r="BH61" i="14"/>
  <c r="BH62" i="14"/>
  <c r="BH63" i="14"/>
  <c r="BH64" i="14"/>
  <c r="BG61" i="14"/>
  <c r="G53" i="14"/>
  <c r="BO44" i="14"/>
  <c r="AF47" i="14"/>
  <c r="AF42" i="14"/>
  <c r="BX52" i="14"/>
  <c r="BG57" i="14"/>
  <c r="BG62" i="14"/>
  <c r="DA53" i="14"/>
  <c r="G52" i="14"/>
  <c r="P53" i="14"/>
  <c r="AF41" i="14"/>
  <c r="AG41" i="14"/>
  <c r="AG42" i="14"/>
  <c r="AG43" i="14"/>
  <c r="AG44" i="14"/>
  <c r="AG45" i="14"/>
  <c r="AG46" i="14"/>
  <c r="AG47" i="14"/>
  <c r="AG48" i="14"/>
  <c r="AG49" i="14"/>
  <c r="AG50" i="14"/>
  <c r="AG51" i="14"/>
  <c r="AG52" i="14"/>
  <c r="BX49" i="14"/>
  <c r="DA52" i="14"/>
  <c r="P52" i="14"/>
  <c r="AQ53" i="14"/>
  <c r="AF52" i="14"/>
  <c r="BX48" i="14"/>
  <c r="CP49" i="14"/>
  <c r="CP43" i="14"/>
  <c r="CP51" i="14"/>
  <c r="DH44" i="14"/>
  <c r="CP45" i="14"/>
  <c r="CP52" i="14"/>
  <c r="DH48" i="14"/>
  <c r="BI64" i="14"/>
  <c r="DH47" i="14"/>
  <c r="DH51" i="14"/>
  <c r="DH50" i="14"/>
  <c r="Q31" i="11"/>
  <c r="H55" i="11"/>
  <c r="DH49" i="14"/>
  <c r="DH45" i="14"/>
  <c r="W55" i="11"/>
  <c r="Z55" i="11"/>
  <c r="AC55" i="11"/>
  <c r="E31" i="11"/>
  <c r="W43" i="14"/>
  <c r="W52" i="14"/>
  <c r="W47" i="14"/>
  <c r="W42" i="14"/>
  <c r="W49" i="14"/>
  <c r="W45" i="14"/>
  <c r="W44" i="14"/>
  <c r="E55" i="11"/>
  <c r="H31" i="11"/>
  <c r="CP41" i="14"/>
  <c r="CQ41" i="14"/>
  <c r="CQ42" i="14"/>
  <c r="CQ43" i="14"/>
  <c r="CQ44" i="14"/>
  <c r="CQ45" i="14"/>
  <c r="CQ46" i="14"/>
  <c r="CQ47" i="14"/>
  <c r="CQ48" i="14"/>
  <c r="CQ49" i="14"/>
  <c r="CQ50" i="14"/>
  <c r="CQ51" i="14"/>
  <c r="CQ52" i="14"/>
  <c r="W48" i="14"/>
  <c r="DH41" i="14"/>
  <c r="DI41" i="14"/>
  <c r="DI42" i="14"/>
  <c r="DI43" i="14"/>
  <c r="DI44" i="14"/>
  <c r="DI45" i="14"/>
  <c r="DI46" i="14"/>
  <c r="DI47" i="14"/>
  <c r="DI48" i="14"/>
  <c r="DI49" i="14"/>
  <c r="DI50" i="14"/>
  <c r="DI51" i="14"/>
  <c r="DI52" i="14"/>
  <c r="BZ53" i="14"/>
  <c r="CP46" i="14"/>
  <c r="W50" i="14"/>
  <c r="DH46" i="14"/>
  <c r="DH43" i="14"/>
  <c r="BZ52" i="14"/>
  <c r="CX62" i="14"/>
  <c r="CW56" i="14"/>
  <c r="CX55" i="14"/>
  <c r="CW64" i="14"/>
  <c r="CX60" i="14"/>
  <c r="CX54" i="14"/>
  <c r="CW53" i="14"/>
  <c r="CX56" i="14"/>
  <c r="CW55" i="14"/>
  <c r="CX58" i="14"/>
  <c r="CW54" i="14"/>
  <c r="CX64" i="14"/>
  <c r="CW63" i="14"/>
  <c r="CX53" i="14"/>
  <c r="CW58" i="14"/>
  <c r="DF64" i="14"/>
  <c r="CX63" i="14"/>
  <c r="CW61" i="14"/>
  <c r="CX57" i="14"/>
  <c r="CW62" i="14"/>
  <c r="CX61" i="14"/>
  <c r="CW59" i="14"/>
  <c r="CW60" i="14"/>
  <c r="CX59" i="14"/>
  <c r="CW57" i="14"/>
  <c r="D61" i="14"/>
  <c r="C55" i="14"/>
  <c r="D58" i="14"/>
  <c r="D59" i="14"/>
  <c r="D54" i="14"/>
  <c r="D56" i="14"/>
  <c r="C57" i="14"/>
  <c r="D57" i="14"/>
  <c r="C54" i="14"/>
  <c r="C64" i="14"/>
  <c r="D53" i="14"/>
  <c r="C62" i="14"/>
  <c r="D55" i="14"/>
  <c r="C63" i="14"/>
  <c r="C53" i="14"/>
  <c r="C60" i="14"/>
  <c r="D63" i="14"/>
  <c r="C61" i="14"/>
  <c r="D64" i="14"/>
  <c r="C58" i="14"/>
  <c r="D60" i="14"/>
  <c r="C59" i="14"/>
  <c r="D62" i="14"/>
  <c r="C56" i="14"/>
  <c r="CP50" i="14"/>
  <c r="CP44" i="14"/>
  <c r="W51" i="14"/>
  <c r="CP48" i="14"/>
  <c r="BQ53" i="14"/>
  <c r="DH52" i="14"/>
  <c r="AH53" i="14"/>
  <c r="AH52" i="14"/>
  <c r="CP47" i="14"/>
  <c r="BQ52" i="14"/>
  <c r="Q55" i="11"/>
  <c r="T31" i="11"/>
  <c r="AW60" i="14"/>
  <c r="AV54" i="14"/>
  <c r="AW57" i="14"/>
  <c r="AW58" i="14"/>
  <c r="AW53" i="14"/>
  <c r="AW55" i="14"/>
  <c r="AW56" i="14"/>
  <c r="AV53" i="14"/>
  <c r="AV63" i="14"/>
  <c r="AW54" i="14"/>
  <c r="AW64" i="14"/>
  <c r="AV61" i="14"/>
  <c r="AV62" i="14"/>
  <c r="AV64" i="14"/>
  <c r="AV59" i="14"/>
  <c r="AW62" i="14"/>
  <c r="AW59" i="14"/>
  <c r="AV60" i="14"/>
  <c r="AW63" i="14"/>
  <c r="AV57" i="14"/>
  <c r="AV56" i="14"/>
  <c r="AV58" i="14"/>
  <c r="AW61" i="14"/>
  <c r="AV55" i="14"/>
  <c r="BI65" i="14"/>
  <c r="AN61" i="14"/>
  <c r="AM57" i="14"/>
  <c r="AM60" i="14"/>
  <c r="AN59" i="14"/>
  <c r="AM55" i="14"/>
  <c r="AM58" i="14"/>
  <c r="AN57" i="14"/>
  <c r="AM56" i="14"/>
  <c r="AN55" i="14"/>
  <c r="AN62" i="14"/>
  <c r="AN54" i="14"/>
  <c r="AM64" i="14"/>
  <c r="AN60" i="14"/>
  <c r="AM54" i="14"/>
  <c r="AN63" i="14"/>
  <c r="AM53" i="14"/>
  <c r="AM63" i="14"/>
  <c r="AN58" i="14"/>
  <c r="AN53" i="14"/>
  <c r="AM59" i="14"/>
  <c r="AN64" i="14"/>
  <c r="AM61" i="14"/>
  <c r="AN56" i="14"/>
  <c r="AM62" i="14"/>
  <c r="CP42" i="14"/>
  <c r="W46" i="14"/>
  <c r="DH42" i="14"/>
  <c r="M62" i="14"/>
  <c r="L61" i="14"/>
  <c r="M60" i="14"/>
  <c r="M63" i="14"/>
  <c r="L59" i="14"/>
  <c r="M58" i="14"/>
  <c r="M61" i="14"/>
  <c r="L57" i="14"/>
  <c r="M56" i="14"/>
  <c r="M59" i="14"/>
  <c r="L55" i="14"/>
  <c r="L62" i="14"/>
  <c r="M57" i="14"/>
  <c r="L54" i="14"/>
  <c r="L64" i="14"/>
  <c r="L63" i="14"/>
  <c r="L60" i="14"/>
  <c r="M55" i="14"/>
  <c r="M53" i="14"/>
  <c r="L56" i="14"/>
  <c r="M64" i="14"/>
  <c r="L58" i="14"/>
  <c r="M54" i="14"/>
  <c r="L53" i="14"/>
  <c r="W41" i="14"/>
  <c r="X41" i="14"/>
  <c r="X42" i="14"/>
  <c r="X43" i="14"/>
  <c r="X44" i="14"/>
  <c r="X45" i="14"/>
  <c r="X46" i="14"/>
  <c r="X47" i="14"/>
  <c r="X48" i="14"/>
  <c r="X49" i="14"/>
  <c r="X50" i="14"/>
  <c r="X51" i="14"/>
  <c r="X52" i="14"/>
  <c r="CF62" i="14"/>
  <c r="CE61" i="14"/>
  <c r="CF60" i="14"/>
  <c r="CF63" i="14"/>
  <c r="CE59" i="14"/>
  <c r="CF56" i="14"/>
  <c r="CE55" i="14"/>
  <c r="CF58" i="14"/>
  <c r="CF61" i="14"/>
  <c r="CE57" i="14"/>
  <c r="CF59" i="14"/>
  <c r="CE62" i="14"/>
  <c r="CF57" i="14"/>
  <c r="CE54" i="14"/>
  <c r="CE64" i="14"/>
  <c r="CE63" i="14"/>
  <c r="CE60" i="14"/>
  <c r="CF55" i="14"/>
  <c r="CF53" i="14"/>
  <c r="CE56" i="14"/>
  <c r="CF64" i="14"/>
  <c r="CE58" i="14"/>
  <c r="CF54" i="14"/>
  <c r="CE53" i="14"/>
  <c r="AO59" i="14"/>
  <c r="N58" i="14"/>
  <c r="AX57" i="14"/>
  <c r="CG62" i="14"/>
  <c r="CG57" i="14"/>
  <c r="CG61" i="14"/>
  <c r="CG60" i="14"/>
  <c r="AO61" i="14"/>
  <c r="CY62" i="14"/>
  <c r="CG63" i="14"/>
  <c r="AO55" i="14"/>
  <c r="CG59" i="14"/>
  <c r="Z31" i="11"/>
  <c r="CG54" i="14"/>
  <c r="CY57" i="14"/>
  <c r="CY55" i="14"/>
  <c r="AO63" i="14"/>
  <c r="E61" i="14"/>
  <c r="N63" i="14"/>
  <c r="E57" i="14"/>
  <c r="AX60" i="14"/>
  <c r="AX55" i="14"/>
  <c r="N56" i="14"/>
  <c r="N62" i="14"/>
  <c r="E58" i="14"/>
  <c r="N57" i="14"/>
  <c r="AX59" i="14"/>
  <c r="N61" i="14"/>
  <c r="AX62" i="14"/>
  <c r="E54" i="14"/>
  <c r="E56" i="14"/>
  <c r="E60" i="14"/>
  <c r="N64" i="14"/>
  <c r="N55" i="14"/>
  <c r="AO54" i="14"/>
  <c r="AO58" i="14"/>
  <c r="AX53" i="14"/>
  <c r="AY53" i="14"/>
  <c r="AY54" i="14"/>
  <c r="AY55" i="14"/>
  <c r="AY56" i="14"/>
  <c r="AY57" i="14"/>
  <c r="AY58" i="14"/>
  <c r="AY59" i="14"/>
  <c r="AY60" i="14"/>
  <c r="AY61" i="14"/>
  <c r="AY62" i="14"/>
  <c r="AY63" i="14"/>
  <c r="AY64" i="14"/>
  <c r="AD60" i="14"/>
  <c r="AE59" i="14"/>
  <c r="AD57" i="14"/>
  <c r="AD58" i="14"/>
  <c r="AE57" i="14"/>
  <c r="AD55" i="14"/>
  <c r="AD56" i="14"/>
  <c r="AE55" i="14"/>
  <c r="AD64" i="14"/>
  <c r="AE62" i="14"/>
  <c r="AE54" i="14"/>
  <c r="AD53" i="14"/>
  <c r="AE58" i="14"/>
  <c r="AE53" i="14"/>
  <c r="AD63" i="14"/>
  <c r="AE56" i="14"/>
  <c r="AE63" i="14"/>
  <c r="AD61" i="14"/>
  <c r="AD62" i="14"/>
  <c r="AD54" i="14"/>
  <c r="AE61" i="14"/>
  <c r="AE64" i="14"/>
  <c r="AD59" i="14"/>
  <c r="AE60" i="14"/>
  <c r="BW57" i="14"/>
  <c r="BV54" i="14"/>
  <c r="BV64" i="14"/>
  <c r="BW55" i="14"/>
  <c r="BW53" i="14"/>
  <c r="BV62" i="14"/>
  <c r="BV63" i="14"/>
  <c r="BV53" i="14"/>
  <c r="BV60" i="14"/>
  <c r="BV61" i="14"/>
  <c r="BW64" i="14"/>
  <c r="BV58" i="14"/>
  <c r="BV59" i="14"/>
  <c r="BW62" i="14"/>
  <c r="BV56" i="14"/>
  <c r="BW59" i="14"/>
  <c r="BW63" i="14"/>
  <c r="BV57" i="14"/>
  <c r="BW60" i="14"/>
  <c r="BW54" i="14"/>
  <c r="BW56" i="14"/>
  <c r="BW61" i="14"/>
  <c r="BV55" i="14"/>
  <c r="BW58" i="14"/>
  <c r="DJ53" i="14"/>
  <c r="CG64" i="14"/>
  <c r="CG55" i="14"/>
  <c r="Y52" i="14"/>
  <c r="N60" i="14"/>
  <c r="AO64" i="14"/>
  <c r="AX58" i="14"/>
  <c r="AX64" i="14"/>
  <c r="E59" i="14"/>
  <c r="E63" i="14"/>
  <c r="CY60" i="14"/>
  <c r="CY58" i="14"/>
  <c r="CY53" i="14"/>
  <c r="CZ53" i="14"/>
  <c r="CZ54" i="14"/>
  <c r="CZ55" i="14"/>
  <c r="CZ56" i="14"/>
  <c r="CZ57" i="14"/>
  <c r="CZ58" i="14"/>
  <c r="CZ59" i="14"/>
  <c r="CZ60" i="14"/>
  <c r="CZ61" i="14"/>
  <c r="CZ62" i="14"/>
  <c r="CZ63" i="14"/>
  <c r="CZ64" i="14"/>
  <c r="AI55" i="11"/>
  <c r="AC31" i="11"/>
  <c r="DJ52" i="14"/>
  <c r="N53" i="14"/>
  <c r="O53" i="14"/>
  <c r="O54" i="14"/>
  <c r="O55" i="14"/>
  <c r="O56" i="14"/>
  <c r="O57" i="14"/>
  <c r="O58" i="14"/>
  <c r="O59" i="14"/>
  <c r="O60" i="14"/>
  <c r="O61" i="14"/>
  <c r="O62" i="14"/>
  <c r="O63" i="14"/>
  <c r="O64" i="14"/>
  <c r="AO60" i="14"/>
  <c r="AX56" i="14"/>
  <c r="BN58" i="14"/>
  <c r="BM64" i="14"/>
  <c r="BM61" i="14"/>
  <c r="BN56" i="14"/>
  <c r="BM59" i="14"/>
  <c r="BM53" i="14"/>
  <c r="BN63" i="14"/>
  <c r="BM57" i="14"/>
  <c r="BN64" i="14"/>
  <c r="BM55" i="14"/>
  <c r="BN61" i="14"/>
  <c r="BM54" i="14"/>
  <c r="BM62" i="14"/>
  <c r="BN59" i="14"/>
  <c r="BN54" i="14"/>
  <c r="BN60" i="14"/>
  <c r="BN53" i="14"/>
  <c r="BM60" i="14"/>
  <c r="BN57" i="14"/>
  <c r="BM63" i="14"/>
  <c r="BN62" i="14"/>
  <c r="BM58" i="14"/>
  <c r="BN55" i="14"/>
  <c r="BM56" i="14"/>
  <c r="CY59" i="14"/>
  <c r="AO57" i="14"/>
  <c r="AX61" i="14"/>
  <c r="E62" i="14"/>
  <c r="CY63" i="14"/>
  <c r="CR53" i="14"/>
  <c r="CG53" i="14"/>
  <c r="CH53" i="14"/>
  <c r="CH54" i="14"/>
  <c r="CH55" i="14"/>
  <c r="CH56" i="14"/>
  <c r="CH57" i="14"/>
  <c r="CH58" i="14"/>
  <c r="CH59" i="14"/>
  <c r="CH60" i="14"/>
  <c r="CH61" i="14"/>
  <c r="CH62" i="14"/>
  <c r="CH63" i="14"/>
  <c r="CH64" i="14"/>
  <c r="CG58" i="14"/>
  <c r="CG56" i="14"/>
  <c r="N54" i="14"/>
  <c r="CY64" i="14"/>
  <c r="CR52" i="14"/>
  <c r="Y53" i="14"/>
  <c r="E53" i="14"/>
  <c r="F53" i="14"/>
  <c r="F54" i="14"/>
  <c r="F55" i="14"/>
  <c r="F56" i="14"/>
  <c r="F57" i="14"/>
  <c r="F58" i="14"/>
  <c r="F59" i="14"/>
  <c r="F60" i="14"/>
  <c r="F61" i="14"/>
  <c r="F62" i="14"/>
  <c r="F63" i="14"/>
  <c r="F64" i="14"/>
  <c r="N59" i="14"/>
  <c r="AO62" i="14"/>
  <c r="AO53" i="14"/>
  <c r="AP53" i="14"/>
  <c r="AP54" i="14"/>
  <c r="AP55" i="14"/>
  <c r="AP56" i="14"/>
  <c r="AP57" i="14"/>
  <c r="AP58" i="14"/>
  <c r="AP59" i="14"/>
  <c r="AP60" i="14"/>
  <c r="AP61" i="14"/>
  <c r="AP62" i="14"/>
  <c r="AP63" i="14"/>
  <c r="AP64" i="14"/>
  <c r="AO56" i="14"/>
  <c r="AX54" i="14"/>
  <c r="K55" i="11"/>
  <c r="N31" i="11"/>
  <c r="E64" i="14"/>
  <c r="E55" i="14"/>
  <c r="CY54" i="14"/>
  <c r="BE78" i="14"/>
  <c r="BF72" i="14"/>
  <c r="BF97" i="14"/>
  <c r="BE96" i="14"/>
  <c r="BF84" i="14"/>
  <c r="BE73" i="14"/>
  <c r="BE357" i="14"/>
  <c r="BF361" i="14"/>
  <c r="BE359" i="14"/>
  <c r="BE347" i="14"/>
  <c r="BE346" i="14"/>
  <c r="BE341" i="14"/>
  <c r="BE336" i="14"/>
  <c r="BE332" i="14"/>
  <c r="BF328" i="14"/>
  <c r="BF330" i="14"/>
  <c r="BE313" i="14"/>
  <c r="BE334" i="14"/>
  <c r="BF322" i="14"/>
  <c r="BF312" i="14"/>
  <c r="BE304" i="14"/>
  <c r="BF307" i="14"/>
  <c r="BE301" i="14"/>
  <c r="BF280" i="14"/>
  <c r="BE278" i="14"/>
  <c r="BF288" i="14"/>
  <c r="BF290" i="14"/>
  <c r="BE285" i="14"/>
  <c r="BE273" i="14"/>
  <c r="BE266" i="14"/>
  <c r="BF265" i="14"/>
  <c r="BE263" i="14"/>
  <c r="BE254" i="14"/>
  <c r="BE249" i="14"/>
  <c r="BF259" i="14"/>
  <c r="BF240" i="14"/>
  <c r="BE228" i="14"/>
  <c r="BF232" i="14"/>
  <c r="BE235" i="14"/>
  <c r="BE248" i="14"/>
  <c r="BF230" i="14"/>
  <c r="BE217" i="14"/>
  <c r="BF228" i="14"/>
  <c r="BF206" i="14"/>
  <c r="BE204" i="14"/>
  <c r="BE213" i="14"/>
  <c r="BF205" i="14"/>
  <c r="BE205" i="14"/>
  <c r="BE181" i="14"/>
  <c r="BE190" i="14"/>
  <c r="BF189" i="14"/>
  <c r="BF178" i="14"/>
  <c r="BE178" i="14"/>
  <c r="BE187" i="14"/>
  <c r="BF191" i="14"/>
  <c r="BE164" i="14"/>
  <c r="BE141" i="14"/>
  <c r="BE133" i="14"/>
  <c r="BE113" i="14"/>
  <c r="BE83" i="14"/>
  <c r="BF74" i="14"/>
  <c r="BF88" i="14"/>
  <c r="BE75" i="14"/>
  <c r="BF356" i="14"/>
  <c r="BE354" i="14"/>
  <c r="BF358" i="14"/>
  <c r="BE345" i="14"/>
  <c r="BF344" i="14"/>
  <c r="BE339" i="14"/>
  <c r="BE340" i="14"/>
  <c r="BF331" i="14"/>
  <c r="BF329" i="14"/>
  <c r="BF324" i="14"/>
  <c r="BF310" i="14"/>
  <c r="BE327" i="14"/>
  <c r="BE319" i="14"/>
  <c r="BE308" i="14"/>
  <c r="BE302" i="14"/>
  <c r="BE306" i="14"/>
  <c r="BE299" i="14"/>
  <c r="BF278" i="14"/>
  <c r="BE296" i="14"/>
  <c r="BE287" i="14"/>
  <c r="BE289" i="14"/>
  <c r="BE284" i="14"/>
  <c r="BF268" i="14"/>
  <c r="BE264" i="14"/>
  <c r="BF263" i="14"/>
  <c r="BE261" i="14"/>
  <c r="BF249" i="14"/>
  <c r="BE247" i="14"/>
  <c r="BE258" i="14"/>
  <c r="BF238" i="14"/>
  <c r="BF225" i="14"/>
  <c r="BE225" i="14"/>
  <c r="BE234" i="14"/>
  <c r="BE233" i="14"/>
  <c r="BE223" i="14"/>
  <c r="BE250" i="14"/>
  <c r="BE221" i="14"/>
  <c r="BF204" i="14"/>
  <c r="BE202" i="14"/>
  <c r="BE212" i="14"/>
  <c r="BF203" i="14"/>
  <c r="BE203" i="14"/>
  <c r="BF190" i="14"/>
  <c r="BF184" i="14"/>
  <c r="BF185" i="14"/>
  <c r="BE177" i="14"/>
  <c r="BE175" i="14"/>
  <c r="BF180" i="14"/>
  <c r="BF181" i="14"/>
  <c r="BF154" i="14"/>
  <c r="BE156" i="14"/>
  <c r="BF166" i="14"/>
  <c r="BF153" i="14"/>
  <c r="BE155" i="14"/>
  <c r="BF162" i="14"/>
  <c r="BE116" i="14"/>
  <c r="BF145" i="14"/>
  <c r="BF106" i="14"/>
  <c r="BE129" i="14"/>
  <c r="BE104" i="14"/>
  <c r="BE125" i="14"/>
  <c r="BE123" i="14"/>
  <c r="BF127" i="14"/>
  <c r="BF107" i="14"/>
  <c r="BE135" i="14"/>
  <c r="BE111" i="14"/>
  <c r="BF69" i="14"/>
  <c r="BF93" i="14"/>
  <c r="BE82" i="14"/>
  <c r="BF82" i="14"/>
  <c r="BE122" i="14"/>
  <c r="BF105" i="14"/>
  <c r="BE109" i="14"/>
  <c r="BE86" i="14"/>
  <c r="BE120" i="14"/>
  <c r="BE107" i="14"/>
  <c r="BF163" i="14"/>
  <c r="BF147" i="14"/>
  <c r="BE138" i="14"/>
  <c r="BE114" i="14"/>
  <c r="BF122" i="14"/>
  <c r="BE119" i="14"/>
  <c r="BE65" i="14"/>
  <c r="BE87" i="14"/>
  <c r="BF76" i="14"/>
  <c r="BF92" i="14"/>
  <c r="BE77" i="14"/>
  <c r="BF364" i="14"/>
  <c r="BF355" i="14"/>
  <c r="BF353" i="14"/>
  <c r="BF357" i="14"/>
  <c r="BE343" i="14"/>
  <c r="BF342" i="14"/>
  <c r="BE338" i="14"/>
  <c r="BF339" i="14"/>
  <c r="BE333" i="14"/>
  <c r="BE328" i="14"/>
  <c r="BF326" i="14"/>
  <c r="BF308" i="14"/>
  <c r="BE316" i="14"/>
  <c r="BF318" i="14"/>
  <c r="BF304" i="14"/>
  <c r="BE300" i="14"/>
  <c r="BF303" i="14"/>
  <c r="BE297" i="14"/>
  <c r="BF276" i="14"/>
  <c r="BF295" i="14"/>
  <c r="BF289" i="14"/>
  <c r="BF285" i="14"/>
  <c r="BF272" i="14"/>
  <c r="BF266" i="14"/>
  <c r="BE262" i="14"/>
  <c r="BF261" i="14"/>
  <c r="BE260" i="14"/>
  <c r="BF247" i="14"/>
  <c r="BE245" i="14"/>
  <c r="BF251" i="14"/>
  <c r="BF236" i="14"/>
  <c r="BF222" i="14"/>
  <c r="BE222" i="14"/>
  <c r="BF233" i="14"/>
  <c r="BE229" i="14"/>
  <c r="BF260" i="14"/>
  <c r="BE227" i="14"/>
  <c r="BE218" i="14"/>
  <c r="BF202" i="14"/>
  <c r="BE200" i="14"/>
  <c r="BF211" i="14"/>
  <c r="BF201" i="14"/>
  <c r="BE201" i="14"/>
  <c r="BF183" i="14"/>
  <c r="BE183" i="14"/>
  <c r="BE184" i="14"/>
  <c r="BF175" i="14"/>
  <c r="BF173" i="14"/>
  <c r="BE179" i="14"/>
  <c r="BE180" i="14"/>
  <c r="BF152" i="14"/>
  <c r="BE154" i="14"/>
  <c r="BE165" i="14"/>
  <c r="BF151" i="14"/>
  <c r="BE153" i="14"/>
  <c r="BF144" i="14"/>
  <c r="BF115" i="14"/>
  <c r="BF137" i="14"/>
  <c r="BF104" i="14"/>
  <c r="BF125" i="14"/>
  <c r="BE102" i="14"/>
  <c r="BE124" i="14"/>
  <c r="BE121" i="14"/>
  <c r="BE131" i="14"/>
  <c r="BF71" i="14"/>
  <c r="BF86" i="14"/>
  <c r="BE127" i="14"/>
  <c r="BE90" i="14"/>
  <c r="BE150" i="14"/>
  <c r="BE149" i="14"/>
  <c r="BF100" i="14"/>
  <c r="BF119" i="14"/>
  <c r="BE105" i="14"/>
  <c r="BG105" i="14"/>
  <c r="BE68" i="14"/>
  <c r="BE91" i="14"/>
  <c r="BF78" i="14"/>
  <c r="BF66" i="14"/>
  <c r="BF96" i="14"/>
  <c r="BF79" i="14"/>
  <c r="BF362" i="14"/>
  <c r="BE356" i="14"/>
  <c r="BF363" i="14"/>
  <c r="BF347" i="14"/>
  <c r="BE352" i="14"/>
  <c r="BE349" i="14"/>
  <c r="BE335" i="14"/>
  <c r="BF338" i="14"/>
  <c r="BE331" i="14"/>
  <c r="BF327" i="14"/>
  <c r="BF313" i="14"/>
  <c r="BE323" i="14"/>
  <c r="BF320" i="14"/>
  <c r="BF317" i="14"/>
  <c r="BF302" i="14"/>
  <c r="BE298" i="14"/>
  <c r="BF301" i="14"/>
  <c r="BF292" i="14"/>
  <c r="BF294" i="14"/>
  <c r="BE294" i="14"/>
  <c r="BE288" i="14"/>
  <c r="BG288" i="14"/>
  <c r="BE283" i="14"/>
  <c r="BE271" i="14"/>
  <c r="BF264" i="14"/>
  <c r="BE277" i="14"/>
  <c r="BF271" i="14"/>
  <c r="BF253" i="14"/>
  <c r="BF245" i="14"/>
  <c r="BE243" i="14"/>
  <c r="BF250" i="14"/>
  <c r="BF234" i="14"/>
  <c r="BE251" i="14"/>
  <c r="BF219" i="14"/>
  <c r="BE232" i="14"/>
  <c r="BE226" i="14"/>
  <c r="BE244" i="14"/>
  <c r="BE224" i="14"/>
  <c r="BF215" i="14"/>
  <c r="BF200" i="14"/>
  <c r="BE198" i="14"/>
  <c r="BE210" i="14"/>
  <c r="BF199" i="14"/>
  <c r="BE199" i="14"/>
  <c r="BE182" i="14"/>
  <c r="BE174" i="14"/>
  <c r="BF177" i="14"/>
  <c r="BF192" i="14"/>
  <c r="BF171" i="14"/>
  <c r="BF176" i="14"/>
  <c r="BE176" i="14"/>
  <c r="BF150" i="14"/>
  <c r="BE152" i="14"/>
  <c r="BG152" i="14"/>
  <c r="BF167" i="14"/>
  <c r="BF149" i="14"/>
  <c r="BE151" i="14"/>
  <c r="BG151" i="14"/>
  <c r="BE142" i="14"/>
  <c r="BE144" i="14"/>
  <c r="BG144" i="14"/>
  <c r="BF133" i="14"/>
  <c r="BF102" i="14"/>
  <c r="BF124" i="14"/>
  <c r="BE100" i="14"/>
  <c r="BF123" i="14"/>
  <c r="BF121" i="14"/>
  <c r="BF103" i="14"/>
  <c r="BF73" i="14"/>
  <c r="BF90" i="14"/>
  <c r="BF148" i="14"/>
  <c r="BF138" i="14"/>
  <c r="BE98" i="14"/>
  <c r="BF101" i="14"/>
  <c r="BF75" i="14"/>
  <c r="BE70" i="14"/>
  <c r="BE95" i="14"/>
  <c r="BF65" i="14"/>
  <c r="BF83" i="14"/>
  <c r="BE80" i="14"/>
  <c r="BE81" i="14"/>
  <c r="BF360" i="14"/>
  <c r="BE355" i="14"/>
  <c r="BE353" i="14"/>
  <c r="BF345" i="14"/>
  <c r="BE351" i="14"/>
  <c r="BE344" i="14"/>
  <c r="BF334" i="14"/>
  <c r="BF335" i="14"/>
  <c r="BE326" i="14"/>
  <c r="BF325" i="14"/>
  <c r="BE312" i="14"/>
  <c r="BF315" i="14"/>
  <c r="BF319" i="14"/>
  <c r="BE311" i="14"/>
  <c r="BF300" i="14"/>
  <c r="BF305" i="14"/>
  <c r="BF299" i="14"/>
  <c r="BE291" i="14"/>
  <c r="BE293" i="14"/>
  <c r="BF287" i="14"/>
  <c r="BF283" i="14"/>
  <c r="BE281" i="14"/>
  <c r="BE276" i="14"/>
  <c r="BG276" i="14"/>
  <c r="BF262" i="14"/>
  <c r="BE275" i="14"/>
  <c r="BE270" i="14"/>
  <c r="BE252" i="14"/>
  <c r="BF243" i="14"/>
  <c r="BF257" i="14"/>
  <c r="BF248" i="14"/>
  <c r="BE246" i="14"/>
  <c r="BF239" i="14"/>
  <c r="BF216" i="14"/>
  <c r="BF229" i="14"/>
  <c r="BF223" i="14"/>
  <c r="BE242" i="14"/>
  <c r="BF221" i="14"/>
  <c r="BE220" i="14"/>
  <c r="BF198" i="14"/>
  <c r="BE196" i="14"/>
  <c r="BE214" i="14"/>
  <c r="BF197" i="14"/>
  <c r="BE197" i="14"/>
  <c r="BF174" i="14"/>
  <c r="BE172" i="14"/>
  <c r="BE193" i="14"/>
  <c r="BF188" i="14"/>
  <c r="BF169" i="14"/>
  <c r="BE173" i="14"/>
  <c r="BE166" i="14"/>
  <c r="BF129" i="14"/>
  <c r="BF120" i="14"/>
  <c r="BE94" i="14"/>
  <c r="BE72" i="14"/>
  <c r="BE97" i="14"/>
  <c r="BE66" i="14"/>
  <c r="BF87" i="14"/>
  <c r="BE84" i="14"/>
  <c r="BE67" i="14"/>
  <c r="BE85" i="14"/>
  <c r="BE363" i="14"/>
  <c r="BF354" i="14"/>
  <c r="BF352" i="14"/>
  <c r="BF343" i="14"/>
  <c r="BF346" i="14"/>
  <c r="BE342" i="14"/>
  <c r="BG342" i="14"/>
  <c r="BF348" i="14"/>
  <c r="BF333" i="14"/>
  <c r="BE324" i="14"/>
  <c r="BF323" i="14"/>
  <c r="BE337" i="14"/>
  <c r="BE314" i="14"/>
  <c r="BF311" i="14"/>
  <c r="BE309" i="14"/>
  <c r="BF298" i="14"/>
  <c r="BE315" i="14"/>
  <c r="BG315" i="14"/>
  <c r="BF297" i="14"/>
  <c r="BF293" i="14"/>
  <c r="BF286" i="14"/>
  <c r="BE286" i="14"/>
  <c r="BF281" i="14"/>
  <c r="BE279" i="14"/>
  <c r="BF273" i="14"/>
  <c r="BF275" i="14"/>
  <c r="BF270" i="14"/>
  <c r="BE269" i="14"/>
  <c r="BF254" i="14"/>
  <c r="BF241" i="14"/>
  <c r="BE256" i="14"/>
  <c r="BF246" i="14"/>
  <c r="BE238" i="14"/>
  <c r="BG238" i="14"/>
  <c r="BE237" i="14"/>
  <c r="BE259" i="14"/>
  <c r="BF226" i="14"/>
  <c r="BF220" i="14"/>
  <c r="BE230" i="14"/>
  <c r="BF218" i="14"/>
  <c r="BE215" i="14"/>
  <c r="BF196" i="14"/>
  <c r="BF213" i="14"/>
  <c r="BE211" i="14"/>
  <c r="BG211" i="14"/>
  <c r="BF195" i="14"/>
  <c r="BE195" i="14"/>
  <c r="BF172" i="14"/>
  <c r="BE170" i="14"/>
  <c r="BE189" i="14"/>
  <c r="BF187" i="14"/>
  <c r="BF194" i="14"/>
  <c r="BE171" i="14"/>
  <c r="BE162" i="14"/>
  <c r="BF164" i="14"/>
  <c r="BE148" i="14"/>
  <c r="BF161" i="14"/>
  <c r="BE167" i="14"/>
  <c r="BE147" i="14"/>
  <c r="BG147" i="14"/>
  <c r="BF134" i="14"/>
  <c r="BE134" i="14"/>
  <c r="BF114" i="14"/>
  <c r="BF98" i="14"/>
  <c r="BE112" i="14"/>
  <c r="BF143" i="14"/>
  <c r="BF146" i="14"/>
  <c r="BF140" i="14"/>
  <c r="BF118" i="14"/>
  <c r="BF99" i="14"/>
  <c r="BE118" i="14"/>
  <c r="BE103" i="14"/>
  <c r="BF77" i="14"/>
  <c r="BF155" i="14"/>
  <c r="BF108" i="14"/>
  <c r="BE128" i="14"/>
  <c r="BE139" i="14"/>
  <c r="BF94" i="14"/>
  <c r="BE74" i="14"/>
  <c r="BF68" i="14"/>
  <c r="BF91" i="14"/>
  <c r="BE88" i="14"/>
  <c r="BE79" i="14"/>
  <c r="BE69" i="14"/>
  <c r="BE89" i="14"/>
  <c r="BE361" i="14"/>
  <c r="BF350" i="14"/>
  <c r="BF351" i="14"/>
  <c r="BF341" i="14"/>
  <c r="BF359" i="14"/>
  <c r="BE350" i="14"/>
  <c r="BF336" i="14"/>
  <c r="BF332" i="14"/>
  <c r="BE322" i="14"/>
  <c r="BF321" i="14"/>
  <c r="BE321" i="14"/>
  <c r="BE310" i="14"/>
  <c r="BG310" i="14"/>
  <c r="BF309" i="14"/>
  <c r="BE318" i="14"/>
  <c r="BG318" i="14"/>
  <c r="BF296" i="14"/>
  <c r="BF306" i="14"/>
  <c r="BE307" i="14"/>
  <c r="BE292" i="14"/>
  <c r="BE282" i="14"/>
  <c r="BF284" i="14"/>
  <c r="BF279" i="14"/>
  <c r="BF291" i="14"/>
  <c r="BE272" i="14"/>
  <c r="BG272" i="14"/>
  <c r="BE274" i="14"/>
  <c r="BF269" i="14"/>
  <c r="BE267" i="14"/>
  <c r="BE253" i="14"/>
  <c r="BF256" i="14"/>
  <c r="BF258" i="14"/>
  <c r="BF244" i="14"/>
  <c r="BF237" i="14"/>
  <c r="BE236" i="14"/>
  <c r="BE241" i="14"/>
  <c r="BE219" i="14"/>
  <c r="BF214" i="14"/>
  <c r="BF227" i="14"/>
  <c r="BE240" i="14"/>
  <c r="BF217" i="14"/>
  <c r="BE208" i="14"/>
  <c r="BF212" i="14"/>
  <c r="BF209" i="14"/>
  <c r="BE209" i="14"/>
  <c r="BE191" i="14"/>
  <c r="BF170" i="14"/>
  <c r="BE168" i="14"/>
  <c r="BF186" i="14"/>
  <c r="BE186" i="14"/>
  <c r="BE192" i="14"/>
  <c r="BE169" i="14"/>
  <c r="BF160" i="14"/>
  <c r="BE163" i="14"/>
  <c r="BE146" i="14"/>
  <c r="BF159" i="14"/>
  <c r="BE161" i="14"/>
  <c r="BE145" i="14"/>
  <c r="BF130" i="14"/>
  <c r="BE130" i="14"/>
  <c r="BF112" i="14"/>
  <c r="BF141" i="14"/>
  <c r="BE110" i="14"/>
  <c r="BF136" i="14"/>
  <c r="BE136" i="14"/>
  <c r="BF139" i="14"/>
  <c r="BF113" i="14"/>
  <c r="BF142" i="14"/>
  <c r="BF117" i="14"/>
  <c r="BE101" i="14"/>
  <c r="BF81" i="14"/>
  <c r="BE137" i="14"/>
  <c r="BE132" i="14"/>
  <c r="BF135" i="14"/>
  <c r="BE140" i="14"/>
  <c r="BE99" i="14"/>
  <c r="BG99" i="14"/>
  <c r="BE158" i="14"/>
  <c r="BE117" i="14"/>
  <c r="BE106" i="14"/>
  <c r="BF131" i="14"/>
  <c r="BF67" i="14"/>
  <c r="BE93" i="14"/>
  <c r="BE76" i="14"/>
  <c r="BF70" i="14"/>
  <c r="BF95" i="14"/>
  <c r="BE92" i="14"/>
  <c r="BG92" i="14"/>
  <c r="BF80" i="14"/>
  <c r="BE71" i="14"/>
  <c r="BE358" i="14"/>
  <c r="BE364" i="14"/>
  <c r="BE362" i="14"/>
  <c r="BG362" i="14"/>
  <c r="BE360" i="14"/>
  <c r="BF349" i="14"/>
  <c r="BE348" i="14"/>
  <c r="BF337" i="14"/>
  <c r="BF340" i="14"/>
  <c r="BE320" i="14"/>
  <c r="BE330" i="14"/>
  <c r="BF314" i="14"/>
  <c r="BE325" i="14"/>
  <c r="BE329" i="14"/>
  <c r="BG329" i="14"/>
  <c r="BE317" i="14"/>
  <c r="BF316" i="14"/>
  <c r="BE305" i="14"/>
  <c r="BE303" i="14"/>
  <c r="BF282" i="14"/>
  <c r="BE280" i="14"/>
  <c r="BE295" i="14"/>
  <c r="BF277" i="14"/>
  <c r="BE290" i="14"/>
  <c r="BF274" i="14"/>
  <c r="BE268" i="14"/>
  <c r="BF267" i="14"/>
  <c r="BE265" i="14"/>
  <c r="BF255" i="14"/>
  <c r="BE255" i="14"/>
  <c r="BE257" i="14"/>
  <c r="BF242" i="14"/>
  <c r="BE231" i="14"/>
  <c r="BF235" i="14"/>
  <c r="BE239" i="14"/>
  <c r="BE216" i="14"/>
  <c r="BF252" i="14"/>
  <c r="BF224" i="14"/>
  <c r="BF231" i="14"/>
  <c r="BF208" i="14"/>
  <c r="BE206" i="14"/>
  <c r="BF210" i="14"/>
  <c r="BF207" i="14"/>
  <c r="BE207" i="14"/>
  <c r="BF182" i="14"/>
  <c r="BF168" i="14"/>
  <c r="BF193" i="14"/>
  <c r="BE185" i="14"/>
  <c r="BF179" i="14"/>
  <c r="BE188" i="14"/>
  <c r="BE194" i="14"/>
  <c r="BF158" i="14"/>
  <c r="BE160" i="14"/>
  <c r="BF165" i="14"/>
  <c r="BF157" i="14"/>
  <c r="BE159" i="14"/>
  <c r="BE143" i="14"/>
  <c r="BF126" i="14"/>
  <c r="BE126" i="14"/>
  <c r="BF110" i="14"/>
  <c r="BE108" i="14"/>
  <c r="BF132" i="14"/>
  <c r="BF111" i="14"/>
  <c r="BF116" i="14"/>
  <c r="BF85" i="14"/>
  <c r="BF156" i="14"/>
  <c r="BE157" i="14"/>
  <c r="BE115" i="14"/>
  <c r="BF128" i="14"/>
  <c r="BF109" i="14"/>
  <c r="BF89" i="14"/>
  <c r="AX63" i="14"/>
  <c r="CY61" i="14"/>
  <c r="CY56" i="14"/>
  <c r="BG307" i="14"/>
  <c r="BG84" i="14"/>
  <c r="BG74" i="14"/>
  <c r="BG268" i="14"/>
  <c r="BG191" i="14"/>
  <c r="BG265" i="14"/>
  <c r="BG303" i="14"/>
  <c r="BG103" i="14"/>
  <c r="BG331" i="14"/>
  <c r="BG348" i="14"/>
  <c r="BG88" i="14"/>
  <c r="BG219" i="14"/>
  <c r="BG162" i="14"/>
  <c r="BG232" i="14"/>
  <c r="BG355" i="14"/>
  <c r="BG137" i="14"/>
  <c r="BG253" i="14"/>
  <c r="BG361" i="14"/>
  <c r="BG280" i="14"/>
  <c r="BG330" i="14"/>
  <c r="BG145" i="14"/>
  <c r="BG173" i="14"/>
  <c r="BO58" i="14"/>
  <c r="BG328" i="14"/>
  <c r="BG194" i="14"/>
  <c r="BG363" i="14"/>
  <c r="BG356" i="14"/>
  <c r="BG236" i="14"/>
  <c r="BG71" i="14"/>
  <c r="BG106" i="14"/>
  <c r="BG230" i="14"/>
  <c r="BG257" i="14"/>
  <c r="BG292" i="14"/>
  <c r="BG180" i="14"/>
  <c r="BG324" i="14"/>
  <c r="BG115" i="14"/>
  <c r="BG364" i="14"/>
  <c r="BG353" i="14"/>
  <c r="BG79" i="14"/>
  <c r="BG188" i="14"/>
  <c r="BG326" i="14"/>
  <c r="BG286" i="14"/>
  <c r="BG100" i="14"/>
  <c r="BG154" i="14"/>
  <c r="BG171" i="14"/>
  <c r="BG140" i="14"/>
  <c r="BG240" i="14"/>
  <c r="BG107" i="14"/>
  <c r="BG206" i="14"/>
  <c r="BG231" i="14"/>
  <c r="BG146" i="14"/>
  <c r="BG148" i="14"/>
  <c r="BG185" i="14"/>
  <c r="BG163" i="14"/>
  <c r="BG344" i="14"/>
  <c r="BG325" i="14"/>
  <c r="BG76" i="14"/>
  <c r="BG192" i="14"/>
  <c r="BG312" i="14"/>
  <c r="BG153" i="14"/>
  <c r="BG127" i="14"/>
  <c r="BG205" i="14"/>
  <c r="BG161" i="14"/>
  <c r="BG189" i="14"/>
  <c r="BG215" i="14"/>
  <c r="BG166" i="14"/>
  <c r="BG124" i="14"/>
  <c r="BG184" i="14"/>
  <c r="BG82" i="14"/>
  <c r="BG143" i="14"/>
  <c r="BG110" i="14"/>
  <c r="BG112" i="14"/>
  <c r="BG314" i="14"/>
  <c r="BG66" i="14"/>
  <c r="BG196" i="14"/>
  <c r="BG98" i="14"/>
  <c r="BG174" i="14"/>
  <c r="BG224" i="14"/>
  <c r="BG243" i="14"/>
  <c r="BG352" i="14"/>
  <c r="BG90" i="14"/>
  <c r="BG120" i="14"/>
  <c r="BG129" i="14"/>
  <c r="BG156" i="14"/>
  <c r="BG223" i="14"/>
  <c r="BG296" i="14"/>
  <c r="BG133" i="14"/>
  <c r="BG217" i="14"/>
  <c r="BG334" i="14"/>
  <c r="BG347" i="14"/>
  <c r="BG290" i="14"/>
  <c r="BG317" i="14"/>
  <c r="BG101" i="14"/>
  <c r="BG97" i="14"/>
  <c r="BO63" i="14"/>
  <c r="BG209" i="14"/>
  <c r="BG118" i="14"/>
  <c r="BG199" i="14"/>
  <c r="BG255" i="14"/>
  <c r="BG360" i="14"/>
  <c r="BG130" i="14"/>
  <c r="BG322" i="14"/>
  <c r="BG134" i="14"/>
  <c r="BG259" i="14"/>
  <c r="BG176" i="14"/>
  <c r="BG222" i="14"/>
  <c r="BG216" i="14"/>
  <c r="BG93" i="14"/>
  <c r="BG214" i="14"/>
  <c r="BG245" i="14"/>
  <c r="BG104" i="14"/>
  <c r="N55" i="11"/>
  <c r="BG190" i="14"/>
  <c r="BG158" i="14"/>
  <c r="BG220" i="14"/>
  <c r="BG281" i="14"/>
  <c r="BG311" i="14"/>
  <c r="BG108" i="14"/>
  <c r="BG139" i="14"/>
  <c r="BG237" i="14"/>
  <c r="BG251" i="14"/>
  <c r="BO56" i="14"/>
  <c r="AF55" i="11"/>
  <c r="BO60" i="14"/>
  <c r="BO55" i="14"/>
  <c r="BO64" i="14"/>
  <c r="BO57" i="14"/>
  <c r="K31" i="11"/>
  <c r="BX57" i="14"/>
  <c r="BX56" i="14"/>
  <c r="AF58" i="14"/>
  <c r="P64" i="14"/>
  <c r="AF57" i="14"/>
  <c r="BX61" i="14"/>
  <c r="AF61" i="14"/>
  <c r="BX54" i="14"/>
  <c r="AZ64" i="14"/>
  <c r="G64" i="14"/>
  <c r="BX55" i="14"/>
  <c r="BX63" i="14"/>
  <c r="AF63" i="14"/>
  <c r="BG65" i="14"/>
  <c r="BH65" i="14"/>
  <c r="BH66" i="14"/>
  <c r="BH67" i="14"/>
  <c r="BH68" i="14"/>
  <c r="BH69" i="14"/>
  <c r="BH70" i="14"/>
  <c r="BH71" i="14"/>
  <c r="BH72" i="14"/>
  <c r="BH73" i="14"/>
  <c r="BH74" i="14"/>
  <c r="BH75" i="14"/>
  <c r="BH76" i="14"/>
  <c r="BH77" i="14"/>
  <c r="BH78" i="14"/>
  <c r="BH79" i="14"/>
  <c r="BH80" i="14"/>
  <c r="BH81" i="14"/>
  <c r="BH82" i="14"/>
  <c r="BH83" i="14"/>
  <c r="BH84" i="14"/>
  <c r="BH85" i="14"/>
  <c r="BH86" i="14"/>
  <c r="BH87" i="14"/>
  <c r="BH88" i="14"/>
  <c r="BH89" i="14"/>
  <c r="BH90" i="14"/>
  <c r="BH91" i="14"/>
  <c r="BH92" i="14"/>
  <c r="BH93" i="14"/>
  <c r="BH94" i="14"/>
  <c r="BH95" i="14"/>
  <c r="BH96" i="14"/>
  <c r="BH97" i="14"/>
  <c r="BH98" i="14"/>
  <c r="BH99" i="14"/>
  <c r="BH100" i="14"/>
  <c r="BH101" i="14"/>
  <c r="BH102" i="14"/>
  <c r="BH103" i="14"/>
  <c r="BH104" i="14"/>
  <c r="BH105" i="14"/>
  <c r="BH106" i="14"/>
  <c r="BH107" i="14"/>
  <c r="BH108" i="14"/>
  <c r="BH109" i="14"/>
  <c r="BH110" i="14"/>
  <c r="BH111" i="14"/>
  <c r="BH112" i="14"/>
  <c r="BH113" i="14"/>
  <c r="BH114" i="14"/>
  <c r="BH115" i="14"/>
  <c r="BH116" i="14"/>
  <c r="BH117" i="14"/>
  <c r="BH118" i="14"/>
  <c r="BH119" i="14"/>
  <c r="BH120" i="14"/>
  <c r="BH121" i="14"/>
  <c r="BH122" i="14"/>
  <c r="BH123" i="14"/>
  <c r="BH124" i="14"/>
  <c r="BH125" i="14"/>
  <c r="BH126" i="14"/>
  <c r="BH127" i="14"/>
  <c r="BH128" i="14"/>
  <c r="BH129" i="14"/>
  <c r="BH130" i="14"/>
  <c r="BH131" i="14"/>
  <c r="BH132" i="14"/>
  <c r="BH133" i="14"/>
  <c r="BH134" i="14"/>
  <c r="BH135" i="14"/>
  <c r="BH136" i="14"/>
  <c r="BH137" i="14"/>
  <c r="BH138" i="14"/>
  <c r="BH139" i="14"/>
  <c r="BH140" i="14"/>
  <c r="BH141" i="14"/>
  <c r="BH142" i="14"/>
  <c r="BH143" i="14"/>
  <c r="BH144" i="14"/>
  <c r="BH145" i="14"/>
  <c r="BH146" i="14"/>
  <c r="BH147" i="14"/>
  <c r="BH148" i="14"/>
  <c r="BH149" i="14"/>
  <c r="BH150" i="14"/>
  <c r="BH151" i="14"/>
  <c r="BH152" i="14"/>
  <c r="BH153" i="14"/>
  <c r="BH154" i="14"/>
  <c r="BH155" i="14"/>
  <c r="BH156" i="14"/>
  <c r="BH157" i="14"/>
  <c r="BH158" i="14"/>
  <c r="BH159" i="14"/>
  <c r="BH160" i="14"/>
  <c r="BH161" i="14"/>
  <c r="BH162" i="14"/>
  <c r="BH163" i="14"/>
  <c r="BH164" i="14"/>
  <c r="BH165" i="14"/>
  <c r="BH166" i="14"/>
  <c r="BH167" i="14"/>
  <c r="BH168" i="14"/>
  <c r="BH169" i="14"/>
  <c r="BH170" i="14"/>
  <c r="BH171" i="14"/>
  <c r="BH172" i="14"/>
  <c r="BH173" i="14"/>
  <c r="BH174" i="14"/>
  <c r="BH175" i="14"/>
  <c r="BH176" i="14"/>
  <c r="BH177" i="14"/>
  <c r="BH178" i="14"/>
  <c r="BH179" i="14"/>
  <c r="BH180" i="14"/>
  <c r="BH181" i="14"/>
  <c r="BH182" i="14"/>
  <c r="BH183" i="14"/>
  <c r="BH184" i="14"/>
  <c r="BH185" i="14"/>
  <c r="BH186" i="14"/>
  <c r="BH187" i="14"/>
  <c r="BH188" i="14"/>
  <c r="BH189" i="14"/>
  <c r="BH190" i="14"/>
  <c r="BH191" i="14"/>
  <c r="BH192" i="14"/>
  <c r="BH193" i="14"/>
  <c r="BH194" i="14"/>
  <c r="BH195" i="14"/>
  <c r="BH196" i="14"/>
  <c r="BH197" i="14"/>
  <c r="BH198" i="14"/>
  <c r="BH199" i="14"/>
  <c r="BH200" i="14"/>
  <c r="BH201" i="14"/>
  <c r="BH202" i="14"/>
  <c r="BH203" i="14"/>
  <c r="BH204" i="14"/>
  <c r="BH205" i="14"/>
  <c r="BH206" i="14"/>
  <c r="BH207" i="14"/>
  <c r="BH208" i="14"/>
  <c r="BH209" i="14"/>
  <c r="BH210" i="14"/>
  <c r="BH211" i="14"/>
  <c r="BH212" i="14"/>
  <c r="BH213" i="14"/>
  <c r="BH214" i="14"/>
  <c r="BH215" i="14"/>
  <c r="BH216" i="14"/>
  <c r="BH217" i="14"/>
  <c r="BH218" i="14"/>
  <c r="BH219" i="14"/>
  <c r="BH220" i="14"/>
  <c r="BH221" i="14"/>
  <c r="BH222" i="14"/>
  <c r="BH223" i="14"/>
  <c r="BH224" i="14"/>
  <c r="BH225" i="14"/>
  <c r="BH226" i="14"/>
  <c r="BH227" i="14"/>
  <c r="BH228" i="14"/>
  <c r="BH229" i="14"/>
  <c r="BH230" i="14"/>
  <c r="BH231" i="14"/>
  <c r="BH232" i="14"/>
  <c r="BH233" i="14"/>
  <c r="BH234" i="14"/>
  <c r="BH235" i="14"/>
  <c r="BH236" i="14"/>
  <c r="BH237" i="14"/>
  <c r="BH238" i="14"/>
  <c r="BH239" i="14"/>
  <c r="BH240" i="14"/>
  <c r="BH241" i="14"/>
  <c r="BH242" i="14"/>
  <c r="BH243" i="14"/>
  <c r="BH244" i="14"/>
  <c r="BH245" i="14"/>
  <c r="BH246" i="14"/>
  <c r="BH247" i="14"/>
  <c r="BH248" i="14"/>
  <c r="BH249" i="14"/>
  <c r="BH250" i="14"/>
  <c r="BH251" i="14"/>
  <c r="BH252" i="14"/>
  <c r="BH253" i="14"/>
  <c r="BH254" i="14"/>
  <c r="BH255" i="14"/>
  <c r="BH256" i="14"/>
  <c r="BH257" i="14"/>
  <c r="BH258" i="14"/>
  <c r="BH259" i="14"/>
  <c r="BH260" i="14"/>
  <c r="BH261" i="14"/>
  <c r="BH262" i="14"/>
  <c r="BH263" i="14"/>
  <c r="BH264" i="14"/>
  <c r="BH265" i="14"/>
  <c r="BH266" i="14"/>
  <c r="BH267" i="14"/>
  <c r="BH268" i="14"/>
  <c r="BH269" i="14"/>
  <c r="BH270" i="14"/>
  <c r="BH271" i="14"/>
  <c r="BH272" i="14"/>
  <c r="BH273" i="14"/>
  <c r="BH274" i="14"/>
  <c r="BH275" i="14"/>
  <c r="BH276" i="14"/>
  <c r="BH277" i="14"/>
  <c r="BH278" i="14"/>
  <c r="BH279" i="14"/>
  <c r="BH280" i="14"/>
  <c r="BH281" i="14"/>
  <c r="BH282" i="14"/>
  <c r="BH283" i="14"/>
  <c r="BH284" i="14"/>
  <c r="BH285" i="14"/>
  <c r="BH286" i="14"/>
  <c r="BH287" i="14"/>
  <c r="BH288" i="14"/>
  <c r="BH289" i="14"/>
  <c r="BH290" i="14"/>
  <c r="BH291" i="14"/>
  <c r="BH292" i="14"/>
  <c r="BH293" i="14"/>
  <c r="BH294" i="14"/>
  <c r="BH295" i="14"/>
  <c r="BH296" i="14"/>
  <c r="BH297" i="14"/>
  <c r="BH298" i="14"/>
  <c r="BH299" i="14"/>
  <c r="BH300" i="14"/>
  <c r="BH301" i="14"/>
  <c r="BH302" i="14"/>
  <c r="BH303" i="14"/>
  <c r="BH304" i="14"/>
  <c r="BH305" i="14"/>
  <c r="BH306" i="14"/>
  <c r="BH307" i="14"/>
  <c r="BH308" i="14"/>
  <c r="BH309" i="14"/>
  <c r="BH310" i="14"/>
  <c r="BH311" i="14"/>
  <c r="BH312" i="14"/>
  <c r="BH313" i="14"/>
  <c r="BH314" i="14"/>
  <c r="BH315" i="14"/>
  <c r="BH316" i="14"/>
  <c r="BH317" i="14"/>
  <c r="BH318" i="14"/>
  <c r="BH319" i="14"/>
  <c r="BH320" i="14"/>
  <c r="BH321" i="14"/>
  <c r="BH322" i="14"/>
  <c r="BH323" i="14"/>
  <c r="BH324" i="14"/>
  <c r="BH325" i="14"/>
  <c r="BH326" i="14"/>
  <c r="BH327" i="14"/>
  <c r="BH328" i="14"/>
  <c r="BH329" i="14"/>
  <c r="BH330" i="14"/>
  <c r="BH331" i="14"/>
  <c r="BH332" i="14"/>
  <c r="BH333" i="14"/>
  <c r="BH334" i="14"/>
  <c r="BH335" i="14"/>
  <c r="BH336" i="14"/>
  <c r="BH337" i="14"/>
  <c r="BH338" i="14"/>
  <c r="BH339" i="14"/>
  <c r="BH340" i="14"/>
  <c r="BH341" i="14"/>
  <c r="BH342" i="14"/>
  <c r="BH343" i="14"/>
  <c r="BH344" i="14"/>
  <c r="BH345" i="14"/>
  <c r="BH346" i="14"/>
  <c r="BH347" i="14"/>
  <c r="BH348" i="14"/>
  <c r="BH349" i="14"/>
  <c r="BH350" i="14"/>
  <c r="BH351" i="14"/>
  <c r="BH352" i="14"/>
  <c r="BH353" i="14"/>
  <c r="BH354" i="14"/>
  <c r="BH355" i="14"/>
  <c r="BH356" i="14"/>
  <c r="BH357" i="14"/>
  <c r="BH358" i="14"/>
  <c r="BH359" i="14"/>
  <c r="BH360" i="14"/>
  <c r="BH361" i="14"/>
  <c r="BH362" i="14"/>
  <c r="BH363" i="14"/>
  <c r="BH364" i="14"/>
  <c r="BG305" i="14"/>
  <c r="BG168" i="14"/>
  <c r="BG170" i="14"/>
  <c r="BG256" i="14"/>
  <c r="BG275" i="14"/>
  <c r="BG283" i="14"/>
  <c r="BG349" i="14"/>
  <c r="BG150" i="14"/>
  <c r="BG102" i="14"/>
  <c r="BG165" i="14"/>
  <c r="BG183" i="14"/>
  <c r="BG227" i="14"/>
  <c r="BG316" i="14"/>
  <c r="BG343" i="14"/>
  <c r="BG87" i="14"/>
  <c r="BG250" i="14"/>
  <c r="BG247" i="14"/>
  <c r="BG287" i="14"/>
  <c r="BG327" i="14"/>
  <c r="BG345" i="14"/>
  <c r="BG113" i="14"/>
  <c r="BG346" i="14"/>
  <c r="CI65" i="14"/>
  <c r="BO61" i="14"/>
  <c r="CI64" i="14"/>
  <c r="BX64" i="14"/>
  <c r="AF62" i="14"/>
  <c r="BG249" i="14"/>
  <c r="V53" i="14"/>
  <c r="U64" i="14"/>
  <c r="U58" i="14"/>
  <c r="V54" i="14"/>
  <c r="U63" i="14"/>
  <c r="V62" i="14"/>
  <c r="U56" i="14"/>
  <c r="V63" i="14"/>
  <c r="U61" i="14"/>
  <c r="V60" i="14"/>
  <c r="V61" i="14"/>
  <c r="U59" i="14"/>
  <c r="V58" i="14"/>
  <c r="V59" i="14"/>
  <c r="U57" i="14"/>
  <c r="V56" i="14"/>
  <c r="V57" i="14"/>
  <c r="U55" i="14"/>
  <c r="V55" i="14"/>
  <c r="U53" i="14"/>
  <c r="U62" i="14"/>
  <c r="U54" i="14"/>
  <c r="V64" i="14"/>
  <c r="U60" i="14"/>
  <c r="BG159" i="14"/>
  <c r="BG117" i="14"/>
  <c r="BG282" i="14"/>
  <c r="BG321" i="14"/>
  <c r="BG195" i="14"/>
  <c r="BG337" i="14"/>
  <c r="BG246" i="14"/>
  <c r="BG80" i="14"/>
  <c r="BG182" i="14"/>
  <c r="BG244" i="14"/>
  <c r="BG294" i="14"/>
  <c r="BG323" i="14"/>
  <c r="BG91" i="14"/>
  <c r="BG201" i="14"/>
  <c r="BG229" i="14"/>
  <c r="BG260" i="14"/>
  <c r="BG119" i="14"/>
  <c r="BG86" i="14"/>
  <c r="BG111" i="14"/>
  <c r="BG203" i="14"/>
  <c r="BG233" i="14"/>
  <c r="BG261" i="14"/>
  <c r="BG354" i="14"/>
  <c r="BG141" i="14"/>
  <c r="BG181" i="14"/>
  <c r="BG254" i="14"/>
  <c r="BG278" i="14"/>
  <c r="BG313" i="14"/>
  <c r="BG359" i="14"/>
  <c r="BG78" i="14"/>
  <c r="AQ65" i="14"/>
  <c r="DG61" i="14"/>
  <c r="DF55" i="14"/>
  <c r="DF58" i="14"/>
  <c r="DG59" i="14"/>
  <c r="DF56" i="14"/>
  <c r="DG57" i="14"/>
  <c r="DG62" i="14"/>
  <c r="DG54" i="14"/>
  <c r="DG55" i="14"/>
  <c r="DG60" i="14"/>
  <c r="DF54" i="14"/>
  <c r="DF63" i="14"/>
  <c r="DG58" i="14"/>
  <c r="DG53" i="14"/>
  <c r="DF53" i="14"/>
  <c r="DF61" i="14"/>
  <c r="DG56" i="14"/>
  <c r="DG64" i="14"/>
  <c r="DH64" i="14"/>
  <c r="DF59" i="14"/>
  <c r="DF62" i="14"/>
  <c r="DG63" i="14"/>
  <c r="DF57" i="14"/>
  <c r="DF60" i="14"/>
  <c r="BX60" i="14"/>
  <c r="AF64" i="14"/>
  <c r="AF60" i="14"/>
  <c r="BG267" i="14"/>
  <c r="BG269" i="14"/>
  <c r="BG72" i="14"/>
  <c r="BG193" i="14"/>
  <c r="BG226" i="14"/>
  <c r="BG68" i="14"/>
  <c r="BG297" i="14"/>
  <c r="BG109" i="14"/>
  <c r="BG135" i="14"/>
  <c r="BG234" i="14"/>
  <c r="BG299" i="14"/>
  <c r="BG164" i="14"/>
  <c r="BG248" i="14"/>
  <c r="BG263" i="14"/>
  <c r="AQ64" i="14"/>
  <c r="CO55" i="14"/>
  <c r="CN53" i="14"/>
  <c r="CN62" i="14"/>
  <c r="CN54" i="14"/>
  <c r="CO64" i="14"/>
  <c r="CN60" i="14"/>
  <c r="CO53" i="14"/>
  <c r="CN64" i="14"/>
  <c r="CN58" i="14"/>
  <c r="CO54" i="14"/>
  <c r="CN63" i="14"/>
  <c r="CO62" i="14"/>
  <c r="CN56" i="14"/>
  <c r="CO63" i="14"/>
  <c r="CN61" i="14"/>
  <c r="CO60" i="14"/>
  <c r="CO61" i="14"/>
  <c r="CN59" i="14"/>
  <c r="CO58" i="14"/>
  <c r="CO59" i="14"/>
  <c r="CN57" i="14"/>
  <c r="CO56" i="14"/>
  <c r="CO57" i="14"/>
  <c r="CN55" i="14"/>
  <c r="DA65" i="14"/>
  <c r="BX53" i="14"/>
  <c r="BY53" i="14"/>
  <c r="BY54" i="14"/>
  <c r="BY55" i="14"/>
  <c r="BY56" i="14"/>
  <c r="BY57" i="14"/>
  <c r="BY58" i="14"/>
  <c r="BY59" i="14"/>
  <c r="BY60" i="14"/>
  <c r="BY61" i="14"/>
  <c r="BY62" i="14"/>
  <c r="BY63" i="14"/>
  <c r="BY64" i="14"/>
  <c r="AZ65" i="14"/>
  <c r="BG295" i="14"/>
  <c r="BG169" i="14"/>
  <c r="BG241" i="14"/>
  <c r="BG94" i="14"/>
  <c r="BG172" i="14"/>
  <c r="BG351" i="14"/>
  <c r="BG179" i="14"/>
  <c r="BG262" i="14"/>
  <c r="BG333" i="14"/>
  <c r="BG114" i="14"/>
  <c r="BG116" i="14"/>
  <c r="BG212" i="14"/>
  <c r="BG225" i="14"/>
  <c r="BG264" i="14"/>
  <c r="BG306" i="14"/>
  <c r="BG75" i="14"/>
  <c r="BG235" i="14"/>
  <c r="BG301" i="14"/>
  <c r="BG357" i="14"/>
  <c r="DA64" i="14"/>
  <c r="AF59" i="14"/>
  <c r="AF56" i="14"/>
  <c r="BG160" i="14"/>
  <c r="BG274" i="14"/>
  <c r="BG89" i="14"/>
  <c r="BG85" i="14"/>
  <c r="BG242" i="14"/>
  <c r="BG95" i="14"/>
  <c r="BG210" i="14"/>
  <c r="BG277" i="14"/>
  <c r="BG131" i="14"/>
  <c r="BG200" i="14"/>
  <c r="BG300" i="14"/>
  <c r="BG77" i="14"/>
  <c r="BG138" i="14"/>
  <c r="BG122" i="14"/>
  <c r="BG175" i="14"/>
  <c r="BG202" i="14"/>
  <c r="BG302" i="14"/>
  <c r="BG340" i="14"/>
  <c r="BG187" i="14"/>
  <c r="BG213" i="14"/>
  <c r="BG266" i="14"/>
  <c r="BG332" i="14"/>
  <c r="BG73" i="14"/>
  <c r="BO53" i="14"/>
  <c r="BP53" i="14"/>
  <c r="BP54" i="14"/>
  <c r="BP55" i="14"/>
  <c r="BP56" i="14"/>
  <c r="BP57" i="14"/>
  <c r="BP58" i="14"/>
  <c r="BP59" i="14"/>
  <c r="BP60" i="14"/>
  <c r="BP61" i="14"/>
  <c r="BP62" i="14"/>
  <c r="BP63" i="14"/>
  <c r="BP64" i="14"/>
  <c r="P65" i="14"/>
  <c r="BX62" i="14"/>
  <c r="AF55" i="14"/>
  <c r="BG207" i="14"/>
  <c r="BG186" i="14"/>
  <c r="BG208" i="14"/>
  <c r="BG69" i="14"/>
  <c r="BG128" i="14"/>
  <c r="BG67" i="14"/>
  <c r="BG197" i="14"/>
  <c r="BG252" i="14"/>
  <c r="BG293" i="14"/>
  <c r="BG70" i="14"/>
  <c r="BG142" i="14"/>
  <c r="BG198" i="14"/>
  <c r="BG298" i="14"/>
  <c r="BG121" i="14"/>
  <c r="BG338" i="14"/>
  <c r="BG123" i="14"/>
  <c r="BG155" i="14"/>
  <c r="BG177" i="14"/>
  <c r="BG284" i="14"/>
  <c r="BG308" i="14"/>
  <c r="BG339" i="14"/>
  <c r="BG178" i="14"/>
  <c r="BG204" i="14"/>
  <c r="BG228" i="14"/>
  <c r="BG273" i="14"/>
  <c r="BG304" i="14"/>
  <c r="BG336" i="14"/>
  <c r="G65" i="14"/>
  <c r="BO62" i="14"/>
  <c r="BO59" i="14"/>
  <c r="BX59" i="14"/>
  <c r="BG81" i="14"/>
  <c r="BG157" i="14"/>
  <c r="BG126" i="14"/>
  <c r="BG239" i="14"/>
  <c r="BG320" i="14"/>
  <c r="BG358" i="14"/>
  <c r="BG132" i="14"/>
  <c r="BG136" i="14"/>
  <c r="BG350" i="14"/>
  <c r="BG167" i="14"/>
  <c r="BG279" i="14"/>
  <c r="BG309" i="14"/>
  <c r="BG270" i="14"/>
  <c r="BG291" i="14"/>
  <c r="BG271" i="14"/>
  <c r="BG335" i="14"/>
  <c r="BG149" i="14"/>
  <c r="BG218" i="14"/>
  <c r="BG125" i="14"/>
  <c r="BG221" i="14"/>
  <c r="BG258" i="14"/>
  <c r="BG289" i="14"/>
  <c r="BG319" i="14"/>
  <c r="BG83" i="14"/>
  <c r="BG285" i="14"/>
  <c r="BG341" i="14"/>
  <c r="BG96" i="14"/>
  <c r="BO54" i="14"/>
  <c r="BX58" i="14"/>
  <c r="AF54" i="14"/>
  <c r="AF53" i="14"/>
  <c r="AG53" i="14"/>
  <c r="AG54" i="14"/>
  <c r="AG55" i="14"/>
  <c r="AG56" i="14"/>
  <c r="AG57" i="14"/>
  <c r="AG58" i="14"/>
  <c r="AG59" i="14"/>
  <c r="AG60" i="14"/>
  <c r="AG61" i="14"/>
  <c r="AG62" i="14"/>
  <c r="AG63" i="14"/>
  <c r="AG64" i="14"/>
  <c r="CP54" i="14"/>
  <c r="DH59" i="14"/>
  <c r="CP58" i="14"/>
  <c r="DH61" i="14"/>
  <c r="DH57" i="14"/>
  <c r="DH62" i="14"/>
  <c r="DH55" i="14"/>
  <c r="CP64" i="14"/>
  <c r="BQ64" i="14"/>
  <c r="W62" i="14"/>
  <c r="W58" i="14"/>
  <c r="W60" i="14"/>
  <c r="W54" i="14"/>
  <c r="CP61" i="14"/>
  <c r="W61" i="14"/>
  <c r="M363" i="14"/>
  <c r="L363" i="14"/>
  <c r="M360" i="14"/>
  <c r="M348" i="14"/>
  <c r="M347" i="14"/>
  <c r="M362" i="14"/>
  <c r="M340" i="14"/>
  <c r="L341" i="14"/>
  <c r="M328" i="14"/>
  <c r="L329" i="14"/>
  <c r="M314" i="14"/>
  <c r="M309" i="14"/>
  <c r="M325" i="14"/>
  <c r="M310" i="14"/>
  <c r="L303" i="14"/>
  <c r="L318" i="14"/>
  <c r="M300" i="14"/>
  <c r="L296" i="14"/>
  <c r="M279" i="14"/>
  <c r="L279" i="14"/>
  <c r="M290" i="14"/>
  <c r="L284" i="14"/>
  <c r="M273" i="14"/>
  <c r="M265" i="14"/>
  <c r="M276" i="14"/>
  <c r="M262" i="14"/>
  <c r="L253" i="14"/>
  <c r="M244" i="14"/>
  <c r="L244" i="14"/>
  <c r="M252" i="14"/>
  <c r="M237" i="14"/>
  <c r="L245" i="14"/>
  <c r="L225" i="14"/>
  <c r="M215" i="14"/>
  <c r="L238" i="14"/>
  <c r="L243" i="14"/>
  <c r="L217" i="14"/>
  <c r="M221" i="14"/>
  <c r="M205" i="14"/>
  <c r="L207" i="14"/>
  <c r="M211" i="14"/>
  <c r="M202" i="14"/>
  <c r="L202" i="14"/>
  <c r="M176" i="14"/>
  <c r="M169" i="14"/>
  <c r="M190" i="14"/>
  <c r="M179" i="14"/>
  <c r="M174" i="14"/>
  <c r="L175" i="14"/>
  <c r="L181" i="14"/>
  <c r="M151" i="14"/>
  <c r="L155" i="14"/>
  <c r="M167" i="14"/>
  <c r="M150" i="14"/>
  <c r="L148" i="14"/>
  <c r="M144" i="14"/>
  <c r="L139" i="14"/>
  <c r="M146" i="14"/>
  <c r="M120" i="14"/>
  <c r="M101" i="14"/>
  <c r="L126" i="14"/>
  <c r="L107" i="14"/>
  <c r="M129" i="14"/>
  <c r="M140" i="14"/>
  <c r="M108" i="14"/>
  <c r="L140" i="14"/>
  <c r="L110" i="14"/>
  <c r="M91" i="14"/>
  <c r="M94" i="14"/>
  <c r="M72" i="14"/>
  <c r="L78" i="14"/>
  <c r="M85" i="14"/>
  <c r="M92" i="14"/>
  <c r="M69" i="14"/>
  <c r="L77" i="14"/>
  <c r="M361" i="14"/>
  <c r="M359" i="14"/>
  <c r="L357" i="14"/>
  <c r="M344" i="14"/>
  <c r="L346" i="14"/>
  <c r="L345" i="14"/>
  <c r="M339" i="14"/>
  <c r="M336" i="14"/>
  <c r="M333" i="14"/>
  <c r="M326" i="14"/>
  <c r="L313" i="14"/>
  <c r="M323" i="14"/>
  <c r="L332" i="14"/>
  <c r="L324" i="14"/>
  <c r="L301" i="14"/>
  <c r="M317" i="14"/>
  <c r="M298" i="14"/>
  <c r="M293" i="14"/>
  <c r="M277" i="14"/>
  <c r="L277" i="14"/>
  <c r="L289" i="14"/>
  <c r="L282" i="14"/>
  <c r="L272" i="14"/>
  <c r="M263" i="14"/>
  <c r="M270" i="14"/>
  <c r="M272" i="14"/>
  <c r="M255" i="14"/>
  <c r="M242" i="14"/>
  <c r="M258" i="14"/>
  <c r="L251" i="14"/>
  <c r="M235" i="14"/>
  <c r="L239" i="14"/>
  <c r="M222" i="14"/>
  <c r="L247" i="14"/>
  <c r="L237" i="14"/>
  <c r="L240" i="14"/>
  <c r="L260" i="14"/>
  <c r="M213" i="14"/>
  <c r="M203" i="14"/>
  <c r="L205" i="14"/>
  <c r="L210" i="14"/>
  <c r="M200" i="14"/>
  <c r="L200" i="14"/>
  <c r="M195" i="14"/>
  <c r="L191" i="14"/>
  <c r="M186" i="14"/>
  <c r="L178" i="14"/>
  <c r="M172" i="14"/>
  <c r="L174" i="14"/>
  <c r="M164" i="14"/>
  <c r="M149" i="14"/>
  <c r="L153" i="14"/>
  <c r="L166" i="14"/>
  <c r="M148" i="14"/>
  <c r="L146" i="14"/>
  <c r="N146" i="14"/>
  <c r="M139" i="14"/>
  <c r="L135" i="14"/>
  <c r="M141" i="14"/>
  <c r="M119" i="14"/>
  <c r="M99" i="14"/>
  <c r="L120" i="14"/>
  <c r="L105" i="14"/>
  <c r="L118" i="14"/>
  <c r="M136" i="14"/>
  <c r="M106" i="14"/>
  <c r="L136" i="14"/>
  <c r="L108" i="14"/>
  <c r="M87" i="14"/>
  <c r="M90" i="14"/>
  <c r="M70" i="14"/>
  <c r="L76" i="14"/>
  <c r="M81" i="14"/>
  <c r="M88" i="14"/>
  <c r="M67" i="14"/>
  <c r="L75" i="14"/>
  <c r="L96" i="14"/>
  <c r="L364" i="14"/>
  <c r="M358" i="14"/>
  <c r="L356" i="14"/>
  <c r="M342" i="14"/>
  <c r="M352" i="14"/>
  <c r="L343" i="14"/>
  <c r="M335" i="14"/>
  <c r="M334" i="14"/>
  <c r="M329" i="14"/>
  <c r="M324" i="14"/>
  <c r="M312" i="14"/>
  <c r="M319" i="14"/>
  <c r="M327" i="14"/>
  <c r="L310" i="14"/>
  <c r="L299" i="14"/>
  <c r="M307" i="14"/>
  <c r="L316" i="14"/>
  <c r="L292" i="14"/>
  <c r="M295" i="14"/>
  <c r="L295" i="14"/>
  <c r="M284" i="14"/>
  <c r="L280" i="14"/>
  <c r="M274" i="14"/>
  <c r="M261" i="14"/>
  <c r="L276" i="14"/>
  <c r="L271" i="14"/>
  <c r="L254" i="14"/>
  <c r="L261" i="14"/>
  <c r="L257" i="14"/>
  <c r="M249" i="14"/>
  <c r="M233" i="14"/>
  <c r="L231" i="14"/>
  <c r="M219" i="14"/>
  <c r="M238" i="14"/>
  <c r="M236" i="14"/>
  <c r="L236" i="14"/>
  <c r="L249" i="14"/>
  <c r="L213" i="14"/>
  <c r="M201" i="14"/>
  <c r="L203" i="14"/>
  <c r="L214" i="14"/>
  <c r="M198" i="14"/>
  <c r="L198" i="14"/>
  <c r="M191" i="14"/>
  <c r="M185" i="14"/>
  <c r="L185" i="14"/>
  <c r="M193" i="14"/>
  <c r="M170" i="14"/>
  <c r="L172" i="14"/>
  <c r="L163" i="14"/>
  <c r="M147" i="14"/>
  <c r="L151" i="14"/>
  <c r="N151" i="14"/>
  <c r="L167" i="14"/>
  <c r="L160" i="14"/>
  <c r="L144" i="14"/>
  <c r="M135" i="14"/>
  <c r="L131" i="14"/>
  <c r="M138" i="14"/>
  <c r="M113" i="14"/>
  <c r="M97" i="14"/>
  <c r="L119" i="14"/>
  <c r="L103" i="14"/>
  <c r="L117" i="14"/>
  <c r="M132" i="14"/>
  <c r="M104" i="14"/>
  <c r="L132" i="14"/>
  <c r="L106" i="14"/>
  <c r="M83" i="14"/>
  <c r="M86" i="14"/>
  <c r="M68" i="14"/>
  <c r="L74" i="14"/>
  <c r="L93" i="14"/>
  <c r="M84" i="14"/>
  <c r="M66" i="14"/>
  <c r="L73" i="14"/>
  <c r="L362" i="14"/>
  <c r="L353" i="14"/>
  <c r="M355" i="14"/>
  <c r="L348" i="14"/>
  <c r="L350" i="14"/>
  <c r="L351" i="14"/>
  <c r="L340" i="14"/>
  <c r="L327" i="14"/>
  <c r="L328" i="14"/>
  <c r="M322" i="14"/>
  <c r="M321" i="14"/>
  <c r="M318" i="14"/>
  <c r="L320" i="14"/>
  <c r="M303" i="14"/>
  <c r="L297" i="14"/>
  <c r="L306" i="14"/>
  <c r="L308" i="14"/>
  <c r="L285" i="14"/>
  <c r="L294" i="14"/>
  <c r="M288" i="14"/>
  <c r="M282" i="14"/>
  <c r="L278" i="14"/>
  <c r="L273" i="14"/>
  <c r="L275" i="14"/>
  <c r="M271" i="14"/>
  <c r="L268" i="14"/>
  <c r="M256" i="14"/>
  <c r="M257" i="14"/>
  <c r="M259" i="14"/>
  <c r="M247" i="14"/>
  <c r="L233" i="14"/>
  <c r="M228" i="14"/>
  <c r="M232" i="14"/>
  <c r="L232" i="14"/>
  <c r="L226" i="14"/>
  <c r="L235" i="14"/>
  <c r="L241" i="14"/>
  <c r="M212" i="14"/>
  <c r="M199" i="14"/>
  <c r="L201" i="14"/>
  <c r="L211" i="14"/>
  <c r="M196" i="14"/>
  <c r="L196" i="14"/>
  <c r="M184" i="14"/>
  <c r="L184" i="14"/>
  <c r="M178" i="14"/>
  <c r="M189" i="14"/>
  <c r="L194" i="14"/>
  <c r="L170" i="14"/>
  <c r="M161" i="14"/>
  <c r="M165" i="14"/>
  <c r="L149" i="14"/>
  <c r="N149" i="14"/>
  <c r="M160" i="14"/>
  <c r="L158" i="14"/>
  <c r="L142" i="14"/>
  <c r="M131" i="14"/>
  <c r="L127" i="14"/>
  <c r="M134" i="14"/>
  <c r="M111" i="14"/>
  <c r="M143" i="14"/>
  <c r="M118" i="14"/>
  <c r="L101" i="14"/>
  <c r="M116" i="14"/>
  <c r="M128" i="14"/>
  <c r="M102" i="14"/>
  <c r="L128" i="14"/>
  <c r="L104" i="14"/>
  <c r="L65" i="14"/>
  <c r="M82" i="14"/>
  <c r="L94" i="14"/>
  <c r="L72" i="14"/>
  <c r="L89" i="14"/>
  <c r="M80" i="14"/>
  <c r="L71" i="14"/>
  <c r="L360" i="14"/>
  <c r="L359" i="14"/>
  <c r="M354" i="14"/>
  <c r="L344" i="14"/>
  <c r="L347" i="14"/>
  <c r="L349" i="14"/>
  <c r="L339" i="14"/>
  <c r="L325" i="14"/>
  <c r="L335" i="14"/>
  <c r="M320" i="14"/>
  <c r="M315" i="14"/>
  <c r="M316" i="14"/>
  <c r="L317" i="14"/>
  <c r="M301" i="14"/>
  <c r="M313" i="14"/>
  <c r="M308" i="14"/>
  <c r="L304" i="14"/>
  <c r="M294" i="14"/>
  <c r="M287" i="14"/>
  <c r="L287" i="14"/>
  <c r="M280" i="14"/>
  <c r="M296" i="14"/>
  <c r="M275" i="14"/>
  <c r="L269" i="14"/>
  <c r="L270" i="14"/>
  <c r="L266" i="14"/>
  <c r="L255" i="14"/>
  <c r="L256" i="14"/>
  <c r="L258" i="14"/>
  <c r="M245" i="14"/>
  <c r="M231" i="14"/>
  <c r="M225" i="14"/>
  <c r="M229" i="14"/>
  <c r="L229" i="14"/>
  <c r="L223" i="14"/>
  <c r="M234" i="14"/>
  <c r="L234" i="14"/>
  <c r="L216" i="14"/>
  <c r="M197" i="14"/>
  <c r="L199" i="14"/>
  <c r="L215" i="14"/>
  <c r="M194" i="14"/>
  <c r="L192" i="14"/>
  <c r="L183" i="14"/>
  <c r="M177" i="14"/>
  <c r="L177" i="14"/>
  <c r="L187" i="14"/>
  <c r="L193" i="14"/>
  <c r="L168" i="14"/>
  <c r="M159" i="14"/>
  <c r="L164" i="14"/>
  <c r="L147" i="14"/>
  <c r="M158" i="14"/>
  <c r="L156" i="14"/>
  <c r="M168" i="14"/>
  <c r="M127" i="14"/>
  <c r="L124" i="14"/>
  <c r="M130" i="14"/>
  <c r="M109" i="14"/>
  <c r="L141" i="14"/>
  <c r="M117" i="14"/>
  <c r="L99" i="14"/>
  <c r="L137" i="14"/>
  <c r="M115" i="14"/>
  <c r="M100" i="14"/>
  <c r="M125" i="14"/>
  <c r="L102" i="14"/>
  <c r="L95" i="14"/>
  <c r="M79" i="14"/>
  <c r="L90" i="14"/>
  <c r="L70" i="14"/>
  <c r="L85" i="14"/>
  <c r="M77" i="14"/>
  <c r="L92" i="14"/>
  <c r="L69" i="14"/>
  <c r="M351" i="14"/>
  <c r="L358" i="14"/>
  <c r="M350" i="14"/>
  <c r="L342" i="14"/>
  <c r="N342" i="14"/>
  <c r="M345" i="14"/>
  <c r="L336" i="14"/>
  <c r="M337" i="14"/>
  <c r="L323" i="14"/>
  <c r="N323" i="14"/>
  <c r="L333" i="14"/>
  <c r="L331" i="14"/>
  <c r="L314" i="14"/>
  <c r="L315" i="14"/>
  <c r="L334" i="14"/>
  <c r="M299" i="14"/>
  <c r="M306" i="14"/>
  <c r="L307" i="14"/>
  <c r="N307" i="14"/>
  <c r="L302" i="14"/>
  <c r="L293" i="14"/>
  <c r="M286" i="14"/>
  <c r="L286" i="14"/>
  <c r="M278" i="14"/>
  <c r="M292" i="14"/>
  <c r="L274" i="14"/>
  <c r="N274" i="14"/>
  <c r="L267" i="14"/>
  <c r="M268" i="14"/>
  <c r="L264" i="14"/>
  <c r="M250" i="14"/>
  <c r="L250" i="14"/>
  <c r="M251" i="14"/>
  <c r="M243" i="14"/>
  <c r="L224" i="14"/>
  <c r="L218" i="14"/>
  <c r="L222" i="14"/>
  <c r="M226" i="14"/>
  <c r="M220" i="14"/>
  <c r="M230" i="14"/>
  <c r="L230" i="14"/>
  <c r="L212" i="14"/>
  <c r="M218" i="14"/>
  <c r="L197" i="14"/>
  <c r="M208" i="14"/>
  <c r="L208" i="14"/>
  <c r="L188" i="14"/>
  <c r="L176" i="14"/>
  <c r="L173" i="14"/>
  <c r="L190" i="14"/>
  <c r="M180" i="14"/>
  <c r="L189" i="14"/>
  <c r="M192" i="14"/>
  <c r="M157" i="14"/>
  <c r="L161" i="14"/>
  <c r="L145" i="14"/>
  <c r="M156" i="14"/>
  <c r="L154" i="14"/>
  <c r="M162" i="14"/>
  <c r="L125" i="14"/>
  <c r="L123" i="14"/>
  <c r="M126" i="14"/>
  <c r="M107" i="14"/>
  <c r="L138" i="14"/>
  <c r="L113" i="14"/>
  <c r="L143" i="14"/>
  <c r="L133" i="14"/>
  <c r="M114" i="14"/>
  <c r="M98" i="14"/>
  <c r="L115" i="14"/>
  <c r="L100" i="14"/>
  <c r="L91" i="14"/>
  <c r="M78" i="14"/>
  <c r="L86" i="14"/>
  <c r="L68" i="14"/>
  <c r="L81" i="14"/>
  <c r="M75" i="14"/>
  <c r="L88" i="14"/>
  <c r="L67" i="14"/>
  <c r="L361" i="14"/>
  <c r="M357" i="14"/>
  <c r="M364" i="14"/>
  <c r="L354" i="14"/>
  <c r="M343" i="14"/>
  <c r="M349" i="14"/>
  <c r="M338" i="14"/>
  <c r="L321" i="14"/>
  <c r="M332" i="14"/>
  <c r="L326" i="14"/>
  <c r="L312" i="14"/>
  <c r="L311" i="14"/>
  <c r="L330" i="14"/>
  <c r="M297" i="14"/>
  <c r="L305" i="14"/>
  <c r="M304" i="14"/>
  <c r="L300" i="14"/>
  <c r="M283" i="14"/>
  <c r="L283" i="14"/>
  <c r="M289" i="14"/>
  <c r="M291" i="14"/>
  <c r="L291" i="14"/>
  <c r="M269" i="14"/>
  <c r="L265" i="14"/>
  <c r="M266" i="14"/>
  <c r="L262" i="14"/>
  <c r="M248" i="14"/>
  <c r="L248" i="14"/>
  <c r="M260" i="14"/>
  <c r="M241" i="14"/>
  <c r="L221" i="14"/>
  <c r="L242" i="14"/>
  <c r="L219" i="14"/>
  <c r="M223" i="14"/>
  <c r="M217" i="14"/>
  <c r="M227" i="14"/>
  <c r="L227" i="14"/>
  <c r="M209" i="14"/>
  <c r="M210" i="14"/>
  <c r="L195" i="14"/>
  <c r="M206" i="14"/>
  <c r="L206" i="14"/>
  <c r="M183" i="14"/>
  <c r="M173" i="14"/>
  <c r="L171" i="14"/>
  <c r="M187" i="14"/>
  <c r="L179" i="14"/>
  <c r="M181" i="14"/>
  <c r="M188" i="14"/>
  <c r="M155" i="14"/>
  <c r="L159" i="14"/>
  <c r="M166" i="14"/>
  <c r="M154" i="14"/>
  <c r="L152" i="14"/>
  <c r="M163" i="14"/>
  <c r="M124" i="14"/>
  <c r="M122" i="14"/>
  <c r="L122" i="14"/>
  <c r="M105" i="14"/>
  <c r="L134" i="14"/>
  <c r="L111" i="14"/>
  <c r="M137" i="14"/>
  <c r="L129" i="14"/>
  <c r="M112" i="14"/>
  <c r="M145" i="14"/>
  <c r="L114" i="14"/>
  <c r="L98" i="14"/>
  <c r="L87" i="14"/>
  <c r="M76" i="14"/>
  <c r="L82" i="14"/>
  <c r="M93" i="14"/>
  <c r="L97" i="14"/>
  <c r="M73" i="14"/>
  <c r="L84" i="14"/>
  <c r="L66" i="14"/>
  <c r="L80" i="14"/>
  <c r="M353" i="14"/>
  <c r="M356" i="14"/>
  <c r="L352" i="14"/>
  <c r="M346" i="14"/>
  <c r="M341" i="14"/>
  <c r="L355" i="14"/>
  <c r="L337" i="14"/>
  <c r="L338" i="14"/>
  <c r="M330" i="14"/>
  <c r="M331" i="14"/>
  <c r="M311" i="14"/>
  <c r="L309" i="14"/>
  <c r="L322" i="14"/>
  <c r="M305" i="14"/>
  <c r="L319" i="14"/>
  <c r="M302" i="14"/>
  <c r="L298" i="14"/>
  <c r="M281" i="14"/>
  <c r="L281" i="14"/>
  <c r="L288" i="14"/>
  <c r="L290" i="14"/>
  <c r="M285" i="14"/>
  <c r="M267" i="14"/>
  <c r="L263" i="14"/>
  <c r="M264" i="14"/>
  <c r="M254" i="14"/>
  <c r="M246" i="14"/>
  <c r="L246" i="14"/>
  <c r="L259" i="14"/>
  <c r="M239" i="14"/>
  <c r="M253" i="14"/>
  <c r="L228" i="14"/>
  <c r="M216" i="14"/>
  <c r="M240" i="14"/>
  <c r="L252" i="14"/>
  <c r="L220" i="14"/>
  <c r="N220" i="14"/>
  <c r="M224" i="14"/>
  <c r="M207" i="14"/>
  <c r="L209" i="14"/>
  <c r="M214" i="14"/>
  <c r="M204" i="14"/>
  <c r="L204" i="14"/>
  <c r="L182" i="14"/>
  <c r="M171" i="14"/>
  <c r="L169" i="14"/>
  <c r="L186" i="14"/>
  <c r="M175" i="14"/>
  <c r="L180" i="14"/>
  <c r="N180" i="14"/>
  <c r="M182" i="14"/>
  <c r="M153" i="14"/>
  <c r="L157" i="14"/>
  <c r="L165" i="14"/>
  <c r="M152" i="14"/>
  <c r="L150" i="14"/>
  <c r="L162" i="14"/>
  <c r="M123" i="14"/>
  <c r="M121" i="14"/>
  <c r="L121" i="14"/>
  <c r="M103" i="14"/>
  <c r="L130" i="14"/>
  <c r="L109" i="14"/>
  <c r="M133" i="14"/>
  <c r="L116" i="14"/>
  <c r="M110" i="14"/>
  <c r="M142" i="14"/>
  <c r="L112" i="14"/>
  <c r="M95" i="14"/>
  <c r="L83" i="14"/>
  <c r="M74" i="14"/>
  <c r="L79" i="14"/>
  <c r="M89" i="14"/>
  <c r="M96" i="14"/>
  <c r="M71" i="14"/>
  <c r="M65" i="14"/>
  <c r="CP60" i="14"/>
  <c r="DH60" i="14"/>
  <c r="DH53" i="14"/>
  <c r="DI53" i="14"/>
  <c r="DI54" i="14"/>
  <c r="DI55" i="14"/>
  <c r="DI56" i="14"/>
  <c r="DI57" i="14"/>
  <c r="DI58" i="14"/>
  <c r="DI59" i="14"/>
  <c r="DI60" i="14"/>
  <c r="DI61" i="14"/>
  <c r="DI62" i="14"/>
  <c r="DI63" i="14"/>
  <c r="DI64" i="14"/>
  <c r="AM361" i="14"/>
  <c r="AM359" i="14"/>
  <c r="AN355" i="14"/>
  <c r="AM356" i="14"/>
  <c r="AN348" i="14"/>
  <c r="AM347" i="14"/>
  <c r="AN334" i="14"/>
  <c r="AN335" i="14"/>
  <c r="AM328" i="14"/>
  <c r="AN323" i="14"/>
  <c r="AM314" i="14"/>
  <c r="AM316" i="14"/>
  <c r="AN311" i="14"/>
  <c r="AM313" i="14"/>
  <c r="AN318" i="14"/>
  <c r="AM312" i="14"/>
  <c r="AM303" i="14"/>
  <c r="AM294" i="14"/>
  <c r="AM295" i="14"/>
  <c r="AN289" i="14"/>
  <c r="AN283" i="14"/>
  <c r="AM281" i="14"/>
  <c r="AM275" i="14"/>
  <c r="AM262" i="14"/>
  <c r="AN267" i="14"/>
  <c r="AM267" i="14"/>
  <c r="AM256" i="14"/>
  <c r="AM249" i="14"/>
  <c r="AN260" i="14"/>
  <c r="AN248" i="14"/>
  <c r="AM253" i="14"/>
  <c r="AN229" i="14"/>
  <c r="AN254" i="14"/>
  <c r="AN239" i="14"/>
  <c r="AM224" i="14"/>
  <c r="AN228" i="14"/>
  <c r="AM231" i="14"/>
  <c r="AM213" i="14"/>
  <c r="AN198" i="14"/>
  <c r="AM202" i="14"/>
  <c r="AN207" i="14"/>
  <c r="AM209" i="14"/>
  <c r="AM193" i="14"/>
  <c r="AM184" i="14"/>
  <c r="AM188" i="14"/>
  <c r="AM168" i="14"/>
  <c r="AM187" i="14"/>
  <c r="AN173" i="14"/>
  <c r="AM171" i="14"/>
  <c r="AN160" i="14"/>
  <c r="AM165" i="14"/>
  <c r="AM146" i="14"/>
  <c r="AN153" i="14"/>
  <c r="AM155" i="14"/>
  <c r="AN163" i="14"/>
  <c r="AN124" i="14"/>
  <c r="AN122" i="14"/>
  <c r="AM122" i="14"/>
  <c r="AN104" i="14"/>
  <c r="AM360" i="14"/>
  <c r="AN357" i="14"/>
  <c r="AN351" i="14"/>
  <c r="AM350" i="14"/>
  <c r="AM348" i="14"/>
  <c r="AM342" i="14"/>
  <c r="AN339" i="14"/>
  <c r="AN328" i="14"/>
  <c r="AM329" i="14"/>
  <c r="AM331" i="14"/>
  <c r="AN316" i="14"/>
  <c r="AM332" i="14"/>
  <c r="AM325" i="14"/>
  <c r="AN304" i="14"/>
  <c r="AN306" i="14"/>
  <c r="AM306" i="14"/>
  <c r="AM299" i="14"/>
  <c r="AM286" i="14"/>
  <c r="AM287" i="14"/>
  <c r="AM284" i="14"/>
  <c r="AN279" i="14"/>
  <c r="AN293" i="14"/>
  <c r="AN266" i="14"/>
  <c r="AN271" i="14"/>
  <c r="AN263" i="14"/>
  <c r="AM263" i="14"/>
  <c r="AN247" i="14"/>
  <c r="AM245" i="14"/>
  <c r="AN252" i="14"/>
  <c r="AN244" i="14"/>
  <c r="AN232" i="14"/>
  <c r="AM219" i="14"/>
  <c r="AM223" i="14"/>
  <c r="AN227" i="14"/>
  <c r="AN218" i="14"/>
  <c r="AM218" i="14"/>
  <c r="AN225" i="14"/>
  <c r="AN210" i="14"/>
  <c r="AM215" i="14"/>
  <c r="AM198" i="14"/>
  <c r="AN203" i="14"/>
  <c r="AM205" i="14"/>
  <c r="AN184" i="14"/>
  <c r="AN174" i="14"/>
  <c r="AM185" i="14"/>
  <c r="AN187" i="14"/>
  <c r="AM179" i="14"/>
  <c r="AN169" i="14"/>
  <c r="AN193" i="14"/>
  <c r="AN156" i="14"/>
  <c r="AM158" i="14"/>
  <c r="AM166" i="14"/>
  <c r="AN149" i="14"/>
  <c r="AM151" i="14"/>
  <c r="AN164" i="14"/>
  <c r="AM136" i="14"/>
  <c r="AM140" i="14"/>
  <c r="AN120" i="14"/>
  <c r="AN100" i="14"/>
  <c r="AN362" i="14"/>
  <c r="AM362" i="14"/>
  <c r="AM358" i="14"/>
  <c r="AN345" i="14"/>
  <c r="AM345" i="14"/>
  <c r="AN344" i="14"/>
  <c r="AN340" i="14"/>
  <c r="AM336" i="14"/>
  <c r="AM322" i="14"/>
  <c r="AM330" i="14"/>
  <c r="AM327" i="14"/>
  <c r="AN308" i="14"/>
  <c r="AM318" i="14"/>
  <c r="AM311" i="14"/>
  <c r="AN298" i="14"/>
  <c r="AM302" i="14"/>
  <c r="AN301" i="14"/>
  <c r="AM293" i="14"/>
  <c r="AN278" i="14"/>
  <c r="AM280" i="14"/>
  <c r="AN291" i="14"/>
  <c r="AM291" i="14"/>
  <c r="AM273" i="14"/>
  <c r="AM268" i="14"/>
  <c r="AN272" i="14"/>
  <c r="AN273" i="14"/>
  <c r="AN256" i="14"/>
  <c r="AN241" i="14"/>
  <c r="AN259" i="14"/>
  <c r="AN253" i="14"/>
  <c r="AN238" i="14"/>
  <c r="AM246" i="14"/>
  <c r="AM226" i="14"/>
  <c r="AN214" i="14"/>
  <c r="AM238" i="14"/>
  <c r="AM236" i="14"/>
  <c r="AM235" i="14"/>
  <c r="AM214" i="14"/>
  <c r="AN204" i="14"/>
  <c r="AM208" i="14"/>
  <c r="AM211" i="14"/>
  <c r="AN197" i="14"/>
  <c r="AM199" i="14"/>
  <c r="AN192" i="14"/>
  <c r="AN168" i="14"/>
  <c r="AM174" i="14"/>
  <c r="AM178" i="14"/>
  <c r="AN181" i="14"/>
  <c r="AM181" i="14"/>
  <c r="AM182" i="14"/>
  <c r="AN150" i="14"/>
  <c r="AM152" i="14"/>
  <c r="AN159" i="14"/>
  <c r="AM161" i="14"/>
  <c r="AM145" i="14"/>
  <c r="AN132" i="14"/>
  <c r="AM125" i="14"/>
  <c r="AN131" i="14"/>
  <c r="AN110" i="14"/>
  <c r="AM142" i="14"/>
  <c r="AN118" i="14"/>
  <c r="AM100" i="14"/>
  <c r="AM119" i="14"/>
  <c r="AM117" i="14"/>
  <c r="AN113" i="14"/>
  <c r="AN146" i="14"/>
  <c r="AM107" i="14"/>
  <c r="AN84" i="14"/>
  <c r="AM84" i="14"/>
  <c r="AN83" i="14"/>
  <c r="AN360" i="14"/>
  <c r="AN359" i="14"/>
  <c r="AM357" i="14"/>
  <c r="AN343" i="14"/>
  <c r="AM343" i="14"/>
  <c r="AN342" i="14"/>
  <c r="AN337" i="14"/>
  <c r="AM339" i="14"/>
  <c r="AM320" i="14"/>
  <c r="AN327" i="14"/>
  <c r="AN320" i="14"/>
  <c r="AN324" i="14"/>
  <c r="AM317" i="14"/>
  <c r="AM309" i="14"/>
  <c r="AN296" i="14"/>
  <c r="AM300" i="14"/>
  <c r="AN299" i="14"/>
  <c r="AN286" i="14"/>
  <c r="AN276" i="14"/>
  <c r="AM278" i="14"/>
  <c r="AM290" i="14"/>
  <c r="AM285" i="14"/>
  <c r="AN275" i="14"/>
  <c r="AM266" i="14"/>
  <c r="AM271" i="14"/>
  <c r="AM272" i="14"/>
  <c r="AM255" i="14"/>
  <c r="AN258" i="14"/>
  <c r="AM258" i="14"/>
  <c r="AM252" i="14"/>
  <c r="AN236" i="14"/>
  <c r="AM240" i="14"/>
  <c r="AN223" i="14"/>
  <c r="AM248" i="14"/>
  <c r="AO248" i="14"/>
  <c r="AN237" i="14"/>
  <c r="AN235" i="14"/>
  <c r="AM234" i="14"/>
  <c r="AN213" i="14"/>
  <c r="AN202" i="14"/>
  <c r="AM206" i="14"/>
  <c r="AN219" i="14"/>
  <c r="AN195" i="14"/>
  <c r="AM197" i="14"/>
  <c r="AN188" i="14"/>
  <c r="AM194" i="14"/>
  <c r="AM172" i="14"/>
  <c r="AN175" i="14"/>
  <c r="AM180" i="14"/>
  <c r="AM176" i="14"/>
  <c r="AN165" i="14"/>
  <c r="AN148" i="14"/>
  <c r="AM150" i="14"/>
  <c r="AN157" i="14"/>
  <c r="AM159" i="14"/>
  <c r="AM143" i="14"/>
  <c r="AN128" i="14"/>
  <c r="AM124" i="14"/>
  <c r="AN127" i="14"/>
  <c r="AN108" i="14"/>
  <c r="AM139" i="14"/>
  <c r="AM114" i="14"/>
  <c r="AM98" i="14"/>
  <c r="AM118" i="14"/>
  <c r="AO118" i="14"/>
  <c r="AM116" i="14"/>
  <c r="AN111" i="14"/>
  <c r="AN143" i="14"/>
  <c r="AM105" i="14"/>
  <c r="AN80" i="14"/>
  <c r="AM80" i="14"/>
  <c r="AM79" i="14"/>
  <c r="AN352" i="14"/>
  <c r="AM349" i="14"/>
  <c r="AM335" i="14"/>
  <c r="AM326" i="14"/>
  <c r="AM333" i="14"/>
  <c r="AN326" i="14"/>
  <c r="AN302" i="14"/>
  <c r="AM307" i="14"/>
  <c r="AN282" i="14"/>
  <c r="AN290" i="14"/>
  <c r="AM292" i="14"/>
  <c r="AM270" i="14"/>
  <c r="AN255" i="14"/>
  <c r="AM243" i="14"/>
  <c r="AN242" i="14"/>
  <c r="AM216" i="14"/>
  <c r="AN224" i="14"/>
  <c r="AM250" i="14"/>
  <c r="AN208" i="14"/>
  <c r="AM196" i="14"/>
  <c r="AM203" i="14"/>
  <c r="AN172" i="14"/>
  <c r="AM186" i="14"/>
  <c r="AM190" i="14"/>
  <c r="AN154" i="14"/>
  <c r="AM167" i="14"/>
  <c r="AM149" i="14"/>
  <c r="AM132" i="14"/>
  <c r="AO132" i="14"/>
  <c r="AN114" i="14"/>
  <c r="AM127" i="14"/>
  <c r="AM104" i="14"/>
  <c r="AN117" i="14"/>
  <c r="AN137" i="14"/>
  <c r="AN101" i="14"/>
  <c r="AM103" i="14"/>
  <c r="AN97" i="14"/>
  <c r="AN91" i="14"/>
  <c r="AM95" i="14"/>
  <c r="AM69" i="14"/>
  <c r="AM86" i="14"/>
  <c r="AN74" i="14"/>
  <c r="AM78" i="14"/>
  <c r="AN364" i="14"/>
  <c r="AN361" i="14"/>
  <c r="AN346" i="14"/>
  <c r="AM341" i="14"/>
  <c r="AM324" i="14"/>
  <c r="AN331" i="14"/>
  <c r="AM321" i="14"/>
  <c r="AN300" i="14"/>
  <c r="AN303" i="14"/>
  <c r="AN280" i="14"/>
  <c r="AM289" i="14"/>
  <c r="AN274" i="14"/>
  <c r="AM276" i="14"/>
  <c r="AM254" i="14"/>
  <c r="AM261" i="14"/>
  <c r="AN240" i="14"/>
  <c r="AM229" i="14"/>
  <c r="AM239" i="14"/>
  <c r="AM242" i="14"/>
  <c r="AN206" i="14"/>
  <c r="AM217" i="14"/>
  <c r="AM201" i="14"/>
  <c r="AN170" i="14"/>
  <c r="AN179" i="14"/>
  <c r="AN182" i="14"/>
  <c r="AN152" i="14"/>
  <c r="AN161" i="14"/>
  <c r="AM147" i="14"/>
  <c r="AM128" i="14"/>
  <c r="AN112" i="14"/>
  <c r="AM121" i="14"/>
  <c r="AM102" i="14"/>
  <c r="AN116" i="14"/>
  <c r="AN133" i="14"/>
  <c r="AN99" i="14"/>
  <c r="AM101" i="14"/>
  <c r="AM96" i="14"/>
  <c r="AN87" i="14"/>
  <c r="AM91" i="14"/>
  <c r="AM67" i="14"/>
  <c r="AM82" i="14"/>
  <c r="AN72" i="14"/>
  <c r="AM76" i="14"/>
  <c r="AM363" i="14"/>
  <c r="AN356" i="14"/>
  <c r="AN363" i="14"/>
  <c r="AN336" i="14"/>
  <c r="AN329" i="14"/>
  <c r="AN315" i="14"/>
  <c r="AM323" i="14"/>
  <c r="AM319" i="14"/>
  <c r="AM308" i="14"/>
  <c r="AN297" i="14"/>
  <c r="AN285" i="14"/>
  <c r="AM274" i="14"/>
  <c r="AN269" i="14"/>
  <c r="AN257" i="14"/>
  <c r="AN251" i="14"/>
  <c r="AN234" i="14"/>
  <c r="AN220" i="14"/>
  <c r="AM227" i="14"/>
  <c r="AN233" i="14"/>
  <c r="AN200" i="14"/>
  <c r="AN209" i="14"/>
  <c r="AM195" i="14"/>
  <c r="AM192" i="14"/>
  <c r="AM191" i="14"/>
  <c r="AM173" i="14"/>
  <c r="AO173" i="14"/>
  <c r="AN166" i="14"/>
  <c r="AN155" i="14"/>
  <c r="AM141" i="14"/>
  <c r="AN123" i="14"/>
  <c r="AN106" i="14"/>
  <c r="AM120" i="14"/>
  <c r="AN145" i="14"/>
  <c r="AM138" i="14"/>
  <c r="AN129" i="14"/>
  <c r="AM137" i="14"/>
  <c r="AM99" i="14"/>
  <c r="AM92" i="14"/>
  <c r="AN77" i="14"/>
  <c r="AM87" i="14"/>
  <c r="AN94" i="14"/>
  <c r="AN93" i="14"/>
  <c r="AN70" i="14"/>
  <c r="AM74" i="14"/>
  <c r="AN353" i="14"/>
  <c r="AM352" i="14"/>
  <c r="AM346" i="14"/>
  <c r="AM340" i="14"/>
  <c r="AN330" i="14"/>
  <c r="AN322" i="14"/>
  <c r="AN309" i="14"/>
  <c r="AN317" i="14"/>
  <c r="AM301" i="14"/>
  <c r="AN288" i="14"/>
  <c r="AN281" i="14"/>
  <c r="AN268" i="14"/>
  <c r="AN265" i="14"/>
  <c r="AN249" i="14"/>
  <c r="AM259" i="14"/>
  <c r="AM233" i="14"/>
  <c r="AO233" i="14"/>
  <c r="AN230" i="14"/>
  <c r="AN221" i="14"/>
  <c r="AM228" i="14"/>
  <c r="AN196" i="14"/>
  <c r="AN205" i="14"/>
  <c r="AM189" i="14"/>
  <c r="AN186" i="14"/>
  <c r="AN180" i="14"/>
  <c r="AM169" i="14"/>
  <c r="AO169" i="14"/>
  <c r="AM160" i="14"/>
  <c r="AN151" i="14"/>
  <c r="AM162" i="14"/>
  <c r="AN142" i="14"/>
  <c r="AN102" i="14"/>
  <c r="AN119" i="14"/>
  <c r="AM144" i="14"/>
  <c r="AM134" i="14"/>
  <c r="AM115" i="14"/>
  <c r="AM133" i="14"/>
  <c r="AN96" i="14"/>
  <c r="AM88" i="14"/>
  <c r="AN75" i="14"/>
  <c r="AM83" i="14"/>
  <c r="AN90" i="14"/>
  <c r="AN89" i="14"/>
  <c r="AN68" i="14"/>
  <c r="AM72" i="14"/>
  <c r="AM353" i="14"/>
  <c r="AM354" i="14"/>
  <c r="AM351" i="14"/>
  <c r="AN338" i="14"/>
  <c r="AN333" i="14"/>
  <c r="AM315" i="14"/>
  <c r="AN313" i="14"/>
  <c r="AM305" i="14"/>
  <c r="AM296" i="14"/>
  <c r="AN284" i="14"/>
  <c r="AN277" i="14"/>
  <c r="AN264" i="14"/>
  <c r="AN261" i="14"/>
  <c r="AN245" i="14"/>
  <c r="AM251" i="14"/>
  <c r="AM225" i="14"/>
  <c r="AM220" i="14"/>
  <c r="AM244" i="14"/>
  <c r="AN222" i="14"/>
  <c r="AN211" i="14"/>
  <c r="AN201" i="14"/>
  <c r="AM183" i="14"/>
  <c r="AN178" i="14"/>
  <c r="AM175" i="14"/>
  <c r="AN189" i="14"/>
  <c r="AM156" i="14"/>
  <c r="AN147" i="14"/>
  <c r="AM163" i="14"/>
  <c r="AN139" i="14"/>
  <c r="AN98" i="14"/>
  <c r="AM112" i="14"/>
  <c r="AN138" i="14"/>
  <c r="AM130" i="14"/>
  <c r="AN109" i="14"/>
  <c r="AM129" i="14"/>
  <c r="AN92" i="14"/>
  <c r="AN79" i="14"/>
  <c r="AN73" i="14"/>
  <c r="AM77" i="14"/>
  <c r="AN86" i="14"/>
  <c r="AN85" i="14"/>
  <c r="AM93" i="14"/>
  <c r="AM70" i="14"/>
  <c r="AN350" i="14"/>
  <c r="AN349" i="14"/>
  <c r="AN347" i="14"/>
  <c r="AM337" i="14"/>
  <c r="AN332" i="14"/>
  <c r="AN310" i="14"/>
  <c r="AN312" i="14"/>
  <c r="AM304" i="14"/>
  <c r="AN294" i="14"/>
  <c r="AM282" i="14"/>
  <c r="AN292" i="14"/>
  <c r="AN262" i="14"/>
  <c r="AM277" i="14"/>
  <c r="AN243" i="14"/>
  <c r="AM260" i="14"/>
  <c r="AM222" i="14"/>
  <c r="AO222" i="14"/>
  <c r="AN217" i="14"/>
  <c r="AM237" i="14"/>
  <c r="AN215" i="14"/>
  <c r="AM210" i="14"/>
  <c r="AN199" i="14"/>
  <c r="AN194" i="14"/>
  <c r="AM177" i="14"/>
  <c r="AN190" i="14"/>
  <c r="AN183" i="14"/>
  <c r="AM154" i="14"/>
  <c r="AN162" i="14"/>
  <c r="AN136" i="14"/>
  <c r="AN135" i="14"/>
  <c r="AN144" i="14"/>
  <c r="AM110" i="14"/>
  <c r="AN134" i="14"/>
  <c r="AM126" i="14"/>
  <c r="AN107" i="14"/>
  <c r="AM113" i="14"/>
  <c r="AN88" i="14"/>
  <c r="AM65" i="14"/>
  <c r="AN71" i="14"/>
  <c r="AM75" i="14"/>
  <c r="AN82" i="14"/>
  <c r="AN81" i="14"/>
  <c r="AM89" i="14"/>
  <c r="AM68" i="14"/>
  <c r="AM364" i="14"/>
  <c r="AN341" i="14"/>
  <c r="AM355" i="14"/>
  <c r="AM338" i="14"/>
  <c r="AN325" i="14"/>
  <c r="AN319" i="14"/>
  <c r="AN314" i="14"/>
  <c r="AM298" i="14"/>
  <c r="AN295" i="14"/>
  <c r="AM297" i="14"/>
  <c r="AM283" i="14"/>
  <c r="AM264" i="14"/>
  <c r="AM269" i="14"/>
  <c r="AM257" i="14"/>
  <c r="AN250" i="14"/>
  <c r="AM232" i="14"/>
  <c r="AM241" i="14"/>
  <c r="AN231" i="14"/>
  <c r="AN212" i="14"/>
  <c r="AM204" i="14"/>
  <c r="AN216" i="14"/>
  <c r="AN185" i="14"/>
  <c r="AM170" i="14"/>
  <c r="AN176" i="14"/>
  <c r="AM164" i="14"/>
  <c r="AM148" i="14"/>
  <c r="AM157" i="14"/>
  <c r="AN125" i="14"/>
  <c r="AM123" i="14"/>
  <c r="AM135" i="14"/>
  <c r="AM108" i="14"/>
  <c r="AN130" i="14"/>
  <c r="AN115" i="14"/>
  <c r="AN105" i="14"/>
  <c r="AM111" i="14"/>
  <c r="AM66" i="14"/>
  <c r="AM97" i="14"/>
  <c r="AN69" i="14"/>
  <c r="AM73" i="14"/>
  <c r="AM94" i="14"/>
  <c r="AN78" i="14"/>
  <c r="AM85" i="14"/>
  <c r="AN66" i="14"/>
  <c r="AN358" i="14"/>
  <c r="AN354" i="14"/>
  <c r="AM344" i="14"/>
  <c r="AM334" i="14"/>
  <c r="AN321" i="14"/>
  <c r="AM310" i="14"/>
  <c r="AN305" i="14"/>
  <c r="AN307" i="14"/>
  <c r="AN287" i="14"/>
  <c r="AM288" i="14"/>
  <c r="AM279" i="14"/>
  <c r="AN270" i="14"/>
  <c r="AM265" i="14"/>
  <c r="AM247" i="14"/>
  <c r="AN246" i="14"/>
  <c r="AN226" i="14"/>
  <c r="AM230" i="14"/>
  <c r="AM221" i="14"/>
  <c r="AM212" i="14"/>
  <c r="AM200" i="14"/>
  <c r="AM207" i="14"/>
  <c r="AN177" i="14"/>
  <c r="AN191" i="14"/>
  <c r="AN171" i="14"/>
  <c r="AN158" i="14"/>
  <c r="AN167" i="14"/>
  <c r="AM153" i="14"/>
  <c r="AN140" i="14"/>
  <c r="AN121" i="14"/>
  <c r="AM131" i="14"/>
  <c r="AM106" i="14"/>
  <c r="AO106" i="14"/>
  <c r="AN126" i="14"/>
  <c r="AN141" i="14"/>
  <c r="AN103" i="14"/>
  <c r="AM109" i="14"/>
  <c r="AN65" i="14"/>
  <c r="AN95" i="14"/>
  <c r="AN67" i="14"/>
  <c r="AM71" i="14"/>
  <c r="AM90" i="14"/>
  <c r="AN76" i="14"/>
  <c r="AM81" i="14"/>
  <c r="C356" i="14"/>
  <c r="C352" i="14"/>
  <c r="C357" i="14"/>
  <c r="C349" i="14"/>
  <c r="C350" i="14"/>
  <c r="C359" i="14"/>
  <c r="D340" i="14"/>
  <c r="C331" i="14"/>
  <c r="D323" i="14"/>
  <c r="C330" i="14"/>
  <c r="C323" i="14"/>
  <c r="C319" i="14"/>
  <c r="D320" i="14"/>
  <c r="C305" i="14"/>
  <c r="D296" i="14"/>
  <c r="C317" i="14"/>
  <c r="C299" i="14"/>
  <c r="D278" i="14"/>
  <c r="C280" i="14"/>
  <c r="C285" i="14"/>
  <c r="D277" i="14"/>
  <c r="D289" i="14"/>
  <c r="D268" i="14"/>
  <c r="C264" i="14"/>
  <c r="D269" i="14"/>
  <c r="D259" i="14"/>
  <c r="D253" i="14"/>
  <c r="C253" i="14"/>
  <c r="D256" i="14"/>
  <c r="D244" i="14"/>
  <c r="C237" i="14"/>
  <c r="C235" i="14"/>
  <c r="D227" i="14"/>
  <c r="C224" i="14"/>
  <c r="C228" i="14"/>
  <c r="D219" i="14"/>
  <c r="C219" i="14"/>
  <c r="D200" i="14"/>
  <c r="C202" i="14"/>
  <c r="D214" i="14"/>
  <c r="D197" i="14"/>
  <c r="C205" i="14"/>
  <c r="C189" i="14"/>
  <c r="D175" i="14"/>
  <c r="C181" i="14"/>
  <c r="D176" i="14"/>
  <c r="D173" i="14"/>
  <c r="C173" i="14"/>
  <c r="D179" i="14"/>
  <c r="D152" i="14"/>
  <c r="C152" i="14"/>
  <c r="D165" i="14"/>
  <c r="D149" i="14"/>
  <c r="C153" i="14"/>
  <c r="C166" i="14"/>
  <c r="D144" i="14"/>
  <c r="D139" i="14"/>
  <c r="D112" i="14"/>
  <c r="D146" i="14"/>
  <c r="D122" i="14"/>
  <c r="C100" i="14"/>
  <c r="D121" i="14"/>
  <c r="C120" i="14"/>
  <c r="D117" i="14"/>
  <c r="D101" i="14"/>
  <c r="C111" i="14"/>
  <c r="C97" i="14"/>
  <c r="C88" i="14"/>
  <c r="D75" i="14"/>
  <c r="C83" i="14"/>
  <c r="D94" i="14"/>
  <c r="C86" i="14"/>
  <c r="C79" i="14"/>
  <c r="C93" i="14"/>
  <c r="C70" i="14"/>
  <c r="C355" i="14"/>
  <c r="D363" i="14"/>
  <c r="D356" i="14"/>
  <c r="C345" i="14"/>
  <c r="D346" i="14"/>
  <c r="D347" i="14"/>
  <c r="C339" i="14"/>
  <c r="C326" i="14"/>
  <c r="D321" i="14"/>
  <c r="D324" i="14"/>
  <c r="C325" i="14"/>
  <c r="D318" i="14"/>
  <c r="C318" i="14"/>
  <c r="D308" i="14"/>
  <c r="D314" i="14"/>
  <c r="D303" i="14"/>
  <c r="D290" i="14"/>
  <c r="D276" i="14"/>
  <c r="C278" i="14"/>
  <c r="D295" i="14"/>
  <c r="C295" i="14"/>
  <c r="C288" i="14"/>
  <c r="D266" i="14"/>
  <c r="C262" i="14"/>
  <c r="D267" i="14"/>
  <c r="C258" i="14"/>
  <c r="C252" i="14"/>
  <c r="C249" i="14"/>
  <c r="C255" i="14"/>
  <c r="D242" i="14"/>
  <c r="C236" i="14"/>
  <c r="C234" i="14"/>
  <c r="D224" i="14"/>
  <c r="D221" i="14"/>
  <c r="D225" i="14"/>
  <c r="D216" i="14"/>
  <c r="C216" i="14"/>
  <c r="D198" i="14"/>
  <c r="C200" i="14"/>
  <c r="D210" i="14"/>
  <c r="D195" i="14"/>
  <c r="C203" i="14"/>
  <c r="C187" i="14"/>
  <c r="D174" i="14"/>
  <c r="C175" i="14"/>
  <c r="C191" i="14"/>
  <c r="D171" i="14"/>
  <c r="C171" i="14"/>
  <c r="C178" i="14"/>
  <c r="D150" i="14"/>
  <c r="C150" i="14"/>
  <c r="C164" i="14"/>
  <c r="D147" i="14"/>
  <c r="C151" i="14"/>
  <c r="C167" i="14"/>
  <c r="C142" i="14"/>
  <c r="D135" i="14"/>
  <c r="D110" i="14"/>
  <c r="C139" i="14"/>
  <c r="C114" i="14"/>
  <c r="D141" i="14"/>
  <c r="D120" i="14"/>
  <c r="D119" i="14"/>
  <c r="D116" i="14"/>
  <c r="D99" i="14"/>
  <c r="C109" i="14"/>
  <c r="D96" i="14"/>
  <c r="C84" i="14"/>
  <c r="D73" i="14"/>
  <c r="C77" i="14"/>
  <c r="D90" i="14"/>
  <c r="C82" i="14"/>
  <c r="D78" i="14"/>
  <c r="C89" i="14"/>
  <c r="C68" i="14"/>
  <c r="D364" i="14"/>
  <c r="D354" i="14"/>
  <c r="D353" i="14"/>
  <c r="D355" i="14"/>
  <c r="C343" i="14"/>
  <c r="C344" i="14"/>
  <c r="C341" i="14"/>
  <c r="D337" i="14"/>
  <c r="C324" i="14"/>
  <c r="D339" i="14"/>
  <c r="D326" i="14"/>
  <c r="D319" i="14"/>
  <c r="D316" i="14"/>
  <c r="D317" i="14"/>
  <c r="C307" i="14"/>
  <c r="C304" i="14"/>
  <c r="D301" i="14"/>
  <c r="C289" i="14"/>
  <c r="D297" i="14"/>
  <c r="C297" i="14"/>
  <c r="C294" i="14"/>
  <c r="D288" i="14"/>
  <c r="C276" i="14"/>
  <c r="E276" i="14"/>
  <c r="D264" i="14"/>
  <c r="D274" i="14"/>
  <c r="D265" i="14"/>
  <c r="D251" i="14"/>
  <c r="D249" i="14"/>
  <c r="C247" i="14"/>
  <c r="C261" i="14"/>
  <c r="D240" i="14"/>
  <c r="D235" i="14"/>
  <c r="D230" i="14"/>
  <c r="C217" i="14"/>
  <c r="D218" i="14"/>
  <c r="D222" i="14"/>
  <c r="C240" i="14"/>
  <c r="D215" i="14"/>
  <c r="D196" i="14"/>
  <c r="C198" i="14"/>
  <c r="D209" i="14"/>
  <c r="C215" i="14"/>
  <c r="C201" i="14"/>
  <c r="D180" i="14"/>
  <c r="D172" i="14"/>
  <c r="C174" i="14"/>
  <c r="D184" i="14"/>
  <c r="D169" i="14"/>
  <c r="C169" i="14"/>
  <c r="C177" i="14"/>
  <c r="D148" i="14"/>
  <c r="C148" i="14"/>
  <c r="D161" i="14"/>
  <c r="D166" i="14"/>
  <c r="C149" i="14"/>
  <c r="E149" i="14"/>
  <c r="D145" i="14"/>
  <c r="C140" i="14"/>
  <c r="D131" i="14"/>
  <c r="D108" i="14"/>
  <c r="C135" i="14"/>
  <c r="C112" i="14"/>
  <c r="D138" i="14"/>
  <c r="D143" i="14"/>
  <c r="D118" i="14"/>
  <c r="D113" i="14"/>
  <c r="C137" i="14"/>
  <c r="C107" i="14"/>
  <c r="D92" i="14"/>
  <c r="C80" i="14"/>
  <c r="D71" i="14"/>
  <c r="C75" i="14"/>
  <c r="D86" i="14"/>
  <c r="D79" i="14"/>
  <c r="D76" i="14"/>
  <c r="C85" i="14"/>
  <c r="D362" i="14"/>
  <c r="C364" i="14"/>
  <c r="D359" i="14"/>
  <c r="C351" i="14"/>
  <c r="D358" i="14"/>
  <c r="C347" i="14"/>
  <c r="C338" i="14"/>
  <c r="D335" i="14"/>
  <c r="C322" i="14"/>
  <c r="C334" i="14"/>
  <c r="D310" i="14"/>
  <c r="D315" i="14"/>
  <c r="C315" i="14"/>
  <c r="C316" i="14"/>
  <c r="C308" i="14"/>
  <c r="C302" i="14"/>
  <c r="D299" i="14"/>
  <c r="D291" i="14"/>
  <c r="C296" i="14"/>
  <c r="D293" i="14"/>
  <c r="D287" i="14"/>
  <c r="C287" i="14"/>
  <c r="D270" i="14"/>
  <c r="D262" i="14"/>
  <c r="C273" i="14"/>
  <c r="D263" i="14"/>
  <c r="D260" i="14"/>
  <c r="D247" i="14"/>
  <c r="C245" i="14"/>
  <c r="D257" i="14"/>
  <c r="D238" i="14"/>
  <c r="C229" i="14"/>
  <c r="C223" i="14"/>
  <c r="C246" i="14"/>
  <c r="C233" i="14"/>
  <c r="C257" i="14"/>
  <c r="C238" i="14"/>
  <c r="C211" i="14"/>
  <c r="D213" i="14"/>
  <c r="C196" i="14"/>
  <c r="D207" i="14"/>
  <c r="C214" i="14"/>
  <c r="C199" i="14"/>
  <c r="C179" i="14"/>
  <c r="D170" i="14"/>
  <c r="C172" i="14"/>
  <c r="C183" i="14"/>
  <c r="C190" i="14"/>
  <c r="D194" i="14"/>
  <c r="C168" i="14"/>
  <c r="D162" i="14"/>
  <c r="C146" i="14"/>
  <c r="D159" i="14"/>
  <c r="C165" i="14"/>
  <c r="C147" i="14"/>
  <c r="E147" i="14"/>
  <c r="D142" i="14"/>
  <c r="C136" i="14"/>
  <c r="D127" i="14"/>
  <c r="D106" i="14"/>
  <c r="C131" i="14"/>
  <c r="C110" i="14"/>
  <c r="D134" i="14"/>
  <c r="C138" i="14"/>
  <c r="D137" i="14"/>
  <c r="D111" i="14"/>
  <c r="C133" i="14"/>
  <c r="C105" i="14"/>
  <c r="D88" i="14"/>
  <c r="D95" i="14"/>
  <c r="D69" i="14"/>
  <c r="C73" i="14"/>
  <c r="E73" i="14"/>
  <c r="D82" i="14"/>
  <c r="C65" i="14"/>
  <c r="D74" i="14"/>
  <c r="C81" i="14"/>
  <c r="C361" i="14"/>
  <c r="D350" i="14"/>
  <c r="D351" i="14"/>
  <c r="D345" i="14"/>
  <c r="C348" i="14"/>
  <c r="D338" i="14"/>
  <c r="D336" i="14"/>
  <c r="C332" i="14"/>
  <c r="C340" i="14"/>
  <c r="D332" i="14"/>
  <c r="D313" i="14"/>
  <c r="D312" i="14"/>
  <c r="D311" i="14"/>
  <c r="C309" i="14"/>
  <c r="D302" i="14"/>
  <c r="C298" i="14"/>
  <c r="D305" i="14"/>
  <c r="D284" i="14"/>
  <c r="C291" i="14"/>
  <c r="D285" i="14"/>
  <c r="D283" i="14"/>
  <c r="C283" i="14"/>
  <c r="C270" i="14"/>
  <c r="C272" i="14"/>
  <c r="D275" i="14"/>
  <c r="C267" i="14"/>
  <c r="D252" i="14"/>
  <c r="D243" i="14"/>
  <c r="D255" i="14"/>
  <c r="D250" i="14"/>
  <c r="D234" i="14"/>
  <c r="D223" i="14"/>
  <c r="D217" i="14"/>
  <c r="C239" i="14"/>
  <c r="D228" i="14"/>
  <c r="D232" i="14"/>
  <c r="C232" i="14"/>
  <c r="D206" i="14"/>
  <c r="C208" i="14"/>
  <c r="C213" i="14"/>
  <c r="D203" i="14"/>
  <c r="C210" i="14"/>
  <c r="C195" i="14"/>
  <c r="D188" i="14"/>
  <c r="C192" i="14"/>
  <c r="D191" i="14"/>
  <c r="D190" i="14"/>
  <c r="C185" i="14"/>
  <c r="D189" i="14"/>
  <c r="D158" i="14"/>
  <c r="C158" i="14"/>
  <c r="C162" i="14"/>
  <c r="D155" i="14"/>
  <c r="C159" i="14"/>
  <c r="C143" i="14"/>
  <c r="D136" i="14"/>
  <c r="C128" i="14"/>
  <c r="D124" i="14"/>
  <c r="D102" i="14"/>
  <c r="C125" i="14"/>
  <c r="C106" i="14"/>
  <c r="D126" i="14"/>
  <c r="C130" i="14"/>
  <c r="D129" i="14"/>
  <c r="D107" i="14"/>
  <c r="C117" i="14"/>
  <c r="C101" i="14"/>
  <c r="D80" i="14"/>
  <c r="D87" i="14"/>
  <c r="C95" i="14"/>
  <c r="C69" i="14"/>
  <c r="D65" i="14"/>
  <c r="D89" i="14"/>
  <c r="D70" i="14"/>
  <c r="C76" i="14"/>
  <c r="C362" i="14"/>
  <c r="D352" i="14"/>
  <c r="D360" i="14"/>
  <c r="D343" i="14"/>
  <c r="D344" i="14"/>
  <c r="C337" i="14"/>
  <c r="D334" i="14"/>
  <c r="D331" i="14"/>
  <c r="D327" i="14"/>
  <c r="D329" i="14"/>
  <c r="C310" i="14"/>
  <c r="C329" i="14"/>
  <c r="D309" i="14"/>
  <c r="D307" i="14"/>
  <c r="D300" i="14"/>
  <c r="D322" i="14"/>
  <c r="C303" i="14"/>
  <c r="D282" i="14"/>
  <c r="C284" i="14"/>
  <c r="D294" i="14"/>
  <c r="D281" i="14"/>
  <c r="C281" i="14"/>
  <c r="D272" i="14"/>
  <c r="C268" i="14"/>
  <c r="E268" i="14"/>
  <c r="C274" i="14"/>
  <c r="C265" i="14"/>
  <c r="C251" i="14"/>
  <c r="D241" i="14"/>
  <c r="C254" i="14"/>
  <c r="D248" i="14"/>
  <c r="C244" i="14"/>
  <c r="E244" i="14"/>
  <c r="D258" i="14"/>
  <c r="D239" i="14"/>
  <c r="D233" i="14"/>
  <c r="C221" i="14"/>
  <c r="C225" i="14"/>
  <c r="D229" i="14"/>
  <c r="D204" i="14"/>
  <c r="C206" i="14"/>
  <c r="C212" i="14"/>
  <c r="D201" i="14"/>
  <c r="C209" i="14"/>
  <c r="C194" i="14"/>
  <c r="E194" i="14"/>
  <c r="D181" i="14"/>
  <c r="C188" i="14"/>
  <c r="D183" i="14"/>
  <c r="D185" i="14"/>
  <c r="D178" i="14"/>
  <c r="D187" i="14"/>
  <c r="D156" i="14"/>
  <c r="C156" i="14"/>
  <c r="D164" i="14"/>
  <c r="D153" i="14"/>
  <c r="C157" i="14"/>
  <c r="C141" i="14"/>
  <c r="D132" i="14"/>
  <c r="D115" i="14"/>
  <c r="C115" i="14"/>
  <c r="D100" i="14"/>
  <c r="C124" i="14"/>
  <c r="C104" i="14"/>
  <c r="C123" i="14"/>
  <c r="C126" i="14"/>
  <c r="C119" i="14"/>
  <c r="D105" i="14"/>
  <c r="C116" i="14"/>
  <c r="C99" i="14"/>
  <c r="C96" i="14"/>
  <c r="D83" i="14"/>
  <c r="C91" i="14"/>
  <c r="C67" i="14"/>
  <c r="C94" i="14"/>
  <c r="E94" i="14"/>
  <c r="D85" i="14"/>
  <c r="D68" i="14"/>
  <c r="C74" i="14"/>
  <c r="D349" i="14"/>
  <c r="C333" i="14"/>
  <c r="C314" i="14"/>
  <c r="C300" i="14"/>
  <c r="E300" i="14"/>
  <c r="C292" i="14"/>
  <c r="D273" i="14"/>
  <c r="D245" i="14"/>
  <c r="C226" i="14"/>
  <c r="C248" i="14"/>
  <c r="C218" i="14"/>
  <c r="D192" i="14"/>
  <c r="D186" i="14"/>
  <c r="D163" i="14"/>
  <c r="D140" i="14"/>
  <c r="C127" i="14"/>
  <c r="D133" i="14"/>
  <c r="D84" i="14"/>
  <c r="C66" i="14"/>
  <c r="D341" i="14"/>
  <c r="C346" i="14"/>
  <c r="C327" i="14"/>
  <c r="C313" i="14"/>
  <c r="C293" i="14"/>
  <c r="C266" i="14"/>
  <c r="E266" i="14"/>
  <c r="D254" i="14"/>
  <c r="C250" i="14"/>
  <c r="C222" i="14"/>
  <c r="D220" i="14"/>
  <c r="C180" i="14"/>
  <c r="D177" i="14"/>
  <c r="C163" i="14"/>
  <c r="D128" i="14"/>
  <c r="D123" i="14"/>
  <c r="C118" i="14"/>
  <c r="C92" i="14"/>
  <c r="C90" i="14"/>
  <c r="C363" i="14"/>
  <c r="D348" i="14"/>
  <c r="C320" i="14"/>
  <c r="C312" i="14"/>
  <c r="D306" i="14"/>
  <c r="D286" i="14"/>
  <c r="C277" i="14"/>
  <c r="E277" i="14"/>
  <c r="C243" i="14"/>
  <c r="C220" i="14"/>
  <c r="D237" i="14"/>
  <c r="D205" i="14"/>
  <c r="D168" i="14"/>
  <c r="D193" i="14"/>
  <c r="D157" i="14"/>
  <c r="C132" i="14"/>
  <c r="C108" i="14"/>
  <c r="D109" i="14"/>
  <c r="D91" i="14"/>
  <c r="D93" i="14"/>
  <c r="C360" i="14"/>
  <c r="D342" i="14"/>
  <c r="D325" i="14"/>
  <c r="D330" i="14"/>
  <c r="C301" i="14"/>
  <c r="D279" i="14"/>
  <c r="C275" i="14"/>
  <c r="D261" i="14"/>
  <c r="C230" i="14"/>
  <c r="D226" i="14"/>
  <c r="D199" i="14"/>
  <c r="D182" i="14"/>
  <c r="C186" i="14"/>
  <c r="E186" i="14"/>
  <c r="D151" i="14"/>
  <c r="C144" i="14"/>
  <c r="E144" i="14"/>
  <c r="C102" i="14"/>
  <c r="D103" i="14"/>
  <c r="D77" i="14"/>
  <c r="D81" i="14"/>
  <c r="C354" i="14"/>
  <c r="C342" i="14"/>
  <c r="D333" i="14"/>
  <c r="C311" i="14"/>
  <c r="C290" i="14"/>
  <c r="C286" i="14"/>
  <c r="C269" i="14"/>
  <c r="C256" i="14"/>
  <c r="C242" i="14"/>
  <c r="D208" i="14"/>
  <c r="D211" i="14"/>
  <c r="C170" i="14"/>
  <c r="D160" i="14"/>
  <c r="C161" i="14"/>
  <c r="D125" i="14"/>
  <c r="D130" i="14"/>
  <c r="C129" i="14"/>
  <c r="D67" i="14"/>
  <c r="D72" i="14"/>
  <c r="D361" i="14"/>
  <c r="C335" i="14"/>
  <c r="E335" i="14"/>
  <c r="C328" i="14"/>
  <c r="C306" i="14"/>
  <c r="E306" i="14"/>
  <c r="D280" i="14"/>
  <c r="C279" i="14"/>
  <c r="C263" i="14"/>
  <c r="D246" i="14"/>
  <c r="C227" i="14"/>
  <c r="D202" i="14"/>
  <c r="C207" i="14"/>
  <c r="E207" i="14"/>
  <c r="C182" i="14"/>
  <c r="D154" i="14"/>
  <c r="C155" i="14"/>
  <c r="D114" i="14"/>
  <c r="C122" i="14"/>
  <c r="C113" i="14"/>
  <c r="C87" i="14"/>
  <c r="E87" i="14"/>
  <c r="D97" i="14"/>
  <c r="C353" i="14"/>
  <c r="D357" i="14"/>
  <c r="C321" i="14"/>
  <c r="D304" i="14"/>
  <c r="D292" i="14"/>
  <c r="D271" i="14"/>
  <c r="C259" i="14"/>
  <c r="D236" i="14"/>
  <c r="D231" i="14"/>
  <c r="D212" i="14"/>
  <c r="C197" i="14"/>
  <c r="C176" i="14"/>
  <c r="E176" i="14"/>
  <c r="C160" i="14"/>
  <c r="C145" i="14"/>
  <c r="D104" i="14"/>
  <c r="C134" i="14"/>
  <c r="C103" i="14"/>
  <c r="C71" i="14"/>
  <c r="E71" i="14"/>
  <c r="C78" i="14"/>
  <c r="C358" i="14"/>
  <c r="E358" i="14"/>
  <c r="C336" i="14"/>
  <c r="D328" i="14"/>
  <c r="D298" i="14"/>
  <c r="C282" i="14"/>
  <c r="C271" i="14"/>
  <c r="C260" i="14"/>
  <c r="C241" i="14"/>
  <c r="C231" i="14"/>
  <c r="C204" i="14"/>
  <c r="C193" i="14"/>
  <c r="C184" i="14"/>
  <c r="C154" i="14"/>
  <c r="D167" i="14"/>
  <c r="D98" i="14"/>
  <c r="C121" i="14"/>
  <c r="C98" i="14"/>
  <c r="D66" i="14"/>
  <c r="C72" i="14"/>
  <c r="BQ65" i="14"/>
  <c r="AW362" i="14"/>
  <c r="AW357" i="14"/>
  <c r="AV355" i="14"/>
  <c r="AW344" i="14"/>
  <c r="AW345" i="14"/>
  <c r="AW337" i="14"/>
  <c r="AV339" i="14"/>
  <c r="AW334" i="14"/>
  <c r="AW332" i="14"/>
  <c r="AW328" i="14"/>
  <c r="AV319" i="14"/>
  <c r="AV309" i="14"/>
  <c r="AV328" i="14"/>
  <c r="AW313" i="14"/>
  <c r="AW297" i="14"/>
  <c r="AV308" i="14"/>
  <c r="AV302" i="14"/>
  <c r="AW283" i="14"/>
  <c r="AV281" i="14"/>
  <c r="AW294" i="14"/>
  <c r="AV294" i="14"/>
  <c r="AV287" i="14"/>
  <c r="AW265" i="14"/>
  <c r="AV265" i="14"/>
  <c r="AW275" i="14"/>
  <c r="AV266" i="14"/>
  <c r="AW260" i="14"/>
  <c r="AW242" i="14"/>
  <c r="AV244" i="14"/>
  <c r="AW247" i="14"/>
  <c r="AV240" i="14"/>
  <c r="AV247" i="14"/>
  <c r="AV238" i="14"/>
  <c r="AW257" i="14"/>
  <c r="AV249" i="14"/>
  <c r="AV242" i="14"/>
  <c r="AV223" i="14"/>
  <c r="AV211" i="14"/>
  <c r="AW197" i="14"/>
  <c r="AV199" i="14"/>
  <c r="AW202" i="14"/>
  <c r="AW210" i="14"/>
  <c r="AV194" i="14"/>
  <c r="AW191" i="14"/>
  <c r="AW181" i="14"/>
  <c r="AV181" i="14"/>
  <c r="AV183" i="14"/>
  <c r="AV184" i="14"/>
  <c r="AW186" i="14"/>
  <c r="AW157" i="14"/>
  <c r="AV157" i="14"/>
  <c r="AW163" i="14"/>
  <c r="AW152" i="14"/>
  <c r="AV154" i="14"/>
  <c r="AW166" i="14"/>
  <c r="AW127" i="14"/>
  <c r="AV131" i="14"/>
  <c r="AW134" i="14"/>
  <c r="AW111" i="14"/>
  <c r="AW145" i="14"/>
  <c r="AV111" i="14"/>
  <c r="AW137" i="14"/>
  <c r="AW125" i="14"/>
  <c r="AW123" i="14"/>
  <c r="AW100" i="14"/>
  <c r="AW121" i="14"/>
  <c r="AV100" i="14"/>
  <c r="AV91" i="14"/>
  <c r="AW76" i="14"/>
  <c r="AV86" i="14"/>
  <c r="AV66" i="14"/>
  <c r="AV89" i="14"/>
  <c r="AW79" i="14"/>
  <c r="AV92" i="14"/>
  <c r="AV71" i="14"/>
  <c r="AW352" i="14"/>
  <c r="AW356" i="14"/>
  <c r="AV354" i="14"/>
  <c r="AW342" i="14"/>
  <c r="AW343" i="14"/>
  <c r="AV336" i="14"/>
  <c r="AW338" i="14"/>
  <c r="AV334" i="14"/>
  <c r="AW331" i="14"/>
  <c r="AW329" i="14"/>
  <c r="AV318" i="14"/>
  <c r="AW323" i="14"/>
  <c r="AW327" i="14"/>
  <c r="AW307" i="14"/>
  <c r="AV312" i="14"/>
  <c r="AW304" i="14"/>
  <c r="AV300" i="14"/>
  <c r="AW281" i="14"/>
  <c r="AV279" i="14"/>
  <c r="AV293" i="14"/>
  <c r="AW287" i="14"/>
  <c r="AW284" i="14"/>
  <c r="AW263" i="14"/>
  <c r="AV263" i="14"/>
  <c r="AV274" i="14"/>
  <c r="AV264" i="14"/>
  <c r="AV259" i="14"/>
  <c r="AW240" i="14"/>
  <c r="AW254" i="14"/>
  <c r="AW245" i="14"/>
  <c r="AW230" i="14"/>
  <c r="AW238" i="14"/>
  <c r="AV237" i="14"/>
  <c r="AV243" i="14"/>
  <c r="AV234" i="14"/>
  <c r="AV232" i="14"/>
  <c r="AW220" i="14"/>
  <c r="AV215" i="14"/>
  <c r="AW195" i="14"/>
  <c r="AV197" i="14"/>
  <c r="AW200" i="14"/>
  <c r="AV208" i="14"/>
  <c r="AV192" i="14"/>
  <c r="AV187" i="14"/>
  <c r="AV180" i="14"/>
  <c r="AV176" i="14"/>
  <c r="AW174" i="14"/>
  <c r="AW177" i="14"/>
  <c r="AV185" i="14"/>
  <c r="AW155" i="14"/>
  <c r="AV155" i="14"/>
  <c r="AV162" i="14"/>
  <c r="AW150" i="14"/>
  <c r="AV152" i="14"/>
  <c r="AV165" i="14"/>
  <c r="AV122" i="14"/>
  <c r="AV127" i="14"/>
  <c r="AW130" i="14"/>
  <c r="AW109" i="14"/>
  <c r="AV138" i="14"/>
  <c r="AV109" i="14"/>
  <c r="AW133" i="14"/>
  <c r="AW146" i="14"/>
  <c r="AW114" i="14"/>
  <c r="AW98" i="14"/>
  <c r="AV114" i="14"/>
  <c r="AV98" i="14"/>
  <c r="AV87" i="14"/>
  <c r="AW74" i="14"/>
  <c r="AV82" i="14"/>
  <c r="AW65" i="14"/>
  <c r="AV85" i="14"/>
  <c r="AW77" i="14"/>
  <c r="AV88" i="14"/>
  <c r="AV69" i="14"/>
  <c r="AW359" i="14"/>
  <c r="AW364" i="14"/>
  <c r="AV363" i="14"/>
  <c r="AV348" i="14"/>
  <c r="AW341" i="14"/>
  <c r="AW349" i="14"/>
  <c r="AV338" i="14"/>
  <c r="AV330" i="14"/>
  <c r="AV332" i="14"/>
  <c r="AV329" i="14"/>
  <c r="AW317" i="14"/>
  <c r="AW314" i="14"/>
  <c r="AV320" i="14"/>
  <c r="AV306" i="14"/>
  <c r="AV303" i="14"/>
  <c r="AW302" i="14"/>
  <c r="AV298" i="14"/>
  <c r="AW279" i="14"/>
  <c r="AV277" i="14"/>
  <c r="AW286" i="14"/>
  <c r="AV286" i="14"/>
  <c r="AV284" i="14"/>
  <c r="AW261" i="14"/>
  <c r="AV261" i="14"/>
  <c r="AW268" i="14"/>
  <c r="AV262" i="14"/>
  <c r="AW252" i="14"/>
  <c r="AV260" i="14"/>
  <c r="AV253" i="14"/>
  <c r="AW243" i="14"/>
  <c r="AW227" i="14"/>
  <c r="AW231" i="14"/>
  <c r="AW236" i="14"/>
  <c r="AV236" i="14"/>
  <c r="AV233" i="14"/>
  <c r="AV229" i="14"/>
  <c r="AW217" i="14"/>
  <c r="AW209" i="14"/>
  <c r="AV217" i="14"/>
  <c r="AV195" i="14"/>
  <c r="AW198" i="14"/>
  <c r="AV206" i="14"/>
  <c r="AV188" i="14"/>
  <c r="AW180" i="14"/>
  <c r="AW176" i="14"/>
  <c r="AV190" i="14"/>
  <c r="AW172" i="14"/>
  <c r="AV174" i="14"/>
  <c r="AW178" i="14"/>
  <c r="AW153" i="14"/>
  <c r="AV153" i="14"/>
  <c r="AW164" i="14"/>
  <c r="AW148" i="14"/>
  <c r="AV150" i="14"/>
  <c r="AW167" i="14"/>
  <c r="AV121" i="14"/>
  <c r="AV120" i="14"/>
  <c r="AW126" i="14"/>
  <c r="AW107" i="14"/>
  <c r="AV134" i="14"/>
  <c r="AX134" i="14"/>
  <c r="AV107" i="14"/>
  <c r="AW129" i="14"/>
  <c r="AV143" i="14"/>
  <c r="AW112" i="14"/>
  <c r="AV136" i="14"/>
  <c r="AV112" i="14"/>
  <c r="AV97" i="14"/>
  <c r="AV83" i="14"/>
  <c r="AW72" i="14"/>
  <c r="AV78" i="14"/>
  <c r="AW93" i="14"/>
  <c r="AV81" i="14"/>
  <c r="AW75" i="14"/>
  <c r="AV84" i="14"/>
  <c r="AV67" i="14"/>
  <c r="AW363" i="14"/>
  <c r="AW358" i="14"/>
  <c r="AV357" i="14"/>
  <c r="AW350" i="14"/>
  <c r="AV344" i="14"/>
  <c r="AW353" i="14"/>
  <c r="AV341" i="14"/>
  <c r="AW335" i="14"/>
  <c r="AV327" i="14"/>
  <c r="AV331" i="14"/>
  <c r="AV324" i="14"/>
  <c r="AW311" i="14"/>
  <c r="AV313" i="14"/>
  <c r="AX313" i="14"/>
  <c r="AW316" i="14"/>
  <c r="AV322" i="14"/>
  <c r="AV301" i="14"/>
  <c r="AW300" i="14"/>
  <c r="AW289" i="14"/>
  <c r="AW277" i="14"/>
  <c r="AW292" i="14"/>
  <c r="AW282" i="14"/>
  <c r="AV282" i="14"/>
  <c r="AW270" i="14"/>
  <c r="AW276" i="14"/>
  <c r="AV276" i="14"/>
  <c r="AW266" i="14"/>
  <c r="AW258" i="14"/>
  <c r="AV251" i="14"/>
  <c r="AW253" i="14"/>
  <c r="AW255" i="14"/>
  <c r="AW241" i="14"/>
  <c r="AV256" i="14"/>
  <c r="AV224" i="14"/>
  <c r="AV231" i="14"/>
  <c r="AV364" i="14"/>
  <c r="AW351" i="14"/>
  <c r="AW355" i="14"/>
  <c r="AV353" i="14"/>
  <c r="AW347" i="14"/>
  <c r="AV343" i="14"/>
  <c r="AW339" i="14"/>
  <c r="AW346" i="14"/>
  <c r="AV323" i="14"/>
  <c r="AW324" i="14"/>
  <c r="AW318" i="14"/>
  <c r="AV317" i="14"/>
  <c r="AW315" i="14"/>
  <c r="AV310" i="14"/>
  <c r="AW303" i="14"/>
  <c r="AV297" i="14"/>
  <c r="AW321" i="14"/>
  <c r="AW290" i="14"/>
  <c r="AV290" i="14"/>
  <c r="AW293" i="14"/>
  <c r="AW278" i="14"/>
  <c r="AV278" i="14"/>
  <c r="AV270" i="14"/>
  <c r="AV271" i="14"/>
  <c r="AV272" i="14"/>
  <c r="AW262" i="14"/>
  <c r="AW259" i="14"/>
  <c r="AW248" i="14"/>
  <c r="AV250" i="14"/>
  <c r="AW256" i="14"/>
  <c r="AW237" i="14"/>
  <c r="AV227" i="14"/>
  <c r="AW218" i="14"/>
  <c r="AW225" i="14"/>
  <c r="AV228" i="14"/>
  <c r="AV222" i="14"/>
  <c r="AV216" i="14"/>
  <c r="AW211" i="14"/>
  <c r="AW203" i="14"/>
  <c r="AV205" i="14"/>
  <c r="AW208" i="14"/>
  <c r="AV214" i="14"/>
  <c r="AV200" i="14"/>
  <c r="AW179" i="14"/>
  <c r="AW171" i="14"/>
  <c r="AV169" i="14"/>
  <c r="AW193" i="14"/>
  <c r="AV193" i="14"/>
  <c r="AV168" i="14"/>
  <c r="AV167" i="14"/>
  <c r="AX167" i="14"/>
  <c r="AW147" i="14"/>
  <c r="AV147" i="14"/>
  <c r="AW158" i="14"/>
  <c r="AV160" i="14"/>
  <c r="AV144" i="14"/>
  <c r="AW139" i="14"/>
  <c r="AW142" i="14"/>
  <c r="AW117" i="14"/>
  <c r="AW116" i="14"/>
  <c r="AW101" i="14"/>
  <c r="AV116" i="14"/>
  <c r="AV101" i="14"/>
  <c r="AV137" i="14"/>
  <c r="AW128" i="14"/>
  <c r="AW106" i="14"/>
  <c r="AV124" i="14"/>
  <c r="AV106" i="14"/>
  <c r="AW87" i="14"/>
  <c r="AW86" i="14"/>
  <c r="AW66" i="14"/>
  <c r="AV72" i="14"/>
  <c r="AW81" i="14"/>
  <c r="AW88" i="14"/>
  <c r="AW69" i="14"/>
  <c r="AV77" i="14"/>
  <c r="AV362" i="14"/>
  <c r="AV359" i="14"/>
  <c r="AW354" i="14"/>
  <c r="AV350" i="14"/>
  <c r="AV351" i="14"/>
  <c r="AV349" i="14"/>
  <c r="AX349" i="14"/>
  <c r="AV337" i="14"/>
  <c r="AV335" i="14"/>
  <c r="AV321" i="14"/>
  <c r="AW322" i="14"/>
  <c r="AW330" i="14"/>
  <c r="AW312" i="14"/>
  <c r="AV314" i="14"/>
  <c r="AW306" i="14"/>
  <c r="AW301" i="14"/>
  <c r="AV316" i="14"/>
  <c r="AW305" i="14"/>
  <c r="AV289" i="14"/>
  <c r="AV285" i="14"/>
  <c r="AV292" i="14"/>
  <c r="AV296" i="14"/>
  <c r="AV295" i="14"/>
  <c r="AW269" i="14"/>
  <c r="AV269" i="14"/>
  <c r="AW274" i="14"/>
  <c r="AV275" i="14"/>
  <c r="AV258" i="14"/>
  <c r="AW246" i="14"/>
  <c r="AV248" i="14"/>
  <c r="AV255" i="14"/>
  <c r="AW235" i="14"/>
  <c r="AW224" i="14"/>
  <c r="AV241" i="14"/>
  <c r="AV218" i="14"/>
  <c r="AV225" i="14"/>
  <c r="AV219" i="14"/>
  <c r="AV245" i="14"/>
  <c r="AV210" i="14"/>
  <c r="AW201" i="14"/>
  <c r="AV203" i="14"/>
  <c r="AW206" i="14"/>
  <c r="AV213" i="14"/>
  <c r="AV198" i="14"/>
  <c r="AV178" i="14"/>
  <c r="AW169" i="14"/>
  <c r="AW190" i="14"/>
  <c r="AW189" i="14"/>
  <c r="AV189" i="14"/>
  <c r="AW192" i="14"/>
  <c r="AW161" i="14"/>
  <c r="AV161" i="14"/>
  <c r="AV145" i="14"/>
  <c r="AW156" i="14"/>
  <c r="AV158" i="14"/>
  <c r="AV142" i="14"/>
  <c r="AW135" i="14"/>
  <c r="AV139" i="14"/>
  <c r="AW144" i="14"/>
  <c r="AW115" i="14"/>
  <c r="AW99" i="14"/>
  <c r="AV115" i="14"/>
  <c r="AV99" i="14"/>
  <c r="AV133" i="14"/>
  <c r="AV125" i="14"/>
  <c r="AW104" i="14"/>
  <c r="AV123" i="14"/>
  <c r="AX123" i="14"/>
  <c r="AV104" i="14"/>
  <c r="AW83" i="14"/>
  <c r="AW82" i="14"/>
  <c r="AV94" i="14"/>
  <c r="AV70" i="14"/>
  <c r="AV65" i="14"/>
  <c r="AW84" i="14"/>
  <c r="AW67" i="14"/>
  <c r="AV75" i="14"/>
  <c r="AW348" i="14"/>
  <c r="AW336" i="14"/>
  <c r="AV311" i="14"/>
  <c r="AW308" i="14"/>
  <c r="AW296" i="14"/>
  <c r="AV267" i="14"/>
  <c r="AW244" i="14"/>
  <c r="AW221" i="14"/>
  <c r="AW232" i="14"/>
  <c r="AV220" i="14"/>
  <c r="AW213" i="14"/>
  <c r="AW187" i="14"/>
  <c r="AW182" i="14"/>
  <c r="AV170" i="14"/>
  <c r="AV151" i="14"/>
  <c r="AV156" i="14"/>
  <c r="AW119" i="14"/>
  <c r="AW105" i="14"/>
  <c r="AW141" i="14"/>
  <c r="AW108" i="14"/>
  <c r="AW95" i="14"/>
  <c r="AV90" i="14"/>
  <c r="AW92" i="14"/>
  <c r="AW361" i="14"/>
  <c r="AV342" i="14"/>
  <c r="AV325" i="14"/>
  <c r="AW325" i="14"/>
  <c r="AW298" i="14"/>
  <c r="AW280" i="14"/>
  <c r="AW273" i="14"/>
  <c r="AV252" i="14"/>
  <c r="AV221" i="14"/>
  <c r="AX221" i="14"/>
  <c r="AW229" i="14"/>
  <c r="AW207" i="14"/>
  <c r="AW204" i="14"/>
  <c r="AV186" i="14"/>
  <c r="AW183" i="14"/>
  <c r="AW188" i="14"/>
  <c r="AV149" i="14"/>
  <c r="AV148" i="14"/>
  <c r="AV135" i="14"/>
  <c r="AW103" i="14"/>
  <c r="AW143" i="14"/>
  <c r="AW102" i="14"/>
  <c r="AW91" i="14"/>
  <c r="AV76" i="14"/>
  <c r="AW80" i="14"/>
  <c r="AV360" i="14"/>
  <c r="AV347" i="14"/>
  <c r="AV333" i="14"/>
  <c r="AW310" i="14"/>
  <c r="AV304" i="14"/>
  <c r="AW295" i="14"/>
  <c r="AV273" i="14"/>
  <c r="AV246" i="14"/>
  <c r="AV239" i="14"/>
  <c r="AW216" i="14"/>
  <c r="AW205" i="14"/>
  <c r="AW196" i="14"/>
  <c r="AV175" i="14"/>
  <c r="AV182" i="14"/>
  <c r="AX182" i="14"/>
  <c r="AV177" i="14"/>
  <c r="AW162" i="14"/>
  <c r="AV146" i="14"/>
  <c r="AV119" i="14"/>
  <c r="AW97" i="14"/>
  <c r="AV141" i="14"/>
  <c r="AV132" i="14"/>
  <c r="AV95" i="14"/>
  <c r="AX95" i="14"/>
  <c r="AV74" i="14"/>
  <c r="AW73" i="14"/>
  <c r="AV352" i="14"/>
  <c r="AV345" i="14"/>
  <c r="AW326" i="14"/>
  <c r="AV315" i="14"/>
  <c r="AV288" i="14"/>
  <c r="AV280" i="14"/>
  <c r="AX280" i="14"/>
  <c r="AW264" i="14"/>
  <c r="AV254" i="14"/>
  <c r="AX254" i="14"/>
  <c r="AW228" i="14"/>
  <c r="AW226" i="14"/>
  <c r="AW199" i="14"/>
  <c r="AW194" i="14"/>
  <c r="AV179" i="14"/>
  <c r="AW184" i="14"/>
  <c r="AW175" i="14"/>
  <c r="AV163" i="14"/>
  <c r="AV140" i="14"/>
  <c r="AW118" i="14"/>
  <c r="AV130" i="14"/>
  <c r="AV129" i="14"/>
  <c r="AV128" i="14"/>
  <c r="AW94" i="14"/>
  <c r="AV68" i="14"/>
  <c r="AW71" i="14"/>
  <c r="AV358" i="14"/>
  <c r="AV346" i="14"/>
  <c r="AW320" i="14"/>
  <c r="AV305" i="14"/>
  <c r="AW285" i="14"/>
  <c r="AW288" i="14"/>
  <c r="AV268" i="14"/>
  <c r="AX268" i="14"/>
  <c r="AW249" i="14"/>
  <c r="AW215" i="14"/>
  <c r="AW223" i="14"/>
  <c r="AV209" i="14"/>
  <c r="AW212" i="14"/>
  <c r="AW173" i="14"/>
  <c r="AW170" i="14"/>
  <c r="AW159" i="14"/>
  <c r="AW160" i="14"/>
  <c r="AV166" i="14"/>
  <c r="AW138" i="14"/>
  <c r="AV126" i="14"/>
  <c r="AW136" i="14"/>
  <c r="AW122" i="14"/>
  <c r="AW90" i="14"/>
  <c r="AW89" i="14"/>
  <c r="AV96" i="14"/>
  <c r="AV356" i="14"/>
  <c r="AW340" i="14"/>
  <c r="AW319" i="14"/>
  <c r="AV307" i="14"/>
  <c r="AW291" i="14"/>
  <c r="AW271" i="14"/>
  <c r="AV257" i="14"/>
  <c r="AW239" i="14"/>
  <c r="AV235" i="14"/>
  <c r="AV226" i="14"/>
  <c r="AV207" i="14"/>
  <c r="AX207" i="14"/>
  <c r="AV204" i="14"/>
  <c r="AV191" i="14"/>
  <c r="AW168" i="14"/>
  <c r="AW151" i="14"/>
  <c r="AW154" i="14"/>
  <c r="AW140" i="14"/>
  <c r="AV118" i="14"/>
  <c r="AV113" i="14"/>
  <c r="AW132" i="14"/>
  <c r="AV110" i="14"/>
  <c r="AW78" i="14"/>
  <c r="AW85" i="14"/>
  <c r="AV80" i="14"/>
  <c r="AV361" i="14"/>
  <c r="AX361" i="14"/>
  <c r="AV340" i="14"/>
  <c r="AV326" i="14"/>
  <c r="AX326" i="14"/>
  <c r="AW299" i="14"/>
  <c r="AV283" i="14"/>
  <c r="AW267" i="14"/>
  <c r="AW251" i="14"/>
  <c r="AW233" i="14"/>
  <c r="AW234" i="14"/>
  <c r="AW214" i="14"/>
  <c r="AV201" i="14"/>
  <c r="AV202" i="14"/>
  <c r="AV173" i="14"/>
  <c r="AX173" i="14"/>
  <c r="AW185" i="14"/>
  <c r="AW149" i="14"/>
  <c r="AW165" i="14"/>
  <c r="AW131" i="14"/>
  <c r="AV117" i="14"/>
  <c r="AV105" i="14"/>
  <c r="AW124" i="14"/>
  <c r="AV108" i="14"/>
  <c r="AX108" i="14"/>
  <c r="AW70" i="14"/>
  <c r="AV93" i="14"/>
  <c r="AV79" i="14"/>
  <c r="AW360" i="14"/>
  <c r="AW333" i="14"/>
  <c r="AW309" i="14"/>
  <c r="AV299" i="14"/>
  <c r="AV291" i="14"/>
  <c r="AW272" i="14"/>
  <c r="AW250" i="14"/>
  <c r="AV230" i="14"/>
  <c r="AW222" i="14"/>
  <c r="AV212" i="14"/>
  <c r="AW219" i="14"/>
  <c r="AV196" i="14"/>
  <c r="AX196" i="14"/>
  <c r="AV171" i="14"/>
  <c r="AV172" i="14"/>
  <c r="AV159" i="14"/>
  <c r="AX159" i="14"/>
  <c r="AV164" i="14"/>
  <c r="AW120" i="14"/>
  <c r="AW113" i="14"/>
  <c r="AV103" i="14"/>
  <c r="AW110" i="14"/>
  <c r="AV102" i="14"/>
  <c r="AW68" i="14"/>
  <c r="AW96" i="14"/>
  <c r="AV73" i="14"/>
  <c r="AX73" i="14"/>
  <c r="CP57" i="14"/>
  <c r="CP56" i="14"/>
  <c r="W57" i="14"/>
  <c r="W56" i="14"/>
  <c r="BZ65" i="14"/>
  <c r="DH56" i="14"/>
  <c r="BZ64" i="14"/>
  <c r="CP63" i="14"/>
  <c r="CP62" i="14"/>
  <c r="DH63" i="14"/>
  <c r="W63" i="14"/>
  <c r="CP59" i="14"/>
  <c r="CP53" i="14"/>
  <c r="CQ53" i="14"/>
  <c r="CQ54" i="14"/>
  <c r="CQ55" i="14"/>
  <c r="CQ56" i="14"/>
  <c r="CQ57" i="14"/>
  <c r="CQ58" i="14"/>
  <c r="CQ59" i="14"/>
  <c r="CQ60" i="14"/>
  <c r="CQ61" i="14"/>
  <c r="CQ62" i="14"/>
  <c r="CQ63" i="14"/>
  <c r="CQ64" i="14"/>
  <c r="DH54" i="14"/>
  <c r="DH58" i="14"/>
  <c r="W53" i="14"/>
  <c r="X53" i="14"/>
  <c r="X54" i="14"/>
  <c r="X55" i="14"/>
  <c r="X56" i="14"/>
  <c r="X57" i="14"/>
  <c r="X58" i="14"/>
  <c r="X59" i="14"/>
  <c r="X60" i="14"/>
  <c r="X61" i="14"/>
  <c r="X62" i="14"/>
  <c r="X63" i="14"/>
  <c r="X64" i="14"/>
  <c r="W59" i="14"/>
  <c r="AH65" i="14"/>
  <c r="CX361" i="14"/>
  <c r="CW351" i="14"/>
  <c r="CW359" i="14"/>
  <c r="CX353" i="14"/>
  <c r="CW342" i="14"/>
  <c r="CW348" i="14"/>
  <c r="CX339" i="14"/>
  <c r="CX336" i="14"/>
  <c r="CW321" i="14"/>
  <c r="CW327" i="14"/>
  <c r="CW324" i="14"/>
  <c r="CX309" i="14"/>
  <c r="CW309" i="14"/>
  <c r="CX310" i="14"/>
  <c r="CX303" i="14"/>
  <c r="CW299" i="14"/>
  <c r="CX298" i="14"/>
  <c r="CX291" i="14"/>
  <c r="CX275" i="14"/>
  <c r="CX294" i="14"/>
  <c r="CX288" i="14"/>
  <c r="CX289" i="14"/>
  <c r="CW289" i="14"/>
  <c r="CX267" i="14"/>
  <c r="CW263" i="14"/>
  <c r="CX262" i="14"/>
  <c r="CX252" i="14"/>
  <c r="CX246" i="14"/>
  <c r="CW246" i="14"/>
  <c r="CX250" i="14"/>
  <c r="CX235" i="14"/>
  <c r="CW229" i="14"/>
  <c r="CW226" i="14"/>
  <c r="CW250" i="14"/>
  <c r="CW258" i="14"/>
  <c r="CW221" i="14"/>
  <c r="CX225" i="14"/>
  <c r="CX219" i="14"/>
  <c r="CX213" i="14"/>
  <c r="CW213" i="14"/>
  <c r="CX209" i="14"/>
  <c r="CX200" i="14"/>
  <c r="CW202" i="14"/>
  <c r="CX174" i="14"/>
  <c r="CX193" i="14"/>
  <c r="CW193" i="14"/>
  <c r="CX185" i="14"/>
  <c r="CX176" i="14"/>
  <c r="CW178" i="14"/>
  <c r="CW179" i="14"/>
  <c r="CX149" i="14"/>
  <c r="CW153" i="14"/>
  <c r="CW164" i="14"/>
  <c r="CX150" i="14"/>
  <c r="CW152" i="14"/>
  <c r="CX146" i="14"/>
  <c r="CX122" i="14"/>
  <c r="CW121" i="14"/>
  <c r="CW120" i="14"/>
  <c r="CX105" i="14"/>
  <c r="CW128" i="14"/>
  <c r="CW107" i="14"/>
  <c r="CX135" i="14"/>
  <c r="CW135" i="14"/>
  <c r="CX110" i="14"/>
  <c r="CW138" i="14"/>
  <c r="CW108" i="14"/>
  <c r="CX85" i="14"/>
  <c r="CX92" i="14"/>
  <c r="CX68" i="14"/>
  <c r="CW74" i="14"/>
  <c r="CX79" i="14"/>
  <c r="CW66" i="14"/>
  <c r="CX73" i="14"/>
  <c r="CW82" i="14"/>
  <c r="CX364" i="14"/>
  <c r="CW361" i="14"/>
  <c r="CW357" i="14"/>
  <c r="CX350" i="14"/>
  <c r="CW350" i="14"/>
  <c r="CW346" i="14"/>
  <c r="CW339" i="14"/>
  <c r="CW337" i="14"/>
  <c r="CX337" i="14"/>
  <c r="CX326" i="14"/>
  <c r="CX329" i="14"/>
  <c r="CW330" i="14"/>
  <c r="CX323" i="14"/>
  <c r="CX308" i="14"/>
  <c r="CX301" i="14"/>
  <c r="CW297" i="14"/>
  <c r="CW317" i="14"/>
  <c r="CW290" i="14"/>
  <c r="CX293" i="14"/>
  <c r="CW293" i="14"/>
  <c r="CW287" i="14"/>
  <c r="CW288" i="14"/>
  <c r="CW276" i="14"/>
  <c r="CX265" i="14"/>
  <c r="CW261" i="14"/>
  <c r="CX270" i="14"/>
  <c r="CW251" i="14"/>
  <c r="CX244" i="14"/>
  <c r="CW244" i="14"/>
  <c r="CX249" i="14"/>
  <c r="CX233" i="14"/>
  <c r="CX226" i="14"/>
  <c r="CW223" i="14"/>
  <c r="CW245" i="14"/>
  <c r="CW241" i="14"/>
  <c r="CX218" i="14"/>
  <c r="CW218" i="14"/>
  <c r="CX214" i="14"/>
  <c r="CX207" i="14"/>
  <c r="CW207" i="14"/>
  <c r="CX210" i="14"/>
  <c r="CX198" i="14"/>
  <c r="CW200" i="14"/>
  <c r="CX189" i="14"/>
  <c r="CW189" i="14"/>
  <c r="CX192" i="14"/>
  <c r="CW184" i="14"/>
  <c r="CX172" i="14"/>
  <c r="CW176" i="14"/>
  <c r="CX162" i="14"/>
  <c r="CX147" i="14"/>
  <c r="CW151" i="14"/>
  <c r="CX166" i="14"/>
  <c r="CX148" i="14"/>
  <c r="CW150" i="14"/>
  <c r="CX142" i="14"/>
  <c r="CX121" i="14"/>
  <c r="CX120" i="14"/>
  <c r="CW119" i="14"/>
  <c r="CX103" i="14"/>
  <c r="CW118" i="14"/>
  <c r="CW105" i="14"/>
  <c r="CX131" i="14"/>
  <c r="CW131" i="14"/>
  <c r="CX108" i="14"/>
  <c r="CW134" i="14"/>
  <c r="CW106" i="14"/>
  <c r="CX81" i="14"/>
  <c r="CX88" i="14"/>
  <c r="CW96" i="14"/>
  <c r="CW72" i="14"/>
  <c r="CW78" i="14"/>
  <c r="CX65" i="14"/>
  <c r="CX71" i="14"/>
  <c r="CW77" i="14"/>
  <c r="CW364" i="14"/>
  <c r="CX359" i="14"/>
  <c r="CW356" i="14"/>
  <c r="CX362" i="14"/>
  <c r="CW353" i="14"/>
  <c r="CW345" i="14"/>
  <c r="CX338" i="14"/>
  <c r="CX334" i="14"/>
  <c r="CX332" i="14"/>
  <c r="CX324" i="14"/>
  <c r="CW326" i="14"/>
  <c r="CX321" i="14"/>
  <c r="CX325" i="14"/>
  <c r="CW322" i="14"/>
  <c r="CX299" i="14"/>
  <c r="CX305" i="14"/>
  <c r="CX307" i="14"/>
  <c r="CX292" i="14"/>
  <c r="CW292" i="14"/>
  <c r="CX286" i="14"/>
  <c r="CW285" i="14"/>
  <c r="CW282" i="14"/>
  <c r="CX271" i="14"/>
  <c r="CX263" i="14"/>
  <c r="CW274" i="14"/>
  <c r="CW269" i="14"/>
  <c r="CX253" i="14"/>
  <c r="CX242" i="14"/>
  <c r="CX256" i="14"/>
  <c r="CX247" i="14"/>
  <c r="CX259" i="14"/>
  <c r="CX223" i="14"/>
  <c r="CX220" i="14"/>
  <c r="CW237" i="14"/>
  <c r="CX238" i="14"/>
  <c r="CX215" i="14"/>
  <c r="CW215" i="14"/>
  <c r="CX212" i="14"/>
  <c r="CX205" i="14"/>
  <c r="CW205" i="14"/>
  <c r="CW209" i="14"/>
  <c r="CX196" i="14"/>
  <c r="CW198" i="14"/>
  <c r="CX182" i="14"/>
  <c r="CX183" i="14"/>
  <c r="CX188" i="14"/>
  <c r="CX177" i="14"/>
  <c r="CX170" i="14"/>
  <c r="CW172" i="14"/>
  <c r="CX161" i="14"/>
  <c r="CX163" i="14"/>
  <c r="CW149" i="14"/>
  <c r="CW165" i="14"/>
  <c r="CX167" i="14"/>
  <c r="CW148" i="14"/>
  <c r="CX137" i="14"/>
  <c r="CX114" i="14"/>
  <c r="CX119" i="14"/>
  <c r="CX118" i="14"/>
  <c r="CX101" i="14"/>
  <c r="CW117" i="14"/>
  <c r="CW103" i="14"/>
  <c r="CX127" i="14"/>
  <c r="CW127" i="14"/>
  <c r="CX106" i="14"/>
  <c r="CW130" i="14"/>
  <c r="CW104" i="14"/>
  <c r="CW97" i="14"/>
  <c r="CX84" i="14"/>
  <c r="CW92" i="14"/>
  <c r="CW70" i="14"/>
  <c r="CX66" i="14"/>
  <c r="CX94" i="14"/>
  <c r="CX69" i="14"/>
  <c r="CW75" i="14"/>
  <c r="CW362" i="14"/>
  <c r="CY362" i="14"/>
  <c r="CW358" i="14"/>
  <c r="CX355" i="14"/>
  <c r="CX360" i="14"/>
  <c r="CX348" i="14"/>
  <c r="CW343" i="14"/>
  <c r="CX335" i="14"/>
  <c r="CX347" i="14"/>
  <c r="CX331" i="14"/>
  <c r="CX322" i="14"/>
  <c r="CX312" i="14"/>
  <c r="CW319" i="14"/>
  <c r="CX316" i="14"/>
  <c r="CW310" i="14"/>
  <c r="CX297" i="14"/>
  <c r="CX306" i="14"/>
  <c r="CW306" i="14"/>
  <c r="CW291" i="14"/>
  <c r="CX284" i="14"/>
  <c r="CW284" i="14"/>
  <c r="CX282" i="14"/>
  <c r="CW280" i="14"/>
  <c r="CW270" i="14"/>
  <c r="CX261" i="14"/>
  <c r="CW275" i="14"/>
  <c r="CW268" i="14"/>
  <c r="CW252" i="14"/>
  <c r="CX240" i="14"/>
  <c r="CW255" i="14"/>
  <c r="CX245" i="14"/>
  <c r="CW242" i="14"/>
  <c r="CW216" i="14"/>
  <c r="CX217" i="14"/>
  <c r="CX236" i="14"/>
  <c r="CW236" i="14"/>
  <c r="CW238" i="14"/>
  <c r="CX251" i="14"/>
  <c r="CX211" i="14"/>
  <c r="CX203" i="14"/>
  <c r="CW203" i="14"/>
  <c r="CW210" i="14"/>
  <c r="CX194" i="14"/>
  <c r="CW196" i="14"/>
  <c r="CW181" i="14"/>
  <c r="CW182" i="14"/>
  <c r="CX184" i="14"/>
  <c r="CX191" i="14"/>
  <c r="CX168" i="14"/>
  <c r="CW170" i="14"/>
  <c r="CX159" i="14"/>
  <c r="CW162" i="14"/>
  <c r="CW147" i="14"/>
  <c r="CX160" i="14"/>
  <c r="CW166" i="14"/>
  <c r="CW146" i="14"/>
  <c r="CY146" i="14"/>
  <c r="CX133" i="14"/>
  <c r="CW137" i="14"/>
  <c r="CW114" i="14"/>
  <c r="CX117" i="14"/>
  <c r="CX99" i="14"/>
  <c r="CX116" i="14"/>
  <c r="CW101" i="14"/>
  <c r="CW116" i="14"/>
  <c r="CX138" i="14"/>
  <c r="CX104" i="14"/>
  <c r="CW126" i="14"/>
  <c r="CW102" i="14"/>
  <c r="CW93" i="14"/>
  <c r="CX80" i="14"/>
  <c r="CW88" i="14"/>
  <c r="CW68" i="14"/>
  <c r="CW95" i="14"/>
  <c r="CX90" i="14"/>
  <c r="CX67" i="14"/>
  <c r="CW73" i="14"/>
  <c r="CW360" i="14"/>
  <c r="CY360" i="14"/>
  <c r="CX357" i="14"/>
  <c r="CX354" i="14"/>
  <c r="CX344" i="14"/>
  <c r="CX346" i="14"/>
  <c r="CW349" i="14"/>
  <c r="CX333" i="14"/>
  <c r="CW336" i="14"/>
  <c r="CX327" i="14"/>
  <c r="CX320" i="14"/>
  <c r="CX319" i="14"/>
  <c r="CW318" i="14"/>
  <c r="CW315" i="14"/>
  <c r="CW308" i="14"/>
  <c r="CX295" i="14"/>
  <c r="CW305" i="14"/>
  <c r="CW304" i="14"/>
  <c r="CX283" i="14"/>
  <c r="CW283" i="14"/>
  <c r="CW294" i="14"/>
  <c r="CX280" i="14"/>
  <c r="CW278" i="14"/>
  <c r="CX272" i="14"/>
  <c r="CX274" i="14"/>
  <c r="CX269" i="14"/>
  <c r="CW266" i="14"/>
  <c r="CX260" i="14"/>
  <c r="CW260" i="14"/>
  <c r="CX257" i="14"/>
  <c r="CX243" i="14"/>
  <c r="CX229" i="14"/>
  <c r="CW249" i="14"/>
  <c r="CX230" i="14"/>
  <c r="CW230" i="14"/>
  <c r="CW235" i="14"/>
  <c r="CY235" i="14"/>
  <c r="CW234" i="14"/>
  <c r="CW247" i="14"/>
  <c r="CX216" i="14"/>
  <c r="CX201" i="14"/>
  <c r="CW201" i="14"/>
  <c r="CX208" i="14"/>
  <c r="CW219" i="14"/>
  <c r="CY219" i="14"/>
  <c r="CW194" i="14"/>
  <c r="CW174" i="14"/>
  <c r="CX175" i="14"/>
  <c r="CW183" i="14"/>
  <c r="CX186" i="14"/>
  <c r="CW191" i="14"/>
  <c r="CW168" i="14"/>
  <c r="CX157" i="14"/>
  <c r="CW161" i="14"/>
  <c r="CW145" i="14"/>
  <c r="CX158" i="14"/>
  <c r="CW160" i="14"/>
  <c r="CW144" i="14"/>
  <c r="CX129" i="14"/>
  <c r="CW133" i="14"/>
  <c r="CX144" i="14"/>
  <c r="CX113" i="14"/>
  <c r="CX97" i="14"/>
  <c r="CX115" i="14"/>
  <c r="CW99" i="14"/>
  <c r="CW115" i="14"/>
  <c r="CX134" i="14"/>
  <c r="CX102" i="14"/>
  <c r="CX124" i="14"/>
  <c r="CW100" i="14"/>
  <c r="CW89" i="14"/>
  <c r="CX76" i="14"/>
  <c r="CW84" i="14"/>
  <c r="CX95" i="14"/>
  <c r="CW91" i="14"/>
  <c r="CX86" i="14"/>
  <c r="CW65" i="14"/>
  <c r="CW71" i="14"/>
  <c r="CX351" i="14"/>
  <c r="CX356" i="14"/>
  <c r="CW352" i="14"/>
  <c r="CX342" i="14"/>
  <c r="CX345" i="14"/>
  <c r="CW347" i="14"/>
  <c r="CW340" i="14"/>
  <c r="CW333" i="14"/>
  <c r="CW332" i="14"/>
  <c r="CX330" i="14"/>
  <c r="CX318" i="14"/>
  <c r="CX317" i="14"/>
  <c r="CW311" i="14"/>
  <c r="CW307" i="14"/>
  <c r="CW314" i="14"/>
  <c r="CX304" i="14"/>
  <c r="CW302" i="14"/>
  <c r="CX281" i="14"/>
  <c r="CW281" i="14"/>
  <c r="CX287" i="14"/>
  <c r="CX278" i="14"/>
  <c r="CW296" i="14"/>
  <c r="CW271" i="14"/>
  <c r="CW273" i="14"/>
  <c r="CX268" i="14"/>
  <c r="CW264" i="14"/>
  <c r="CX254" i="14"/>
  <c r="CX255" i="14"/>
  <c r="CW256" i="14"/>
  <c r="CX241" i="14"/>
  <c r="CW222" i="14"/>
  <c r="CW240" i="14"/>
  <c r="CX227" i="14"/>
  <c r="CW227" i="14"/>
  <c r="CX234" i="14"/>
  <c r="CW233" i="14"/>
  <c r="CW228" i="14"/>
  <c r="CW214" i="14"/>
  <c r="CX199" i="14"/>
  <c r="CW199" i="14"/>
  <c r="CX206" i="14"/>
  <c r="CW208" i="14"/>
  <c r="CW190" i="14"/>
  <c r="CX173" i="14"/>
  <c r="CW173" i="14"/>
  <c r="CW175" i="14"/>
  <c r="CW185" i="14"/>
  <c r="CX187" i="14"/>
  <c r="CX190" i="14"/>
  <c r="CX155" i="14"/>
  <c r="CW159" i="14"/>
  <c r="CX164" i="14"/>
  <c r="CX156" i="14"/>
  <c r="CW158" i="14"/>
  <c r="CW142" i="14"/>
  <c r="CX125" i="14"/>
  <c r="CW129" i="14"/>
  <c r="CX136" i="14"/>
  <c r="CX111" i="14"/>
  <c r="CX141" i="14"/>
  <c r="CW113" i="14"/>
  <c r="CX143" i="14"/>
  <c r="CX145" i="14"/>
  <c r="CX130" i="14"/>
  <c r="CX100" i="14"/>
  <c r="CX123" i="14"/>
  <c r="CW98" i="14"/>
  <c r="CW85" i="14"/>
  <c r="CX74" i="14"/>
  <c r="CW80" i="14"/>
  <c r="CX91" i="14"/>
  <c r="CW87" i="14"/>
  <c r="CX82" i="14"/>
  <c r="CW94" i="14"/>
  <c r="CW69" i="14"/>
  <c r="CX349" i="14"/>
  <c r="CX352" i="14"/>
  <c r="CW355" i="14"/>
  <c r="CX340" i="14"/>
  <c r="CX343" i="14"/>
  <c r="CW334" i="14"/>
  <c r="CW338" i="14"/>
  <c r="CW325" i="14"/>
  <c r="CW331" i="14"/>
  <c r="CW329" i="14"/>
  <c r="CX313" i="14"/>
  <c r="CX314" i="14"/>
  <c r="CW320" i="14"/>
  <c r="CX315" i="14"/>
  <c r="CW303" i="14"/>
  <c r="CX302" i="14"/>
  <c r="CW300" i="14"/>
  <c r="CX279" i="14"/>
  <c r="CW279" i="14"/>
  <c r="CW286" i="14"/>
  <c r="CX276" i="14"/>
  <c r="CW295" i="14"/>
  <c r="CX273" i="14"/>
  <c r="CW267" i="14"/>
  <c r="CX266" i="14"/>
  <c r="CW262" i="14"/>
  <c r="CW253" i="14"/>
  <c r="CW254" i="14"/>
  <c r="CX258" i="14"/>
  <c r="CX239" i="14"/>
  <c r="CW243" i="14"/>
  <c r="CW239" i="14"/>
  <c r="CW220" i="14"/>
  <c r="CX224" i="14"/>
  <c r="CX231" i="14"/>
  <c r="CW231" i="14"/>
  <c r="CW225" i="14"/>
  <c r="CW212" i="14"/>
  <c r="CX197" i="14"/>
  <c r="CW197" i="14"/>
  <c r="CX204" i="14"/>
  <c r="CW206" i="14"/>
  <c r="CX181" i="14"/>
  <c r="CX171" i="14"/>
  <c r="CW171" i="14"/>
  <c r="CW192" i="14"/>
  <c r="CX178" i="14"/>
  <c r="CW186" i="14"/>
  <c r="CW187" i="14"/>
  <c r="CX153" i="14"/>
  <c r="CW157" i="14"/>
  <c r="CW163" i="14"/>
  <c r="CX154" i="14"/>
  <c r="CW156" i="14"/>
  <c r="CW140" i="14"/>
  <c r="CW124" i="14"/>
  <c r="CW125" i="14"/>
  <c r="CX132" i="14"/>
  <c r="CX109" i="14"/>
  <c r="CW136" i="14"/>
  <c r="CW111" i="14"/>
  <c r="CW141" i="14"/>
  <c r="CW143" i="14"/>
  <c r="CX126" i="14"/>
  <c r="CX98" i="14"/>
  <c r="CW112" i="14"/>
  <c r="CX93" i="14"/>
  <c r="CW81" i="14"/>
  <c r="CX72" i="14"/>
  <c r="CX78" i="14"/>
  <c r="CX87" i="14"/>
  <c r="CW83" i="14"/>
  <c r="CX77" i="14"/>
  <c r="CW90" i="14"/>
  <c r="CW67" i="14"/>
  <c r="CX363" i="14"/>
  <c r="CX358" i="14"/>
  <c r="CW363" i="14"/>
  <c r="CW354" i="14"/>
  <c r="CW344" i="14"/>
  <c r="CX341" i="14"/>
  <c r="CW341" i="14"/>
  <c r="CW335" i="14"/>
  <c r="CW323" i="14"/>
  <c r="CX328" i="14"/>
  <c r="CW328" i="14"/>
  <c r="CW312" i="14"/>
  <c r="CW313" i="14"/>
  <c r="CW316" i="14"/>
  <c r="CX311" i="14"/>
  <c r="CW301" i="14"/>
  <c r="CX300" i="14"/>
  <c r="CW298" i="14"/>
  <c r="CX277" i="14"/>
  <c r="CW277" i="14"/>
  <c r="CX285" i="14"/>
  <c r="CX296" i="14"/>
  <c r="CX290" i="14"/>
  <c r="CW272" i="14"/>
  <c r="CW265" i="14"/>
  <c r="CX264" i="14"/>
  <c r="CW259" i="14"/>
  <c r="CX248" i="14"/>
  <c r="CW248" i="14"/>
  <c r="CW257" i="14"/>
  <c r="CX237" i="14"/>
  <c r="CX232" i="14"/>
  <c r="CW232" i="14"/>
  <c r="CW217" i="14"/>
  <c r="CX221" i="14"/>
  <c r="CW224" i="14"/>
  <c r="CX228" i="14"/>
  <c r="CX222" i="14"/>
  <c r="CW211" i="14"/>
  <c r="CX195" i="14"/>
  <c r="CW195" i="14"/>
  <c r="CX202" i="14"/>
  <c r="CW204" i="14"/>
  <c r="CW180" i="14"/>
  <c r="CX169" i="14"/>
  <c r="CW169" i="14"/>
  <c r="CW188" i="14"/>
  <c r="CY188" i="14"/>
  <c r="CW177" i="14"/>
  <c r="CY177" i="14"/>
  <c r="CX179" i="14"/>
  <c r="CX180" i="14"/>
  <c r="CX151" i="14"/>
  <c r="CW155" i="14"/>
  <c r="CY155" i="14"/>
  <c r="CX165" i="14"/>
  <c r="CX152" i="14"/>
  <c r="CW154" i="14"/>
  <c r="CW167" i="14"/>
  <c r="CW123" i="14"/>
  <c r="CW122" i="14"/>
  <c r="CX128" i="14"/>
  <c r="CX107" i="14"/>
  <c r="CW132" i="14"/>
  <c r="CW109" i="14"/>
  <c r="CX139" i="14"/>
  <c r="CW139" i="14"/>
  <c r="CX112" i="14"/>
  <c r="CX140" i="14"/>
  <c r="CW110" i="14"/>
  <c r="CX89" i="14"/>
  <c r="CX96" i="14"/>
  <c r="CX70" i="14"/>
  <c r="CW76" i="14"/>
  <c r="CX83" i="14"/>
  <c r="CW79" i="14"/>
  <c r="CX75" i="14"/>
  <c r="CW86" i="14"/>
  <c r="CP55" i="14"/>
  <c r="AH64" i="14"/>
  <c r="W55" i="14"/>
  <c r="W64" i="14"/>
  <c r="CO360" i="14"/>
  <c r="CF356" i="14"/>
  <c r="CF349" i="14"/>
  <c r="CO361" i="14"/>
  <c r="CE363" i="14"/>
  <c r="CO345" i="14"/>
  <c r="CE342" i="14"/>
  <c r="CO344" i="14"/>
  <c r="CE351" i="14"/>
  <c r="CE338" i="14"/>
  <c r="CF337" i="14"/>
  <c r="CO335" i="14"/>
  <c r="CF327" i="14"/>
  <c r="CE333" i="14"/>
  <c r="CO321" i="14"/>
  <c r="CE317" i="14"/>
  <c r="CO310" i="14"/>
  <c r="CF311" i="14"/>
  <c r="CO314" i="14"/>
  <c r="CF312" i="14"/>
  <c r="CO305" i="14"/>
  <c r="CF301" i="14"/>
  <c r="CF363" i="14"/>
  <c r="CE359" i="14"/>
  <c r="CF354" i="14"/>
  <c r="CF352" i="14"/>
  <c r="CO351" i="14"/>
  <c r="CO352" i="14"/>
  <c r="CE349" i="14"/>
  <c r="CE346" i="14"/>
  <c r="CE345" i="14"/>
  <c r="CF338" i="14"/>
  <c r="CO334" i="14"/>
  <c r="CE337" i="14"/>
  <c r="CE332" i="14"/>
  <c r="CE327" i="14"/>
  <c r="CF324" i="14"/>
  <c r="CO328" i="14"/>
  <c r="CE322" i="14"/>
  <c r="CE324" i="14"/>
  <c r="CO317" i="14"/>
  <c r="CF319" i="14"/>
  <c r="CF317" i="14"/>
  <c r="CO304" i="14"/>
  <c r="CO296" i="14"/>
  <c r="CE358" i="14"/>
  <c r="CF362" i="14"/>
  <c r="CO358" i="14"/>
  <c r="CF348" i="14"/>
  <c r="CF347" i="14"/>
  <c r="CF341" i="14"/>
  <c r="CO336" i="14"/>
  <c r="CE336" i="14"/>
  <c r="CF332" i="14"/>
  <c r="CF329" i="14"/>
  <c r="CF320" i="14"/>
  <c r="CO332" i="14"/>
  <c r="CF316" i="14"/>
  <c r="CF310" i="14"/>
  <c r="CE319" i="14"/>
  <c r="CF303" i="14"/>
  <c r="CE308" i="14"/>
  <c r="CF307" i="14"/>
  <c r="CF300" i="14"/>
  <c r="CE300" i="14"/>
  <c r="CE293" i="14"/>
  <c r="CF279" i="14"/>
  <c r="CE284" i="14"/>
  <c r="CE287" i="14"/>
  <c r="CO293" i="14"/>
  <c r="CO279" i="14"/>
  <c r="CE282" i="14"/>
  <c r="CF274" i="14"/>
  <c r="CO266" i="14"/>
  <c r="CE275" i="14"/>
  <c r="CO273" i="14"/>
  <c r="CF266" i="14"/>
  <c r="CE271" i="14"/>
  <c r="CE253" i="14"/>
  <c r="CO251" i="14"/>
  <c r="CF242" i="14"/>
  <c r="CE244" i="14"/>
  <c r="CF251" i="14"/>
  <c r="CF247" i="14"/>
  <c r="CF239" i="14"/>
  <c r="CE247" i="14"/>
  <c r="CE238" i="14"/>
  <c r="CF217" i="14"/>
  <c r="CF227" i="14"/>
  <c r="CE234" i="14"/>
  <c r="CO214" i="14"/>
  <c r="CE245" i="14"/>
  <c r="CE215" i="14"/>
  <c r="CO217" i="14"/>
  <c r="CE222" i="14"/>
  <c r="CF207" i="14"/>
  <c r="CF199" i="14"/>
  <c r="CO211" i="14"/>
  <c r="CE197" i="14"/>
  <c r="CF213" i="14"/>
  <c r="CO203" i="14"/>
  <c r="CO195" i="14"/>
  <c r="CE202" i="14"/>
  <c r="CF183" i="14"/>
  <c r="CF184" i="14"/>
  <c r="CF169" i="14"/>
  <c r="CE173" i="14"/>
  <c r="CO181" i="14"/>
  <c r="CF179" i="14"/>
  <c r="CO183" i="14"/>
  <c r="CO169" i="14"/>
  <c r="CE172" i="14"/>
  <c r="CE181" i="14"/>
  <c r="CF159" i="14"/>
  <c r="CF151" i="14"/>
  <c r="CE159" i="14"/>
  <c r="CF166" i="14"/>
  <c r="CF160" i="14"/>
  <c r="CF152" i="14"/>
  <c r="CE158" i="14"/>
  <c r="CE142" i="14"/>
  <c r="CO140" i="14"/>
  <c r="CO126" i="14"/>
  <c r="CE139" i="14"/>
  <c r="CF140" i="14"/>
  <c r="CO125" i="14"/>
  <c r="CO108" i="14"/>
  <c r="CO100" i="14"/>
  <c r="CE130" i="14"/>
  <c r="CE107" i="14"/>
  <c r="CF133" i="14"/>
  <c r="CO118" i="14"/>
  <c r="CF122" i="14"/>
  <c r="CF136" i="14"/>
  <c r="CF120" i="14"/>
  <c r="CF108" i="14"/>
  <c r="CF100" i="14"/>
  <c r="CE132" i="14"/>
  <c r="CE110" i="14"/>
  <c r="CO94" i="14"/>
  <c r="CE95" i="14"/>
  <c r="CO89" i="14"/>
  <c r="CF76" i="14"/>
  <c r="CF68" i="14"/>
  <c r="CE79" i="14"/>
  <c r="CF93" i="14"/>
  <c r="CE93" i="14"/>
  <c r="CF88" i="14"/>
  <c r="CF75" i="14"/>
  <c r="CF67" i="14"/>
  <c r="CE77" i="14"/>
  <c r="CO364" i="14"/>
  <c r="CF357" i="14"/>
  <c r="CE355" i="14"/>
  <c r="CO357" i="14"/>
  <c r="CO347" i="14"/>
  <c r="CF346" i="14"/>
  <c r="CO340" i="14"/>
  <c r="CE334" i="14"/>
  <c r="CE335" i="14"/>
  <c r="CF331" i="14"/>
  <c r="CE328" i="14"/>
  <c r="CO331" i="14"/>
  <c r="CO324" i="14"/>
  <c r="CE315" i="14"/>
  <c r="CO309" i="14"/>
  <c r="CE318" i="14"/>
  <c r="CO302" i="14"/>
  <c r="CF305" i="14"/>
  <c r="CE306" i="14"/>
  <c r="CO299" i="14"/>
  <c r="CE298" i="14"/>
  <c r="CO289" i="14"/>
  <c r="CO278" i="14"/>
  <c r="CE283" i="14"/>
  <c r="CF285" i="14"/>
  <c r="CF290" i="14"/>
  <c r="CF278" i="14"/>
  <c r="CE280" i="14"/>
  <c r="CE273" i="14"/>
  <c r="CF265" i="14"/>
  <c r="CO271" i="14"/>
  <c r="CF270" i="14"/>
  <c r="CO265" i="14"/>
  <c r="CE268" i="14"/>
  <c r="CO258" i="14"/>
  <c r="CO249" i="14"/>
  <c r="CO241" i="14"/>
  <c r="CF258" i="14"/>
  <c r="CE250" i="14"/>
  <c r="CO246" i="14"/>
  <c r="CO238" i="14"/>
  <c r="CF238" i="14"/>
  <c r="CE237" i="14"/>
  <c r="CO215" i="14"/>
  <c r="CO225" i="14"/>
  <c r="CE233" i="14"/>
  <c r="CF260" i="14"/>
  <c r="CE239" i="14"/>
  <c r="CF253" i="14"/>
  <c r="CO256" i="14"/>
  <c r="CE219" i="14"/>
  <c r="CO206" i="14"/>
  <c r="CO198" i="14"/>
  <c r="CF210" i="14"/>
  <c r="CE195" i="14"/>
  <c r="CE212" i="14"/>
  <c r="CF202" i="14"/>
  <c r="CF194" i="14"/>
  <c r="CE200" i="14"/>
  <c r="CE182" i="14"/>
  <c r="CE183" i="14"/>
  <c r="CO168" i="14"/>
  <c r="CE171" i="14"/>
  <c r="CF178" i="14"/>
  <c r="CE178" i="14"/>
  <c r="CF180" i="14"/>
  <c r="CF168" i="14"/>
  <c r="CE170" i="14"/>
  <c r="CO177" i="14"/>
  <c r="CO158" i="14"/>
  <c r="CO150" i="14"/>
  <c r="CE157" i="14"/>
  <c r="CE165" i="14"/>
  <c r="CO159" i="14"/>
  <c r="CO151" i="14"/>
  <c r="CE156" i="14"/>
  <c r="CE140" i="14"/>
  <c r="CF139" i="14"/>
  <c r="CE118" i="14"/>
  <c r="CE135" i="14"/>
  <c r="CF138" i="14"/>
  <c r="CO123" i="14"/>
  <c r="CF107" i="14"/>
  <c r="CF99" i="14"/>
  <c r="CE126" i="14"/>
  <c r="CE105" i="14"/>
  <c r="CO132" i="14"/>
  <c r="CO141" i="14"/>
  <c r="CF121" i="14"/>
  <c r="CO135" i="14"/>
  <c r="CF119" i="14"/>
  <c r="CO107" i="14"/>
  <c r="CO99" i="14"/>
  <c r="CE128" i="14"/>
  <c r="CE108" i="14"/>
  <c r="CF91" i="14"/>
  <c r="CE91" i="14"/>
  <c r="CF86" i="14"/>
  <c r="CO75" i="14"/>
  <c r="CO67" i="14"/>
  <c r="CE78" i="14"/>
  <c r="CO92" i="14"/>
  <c r="CE89" i="14"/>
  <c r="CO87" i="14"/>
  <c r="CO74" i="14"/>
  <c r="CF66" i="14"/>
  <c r="CE75" i="14"/>
  <c r="CO362" i="14"/>
  <c r="CF360" i="14"/>
  <c r="CE354" i="14"/>
  <c r="CF350" i="14"/>
  <c r="CF344" i="14"/>
  <c r="CO355" i="14"/>
  <c r="CE343" i="14"/>
  <c r="CO337" i="14"/>
  <c r="CO339" i="14"/>
  <c r="CE331" i="14"/>
  <c r="CF330" i="14"/>
  <c r="CO327" i="14"/>
  <c r="CF315" i="14"/>
  <c r="CE309" i="14"/>
  <c r="CF308" i="14"/>
  <c r="CO316" i="14"/>
  <c r="CO300" i="14"/>
  <c r="CE303" i="14"/>
  <c r="CF313" i="14"/>
  <c r="CF298" i="14"/>
  <c r="CF293" i="14"/>
  <c r="CF286" i="14"/>
  <c r="CF277" i="14"/>
  <c r="CE281" i="14"/>
  <c r="CE296" i="14"/>
  <c r="CE289" i="14"/>
  <c r="CO277" i="14"/>
  <c r="CE278" i="14"/>
  <c r="CO269" i="14"/>
  <c r="CO264" i="14"/>
  <c r="CE267" i="14"/>
  <c r="CE269" i="14"/>
  <c r="CF264" i="14"/>
  <c r="CE266" i="14"/>
  <c r="CF255" i="14"/>
  <c r="CF248" i="14"/>
  <c r="CF240" i="14"/>
  <c r="CE257" i="14"/>
  <c r="CE259" i="14"/>
  <c r="CF245" i="14"/>
  <c r="CF237" i="14"/>
  <c r="CO233" i="14"/>
  <c r="CF236" i="14"/>
  <c r="CE243" i="14"/>
  <c r="CO222" i="14"/>
  <c r="CE230" i="14"/>
  <c r="CE240" i="14"/>
  <c r="CE231" i="14"/>
  <c r="CO237" i="14"/>
  <c r="CE241" i="14"/>
  <c r="CF216" i="14"/>
  <c r="CF205" i="14"/>
  <c r="CF197" i="14"/>
  <c r="CE209" i="14"/>
  <c r="CF218" i="14"/>
  <c r="CE211" i="14"/>
  <c r="CO201" i="14"/>
  <c r="CO193" i="14"/>
  <c r="CE198" i="14"/>
  <c r="CO178" i="14"/>
  <c r="CO179" i="14"/>
  <c r="CE191" i="14"/>
  <c r="CE169" i="14"/>
  <c r="CE177" i="14"/>
  <c r="CF176" i="14"/>
  <c r="CE179" i="14"/>
  <c r="CE193" i="14"/>
  <c r="CE168" i="14"/>
  <c r="CF174" i="14"/>
  <c r="CF157" i="14"/>
  <c r="CF149" i="14"/>
  <c r="CE155" i="14"/>
  <c r="CF167" i="14"/>
  <c r="CF158" i="14"/>
  <c r="CF150" i="14"/>
  <c r="CE154" i="14"/>
  <c r="CO165" i="14"/>
  <c r="CO138" i="14"/>
  <c r="CE117" i="14"/>
  <c r="CE131" i="14"/>
  <c r="CO137" i="14"/>
  <c r="CO122" i="14"/>
  <c r="CO106" i="14"/>
  <c r="CO98" i="14"/>
  <c r="CO121" i="14"/>
  <c r="CE103" i="14"/>
  <c r="CF129" i="14"/>
  <c r="CE137" i="14"/>
  <c r="CO117" i="14"/>
  <c r="CF132" i="14"/>
  <c r="CO115" i="14"/>
  <c r="CF106" i="14"/>
  <c r="CF98" i="14"/>
  <c r="CE120" i="14"/>
  <c r="CE106" i="14"/>
  <c r="CO90" i="14"/>
  <c r="CE87" i="14"/>
  <c r="CO85" i="14"/>
  <c r="CF74" i="14"/>
  <c r="CO65" i="14"/>
  <c r="CE76" i="14"/>
  <c r="CG76" i="14"/>
  <c r="CF89" i="14"/>
  <c r="CE85" i="14"/>
  <c r="CF84" i="14"/>
  <c r="CF73" i="14"/>
  <c r="CE96" i="14"/>
  <c r="CE73" i="14"/>
  <c r="CF361" i="14"/>
  <c r="CE357" i="14"/>
  <c r="CF353" i="14"/>
  <c r="CO349" i="14"/>
  <c r="CO343" i="14"/>
  <c r="CE347" i="14"/>
  <c r="CO356" i="14"/>
  <c r="CO348" i="14"/>
  <c r="CO338" i="14"/>
  <c r="CO330" i="14"/>
  <c r="CE329" i="14"/>
  <c r="CF325" i="14"/>
  <c r="CE314" i="14"/>
  <c r="CE326" i="14"/>
  <c r="CF323" i="14"/>
  <c r="CE312" i="14"/>
  <c r="CF299" i="14"/>
  <c r="CE301" i="14"/>
  <c r="CE307" i="14"/>
  <c r="CO297" i="14"/>
  <c r="CE292" i="14"/>
  <c r="CF284" i="14"/>
  <c r="CO276" i="14"/>
  <c r="CE279" i="14"/>
  <c r="CE295" i="14"/>
  <c r="CO284" i="14"/>
  <c r="CF276" i="14"/>
  <c r="CF292" i="14"/>
  <c r="CF275" i="14"/>
  <c r="CF263" i="14"/>
  <c r="CE265" i="14"/>
  <c r="CO274" i="14"/>
  <c r="CO263" i="14"/>
  <c r="CE264" i="14"/>
  <c r="CE254" i="14"/>
  <c r="CO247" i="14"/>
  <c r="CF257" i="14"/>
  <c r="CO253" i="14"/>
  <c r="CO255" i="14"/>
  <c r="CO244" i="14"/>
  <c r="CO236" i="14"/>
  <c r="CE232" i="14"/>
  <c r="CO231" i="14"/>
  <c r="CE242" i="14"/>
  <c r="CG242" i="14"/>
  <c r="CE220" i="14"/>
  <c r="CE227" i="14"/>
  <c r="CF231" i="14"/>
  <c r="CF228" i="14"/>
  <c r="CO230" i="14"/>
  <c r="CO235" i="14"/>
  <c r="CF214" i="14"/>
  <c r="CO204" i="14"/>
  <c r="CO196" i="14"/>
  <c r="CE207" i="14"/>
  <c r="CO213" i="14"/>
  <c r="CF208" i="14"/>
  <c r="CF200" i="14"/>
  <c r="CE213" i="14"/>
  <c r="CE196" i="14"/>
  <c r="CO176" i="14"/>
  <c r="CF175" i="14"/>
  <c r="CF185" i="14"/>
  <c r="CO194" i="14"/>
  <c r="CO174" i="14"/>
  <c r="CF193" i="14"/>
  <c r="CE176" i="14"/>
  <c r="CE189" i="14"/>
  <c r="CF192" i="14"/>
  <c r="CO167" i="14"/>
  <c r="CO156" i="14"/>
  <c r="CO148" i="14"/>
  <c r="CE153" i="14"/>
  <c r="CE166" i="14"/>
  <c r="CO157" i="14"/>
  <c r="CO149" i="14"/>
  <c r="CE152" i="14"/>
  <c r="CF162" i="14"/>
  <c r="CF135" i="14"/>
  <c r="CF116" i="14"/>
  <c r="CE127" i="14"/>
  <c r="CF134" i="14"/>
  <c r="CF113" i="14"/>
  <c r="CF105" i="14"/>
  <c r="CF97" i="14"/>
  <c r="CO120" i="14"/>
  <c r="CE101" i="14"/>
  <c r="CO128" i="14"/>
  <c r="CE133" i="14"/>
  <c r="CO116" i="14"/>
  <c r="CO131" i="14"/>
  <c r="CO113" i="14"/>
  <c r="CO105" i="14"/>
  <c r="CO97" i="14"/>
  <c r="CE119" i="14"/>
  <c r="CE104" i="14"/>
  <c r="CF87" i="14"/>
  <c r="CE83" i="14"/>
  <c r="CF82" i="14"/>
  <c r="CO73" i="14"/>
  <c r="CE97" i="14"/>
  <c r="CE74" i="14"/>
  <c r="CO88" i="14"/>
  <c r="CE81" i="14"/>
  <c r="CO83" i="14"/>
  <c r="CO72" i="14"/>
  <c r="CE92" i="14"/>
  <c r="CE71" i="14"/>
  <c r="CE364" i="14"/>
  <c r="CE356" i="14"/>
  <c r="CG356" i="14"/>
  <c r="CE353" i="14"/>
  <c r="CF359" i="14"/>
  <c r="CF342" i="14"/>
  <c r="CE350" i="14"/>
  <c r="CG350" i="14"/>
  <c r="CO346" i="14"/>
  <c r="CF336" i="14"/>
  <c r="CF340" i="14"/>
  <c r="CE325" i="14"/>
  <c r="CF326" i="14"/>
  <c r="CO322" i="14"/>
  <c r="CF309" i="14"/>
  <c r="CE330" i="14"/>
  <c r="CF318" i="14"/>
  <c r="CE316" i="14"/>
  <c r="CO298" i="14"/>
  <c r="CE299" i="14"/>
  <c r="CF304" i="14"/>
  <c r="CO319" i="14"/>
  <c r="CO288" i="14"/>
  <c r="CF283" i="14"/>
  <c r="CE294" i="14"/>
  <c r="CE277" i="14"/>
  <c r="CO292" i="14"/>
  <c r="CO283" i="14"/>
  <c r="CO294" i="14"/>
  <c r="CE291" i="14"/>
  <c r="CE274" i="14"/>
  <c r="CO262" i="14"/>
  <c r="CE263" i="14"/>
  <c r="CF271" i="14"/>
  <c r="CF262" i="14"/>
  <c r="CE262" i="14"/>
  <c r="CO250" i="14"/>
  <c r="CF246" i="14"/>
  <c r="CE256" i="14"/>
  <c r="CF250" i="14"/>
  <c r="CF252" i="14"/>
  <c r="CF243" i="14"/>
  <c r="CF235" i="14"/>
  <c r="CE229" i="14"/>
  <c r="CO228" i="14"/>
  <c r="CE236" i="14"/>
  <c r="CE217" i="14"/>
  <c r="CF224" i="14"/>
  <c r="CO229" i="14"/>
  <c r="CF225" i="14"/>
  <c r="CE228" i="14"/>
  <c r="CF232" i="14"/>
  <c r="CO210" i="14"/>
  <c r="CF203" i="14"/>
  <c r="CF195" i="14"/>
  <c r="CE205" i="14"/>
  <c r="CG205" i="14"/>
  <c r="CE210" i="14"/>
  <c r="CO207" i="14"/>
  <c r="CO199" i="14"/>
  <c r="CO209" i="14"/>
  <c r="CE194" i="14"/>
  <c r="CE174" i="14"/>
  <c r="CF173" i="14"/>
  <c r="CE184" i="14"/>
  <c r="CF190" i="14"/>
  <c r="CE190" i="14"/>
  <c r="CO192" i="14"/>
  <c r="CO173" i="14"/>
  <c r="CO184" i="14"/>
  <c r="CO191" i="14"/>
  <c r="CF164" i="14"/>
  <c r="CF155" i="14"/>
  <c r="CF147" i="14"/>
  <c r="CE151" i="14"/>
  <c r="CO162" i="14"/>
  <c r="CF156" i="14"/>
  <c r="CF148" i="14"/>
  <c r="CE150" i="14"/>
  <c r="CO166" i="14"/>
  <c r="CO134" i="14"/>
  <c r="CF115" i="14"/>
  <c r="CO124" i="14"/>
  <c r="CO133" i="14"/>
  <c r="CO112" i="14"/>
  <c r="CO104" i="14"/>
  <c r="CO144" i="14"/>
  <c r="CO114" i="14"/>
  <c r="CE99" i="14"/>
  <c r="CF125" i="14"/>
  <c r="CE129" i="14"/>
  <c r="CO145" i="14"/>
  <c r="CF128" i="14"/>
  <c r="CF112" i="14"/>
  <c r="CF104" i="14"/>
  <c r="CF145" i="14"/>
  <c r="CF118" i="14"/>
  <c r="CE102" i="14"/>
  <c r="CO86" i="14"/>
  <c r="CO66" i="14"/>
  <c r="CO81" i="14"/>
  <c r="CF72" i="14"/>
  <c r="CE94" i="14"/>
  <c r="CE72" i="14"/>
  <c r="CF85" i="14"/>
  <c r="CF96" i="14"/>
  <c r="CF80" i="14"/>
  <c r="CF71" i="14"/>
  <c r="CE88" i="14"/>
  <c r="CE69" i="14"/>
  <c r="CE362" i="14"/>
  <c r="CF355" i="14"/>
  <c r="CE352" i="14"/>
  <c r="CF358" i="14"/>
  <c r="CO341" i="14"/>
  <c r="CF345" i="14"/>
  <c r="CE361" i="14"/>
  <c r="CF335" i="14"/>
  <c r="CF339" i="14"/>
  <c r="CE323" i="14"/>
  <c r="CO325" i="14"/>
  <c r="CE320" i="14"/>
  <c r="CO308" i="14"/>
  <c r="CO318" i="14"/>
  <c r="CO315" i="14"/>
  <c r="CO306" i="14"/>
  <c r="CF297" i="14"/>
  <c r="CE297" i="14"/>
  <c r="CO303" i="14"/>
  <c r="CO312" i="14"/>
  <c r="CO285" i="14"/>
  <c r="CO282" i="14"/>
  <c r="CO290" i="14"/>
  <c r="CF296" i="14"/>
  <c r="CF289" i="14"/>
  <c r="CF282" i="14"/>
  <c r="CF291" i="14"/>
  <c r="CO287" i="14"/>
  <c r="CO270" i="14"/>
  <c r="CF261" i="14"/>
  <c r="CE261" i="14"/>
  <c r="CE270" i="14"/>
  <c r="CO261" i="14"/>
  <c r="CE260" i="14"/>
  <c r="CO259" i="14"/>
  <c r="CO245" i="14"/>
  <c r="CO252" i="14"/>
  <c r="CF259" i="14"/>
  <c r="CE251" i="14"/>
  <c r="CO242" i="14"/>
  <c r="CO234" i="14"/>
  <c r="CF226" i="14"/>
  <c r="CE226" i="14"/>
  <c r="CE235" i="14"/>
  <c r="CE252" i="14"/>
  <c r="CF221" i="14"/>
  <c r="CO226" i="14"/>
  <c r="CO223" i="14"/>
  <c r="CE225" i="14"/>
  <c r="CF229" i="14"/>
  <c r="CO212" i="14"/>
  <c r="CO202" i="14"/>
  <c r="CO218" i="14"/>
  <c r="CE203" i="14"/>
  <c r="CF212" i="14"/>
  <c r="CF206" i="14"/>
  <c r="CF198" i="14"/>
  <c r="CE208" i="14"/>
  <c r="CG208" i="14"/>
  <c r="CE192" i="14"/>
  <c r="CF191" i="14"/>
  <c r="CO172" i="14"/>
  <c r="CO180" i="14"/>
  <c r="CO189" i="14"/>
  <c r="CF187" i="14"/>
  <c r="CF189" i="14"/>
  <c r="CF172" i="14"/>
  <c r="CF181" i="14"/>
  <c r="CF188" i="14"/>
  <c r="CE163" i="14"/>
  <c r="CO154" i="14"/>
  <c r="CF165" i="14"/>
  <c r="CE149" i="14"/>
  <c r="CE167" i="14"/>
  <c r="CO155" i="14"/>
  <c r="CO147" i="14"/>
  <c r="CE148" i="14"/>
  <c r="CF163" i="14"/>
  <c r="CF131" i="14"/>
  <c r="CE114" i="14"/>
  <c r="CE116" i="14"/>
  <c r="CF130" i="14"/>
  <c r="CF111" i="14"/>
  <c r="CF103" i="14"/>
  <c r="CF142" i="14"/>
  <c r="CE113" i="14"/>
  <c r="CF144" i="14"/>
  <c r="CF124" i="14"/>
  <c r="CE125" i="14"/>
  <c r="CO143" i="14"/>
  <c r="CO127" i="14"/>
  <c r="CO111" i="14"/>
  <c r="CO103" i="14"/>
  <c r="CF143" i="14"/>
  <c r="CF117" i="14"/>
  <c r="CE100" i="14"/>
  <c r="CF83" i="14"/>
  <c r="CF94" i="14"/>
  <c r="CF79" i="14"/>
  <c r="CO71" i="14"/>
  <c r="CE90" i="14"/>
  <c r="CE70" i="14"/>
  <c r="CO84" i="14"/>
  <c r="CO95" i="14"/>
  <c r="CO78" i="14"/>
  <c r="CO70" i="14"/>
  <c r="CE84" i="14"/>
  <c r="CE67" i="14"/>
  <c r="CG67" i="14"/>
  <c r="CE360" i="14"/>
  <c r="CF351" i="14"/>
  <c r="CO363" i="14"/>
  <c r="CO354" i="14"/>
  <c r="CE348" i="14"/>
  <c r="CF343" i="14"/>
  <c r="CE340" i="14"/>
  <c r="CF333" i="14"/>
  <c r="CF334" i="14"/>
  <c r="CE321" i="14"/>
  <c r="CO323" i="14"/>
  <c r="CF314" i="14"/>
  <c r="CO329" i="14"/>
  <c r="CO313" i="14"/>
  <c r="CO311" i="14"/>
  <c r="CO320" i="14"/>
  <c r="CF295" i="14"/>
  <c r="CF306" i="14"/>
  <c r="CF302" i="14"/>
  <c r="CE304" i="14"/>
  <c r="CO295" i="14"/>
  <c r="CF281" i="14"/>
  <c r="CF287" i="14"/>
  <c r="CO291" i="14"/>
  <c r="CE288" i="14"/>
  <c r="CO281" i="14"/>
  <c r="CE290" i="14"/>
  <c r="CG290" i="14"/>
  <c r="CF273" i="14"/>
  <c r="CO268" i="14"/>
  <c r="CO260" i="14"/>
  <c r="CO272" i="14"/>
  <c r="CF268" i="14"/>
  <c r="CO275" i="14"/>
  <c r="CO257" i="14"/>
  <c r="CF256" i="14"/>
  <c r="CF244" i="14"/>
  <c r="CE248" i="14"/>
  <c r="CE258" i="14"/>
  <c r="CF249" i="14"/>
  <c r="CF241" i="14"/>
  <c r="CF233" i="14"/>
  <c r="CF223" i="14"/>
  <c r="CE223" i="14"/>
  <c r="CF234" i="14"/>
  <c r="CE249" i="14"/>
  <c r="CO219" i="14"/>
  <c r="CE224" i="14"/>
  <c r="CO220" i="14"/>
  <c r="CF222" i="14"/>
  <c r="CO227" i="14"/>
  <c r="CF209" i="14"/>
  <c r="CF201" i="14"/>
  <c r="CE216" i="14"/>
  <c r="CE201" i="14"/>
  <c r="CF211" i="14"/>
  <c r="CO205" i="14"/>
  <c r="CO197" i="14"/>
  <c r="CE206" i="14"/>
  <c r="CE188" i="14"/>
  <c r="CO190" i="14"/>
  <c r="CF171" i="14"/>
  <c r="CF177" i="14"/>
  <c r="CF186" i="14"/>
  <c r="CE186" i="14"/>
  <c r="CO188" i="14"/>
  <c r="CO171" i="14"/>
  <c r="CE180" i="14"/>
  <c r="CG180" i="14"/>
  <c r="CO185" i="14"/>
  <c r="CF161" i="14"/>
  <c r="CF153" i="14"/>
  <c r="CE164" i="14"/>
  <c r="CG164" i="14"/>
  <c r="CE147" i="14"/>
  <c r="CO163" i="14"/>
  <c r="CF154" i="14"/>
  <c r="CO164" i="14"/>
  <c r="CE146" i="14"/>
  <c r="CE162" i="14"/>
  <c r="CO130" i="14"/>
  <c r="CO146" i="14"/>
  <c r="CE115" i="14"/>
  <c r="CO129" i="14"/>
  <c r="CO110" i="14"/>
  <c r="CO102" i="14"/>
  <c r="CE138" i="14"/>
  <c r="CE111" i="14"/>
  <c r="CF137" i="14"/>
  <c r="CF123" i="14"/>
  <c r="CE124" i="14"/>
  <c r="CF141" i="14"/>
  <c r="CE122" i="14"/>
  <c r="CF110" i="14"/>
  <c r="CF102" i="14"/>
  <c r="CE141" i="14"/>
  <c r="CF114" i="14"/>
  <c r="CE98" i="14"/>
  <c r="CO82" i="14"/>
  <c r="CO93" i="14"/>
  <c r="CF78" i="14"/>
  <c r="CF70" i="14"/>
  <c r="CE86" i="14"/>
  <c r="CE68" i="14"/>
  <c r="CF81" i="14"/>
  <c r="CF92" i="14"/>
  <c r="CF77" i="14"/>
  <c r="CF69" i="14"/>
  <c r="CE80" i="14"/>
  <c r="CG80" i="14"/>
  <c r="CE66" i="14"/>
  <c r="CG66" i="14"/>
  <c r="CF364" i="14"/>
  <c r="CO350" i="14"/>
  <c r="CO359" i="14"/>
  <c r="CO353" i="14"/>
  <c r="CE344" i="14"/>
  <c r="CO342" i="14"/>
  <c r="CE339" i="14"/>
  <c r="CE341" i="14"/>
  <c r="CO333" i="14"/>
  <c r="CF328" i="14"/>
  <c r="CF322" i="14"/>
  <c r="CE313" i="14"/>
  <c r="CG313" i="14"/>
  <c r="CO326" i="14"/>
  <c r="CF321" i="14"/>
  <c r="CE310" i="14"/>
  <c r="CO307" i="14"/>
  <c r="CE311" i="14"/>
  <c r="CE305" i="14"/>
  <c r="CO301" i="14"/>
  <c r="CE302" i="14"/>
  <c r="CF294" i="14"/>
  <c r="CO280" i="14"/>
  <c r="CE286" i="14"/>
  <c r="CG286" i="14"/>
  <c r="CF288" i="14"/>
  <c r="CE285" i="14"/>
  <c r="CF280" i="14"/>
  <c r="CO286" i="14"/>
  <c r="CE272" i="14"/>
  <c r="CF267" i="14"/>
  <c r="CE276" i="14"/>
  <c r="CF269" i="14"/>
  <c r="CO267" i="14"/>
  <c r="CF272" i="14"/>
  <c r="CF254" i="14"/>
  <c r="CE255" i="14"/>
  <c r="CO243" i="14"/>
  <c r="CE246" i="14"/>
  <c r="CO254" i="14"/>
  <c r="CO248" i="14"/>
  <c r="CO240" i="14"/>
  <c r="CO232" i="14"/>
  <c r="CO221" i="14"/>
  <c r="CF220" i="14"/>
  <c r="CF230" i="14"/>
  <c r="CO239" i="14"/>
  <c r="CO216" i="14"/>
  <c r="CE221" i="14"/>
  <c r="CE218" i="14"/>
  <c r="CG218" i="14"/>
  <c r="CF219" i="14"/>
  <c r="CO224" i="14"/>
  <c r="CO208" i="14"/>
  <c r="CO200" i="14"/>
  <c r="CE214" i="14"/>
  <c r="CE199" i="14"/>
  <c r="CF215" i="14"/>
  <c r="CF204" i="14"/>
  <c r="CF196" i="14"/>
  <c r="CE204" i="14"/>
  <c r="CO186" i="14"/>
  <c r="CO187" i="14"/>
  <c r="CO170" i="14"/>
  <c r="CE175" i="14"/>
  <c r="CE185" i="14"/>
  <c r="CO182" i="14"/>
  <c r="CE187" i="14"/>
  <c r="CF170" i="14"/>
  <c r="CO175" i="14"/>
  <c r="CF182" i="14"/>
  <c r="CO160" i="14"/>
  <c r="CO152" i="14"/>
  <c r="CE161" i="14"/>
  <c r="CE145" i="14"/>
  <c r="CO161" i="14"/>
  <c r="CO153" i="14"/>
  <c r="CE160" i="14"/>
  <c r="CE144" i="14"/>
  <c r="CE143" i="14"/>
  <c r="CF127" i="14"/>
  <c r="CO142" i="14"/>
  <c r="CF146" i="14"/>
  <c r="CF126" i="14"/>
  <c r="CF109" i="14"/>
  <c r="CF101" i="14"/>
  <c r="CE134" i="14"/>
  <c r="CE109" i="14"/>
  <c r="CO136" i="14"/>
  <c r="CO119" i="14"/>
  <c r="CE123" i="14"/>
  <c r="CO139" i="14"/>
  <c r="CE121" i="14"/>
  <c r="CO109" i="14"/>
  <c r="CO101" i="14"/>
  <c r="CE136" i="14"/>
  <c r="CG136" i="14"/>
  <c r="CE112" i="14"/>
  <c r="CF95" i="14"/>
  <c r="CE65" i="14"/>
  <c r="CF90" i="14"/>
  <c r="CO77" i="14"/>
  <c r="CO69" i="14"/>
  <c r="CE82" i="14"/>
  <c r="CO96" i="14"/>
  <c r="CO80" i="14"/>
  <c r="CO91" i="14"/>
  <c r="CO76" i="14"/>
  <c r="CO68" i="14"/>
  <c r="CO79" i="14"/>
  <c r="CF65" i="14"/>
  <c r="N252" i="14"/>
  <c r="N221" i="14"/>
  <c r="AO210" i="14"/>
  <c r="AO207" i="14"/>
  <c r="AO304" i="14"/>
  <c r="AO244" i="14"/>
  <c r="E260" i="14"/>
  <c r="CG97" i="14"/>
  <c r="AO254" i="14"/>
  <c r="E360" i="14"/>
  <c r="AX118" i="14"/>
  <c r="AX226" i="14"/>
  <c r="AX204" i="14"/>
  <c r="AX129" i="14"/>
  <c r="E75" i="14"/>
  <c r="N150" i="14"/>
  <c r="AO232" i="14"/>
  <c r="N190" i="14"/>
  <c r="N130" i="14"/>
  <c r="N288" i="14"/>
  <c r="AO110" i="14"/>
  <c r="N358" i="14"/>
  <c r="AX340" i="14"/>
  <c r="AX119" i="14"/>
  <c r="N72" i="14"/>
  <c r="AX141" i="14"/>
  <c r="CG311" i="14"/>
  <c r="AX299" i="14"/>
  <c r="N255" i="14"/>
  <c r="N193" i="14"/>
  <c r="N362" i="14"/>
  <c r="N119" i="14"/>
  <c r="AO337" i="14"/>
  <c r="AX105" i="14"/>
  <c r="AO175" i="14"/>
  <c r="CG169" i="14"/>
  <c r="CY147" i="14"/>
  <c r="AO200" i="14"/>
  <c r="AO154" i="14"/>
  <c r="AO282" i="14"/>
  <c r="CG316" i="14"/>
  <c r="CY329" i="14"/>
  <c r="CY305" i="14"/>
  <c r="AO259" i="14"/>
  <c r="AO104" i="14"/>
  <c r="CG175" i="14"/>
  <c r="CY316" i="14"/>
  <c r="CG352" i="14"/>
  <c r="CY124" i="14"/>
  <c r="AO230" i="14"/>
  <c r="CG168" i="14"/>
  <c r="AX283" i="14"/>
  <c r="E263" i="14"/>
  <c r="E210" i="14"/>
  <c r="AO355" i="14"/>
  <c r="AO296" i="14"/>
  <c r="N195" i="14"/>
  <c r="N242" i="14"/>
  <c r="E108" i="14"/>
  <c r="AO297" i="14"/>
  <c r="AO264" i="14"/>
  <c r="AO338" i="14"/>
  <c r="AO283" i="14"/>
  <c r="AO311" i="14"/>
  <c r="AO153" i="14"/>
  <c r="AO227" i="14"/>
  <c r="CY344" i="14"/>
  <c r="CY267" i="14"/>
  <c r="CY69" i="14"/>
  <c r="AO204" i="14"/>
  <c r="AO260" i="14"/>
  <c r="AO156" i="14"/>
  <c r="AO357" i="14"/>
  <c r="AX291" i="14"/>
  <c r="CG186" i="14"/>
  <c r="CG226" i="14"/>
  <c r="CG330" i="14"/>
  <c r="CG166" i="14"/>
  <c r="CY239" i="14"/>
  <c r="CY190" i="14"/>
  <c r="CY97" i="14"/>
  <c r="AO66" i="14"/>
  <c r="AO242" i="14"/>
  <c r="AO181" i="14"/>
  <c r="AO218" i="14"/>
  <c r="AO187" i="14"/>
  <c r="CR64" i="14"/>
  <c r="CY162" i="14"/>
  <c r="CY92" i="14"/>
  <c r="AX79" i="14"/>
  <c r="AO308" i="14"/>
  <c r="CY227" i="14"/>
  <c r="CY203" i="14"/>
  <c r="AO111" i="14"/>
  <c r="AO157" i="14"/>
  <c r="AO340" i="14"/>
  <c r="AO120" i="14"/>
  <c r="CY161" i="14"/>
  <c r="CY88" i="14"/>
  <c r="CY166" i="14"/>
  <c r="AO364" i="14"/>
  <c r="AO77" i="14"/>
  <c r="CY79" i="14"/>
  <c r="CY323" i="14"/>
  <c r="AO298" i="14"/>
  <c r="CY167" i="14"/>
  <c r="CY335" i="14"/>
  <c r="CY157" i="14"/>
  <c r="CY355" i="14"/>
  <c r="CY80" i="14"/>
  <c r="AO73" i="14"/>
  <c r="AO170" i="14"/>
  <c r="AO89" i="14"/>
  <c r="AO74" i="14"/>
  <c r="AO137" i="14"/>
  <c r="AO159" i="14"/>
  <c r="AO122" i="14"/>
  <c r="AO267" i="14"/>
  <c r="CY336" i="14"/>
  <c r="AO257" i="14"/>
  <c r="CY85" i="14"/>
  <c r="CG122" i="14"/>
  <c r="CG210" i="14"/>
  <c r="CY353" i="14"/>
  <c r="AO81" i="14"/>
  <c r="AO97" i="14"/>
  <c r="AO70" i="14"/>
  <c r="AO129" i="14"/>
  <c r="AO351" i="14"/>
  <c r="AO363" i="14"/>
  <c r="AO150" i="14"/>
  <c r="AO278" i="14"/>
  <c r="AO293" i="14"/>
  <c r="CG255" i="14"/>
  <c r="CG258" i="14"/>
  <c r="CG150" i="14"/>
  <c r="CG236" i="14"/>
  <c r="CG265" i="14"/>
  <c r="CG179" i="14"/>
  <c r="CG266" i="14"/>
  <c r="CG303" i="14"/>
  <c r="CG140" i="14"/>
  <c r="CG327" i="14"/>
  <c r="AO71" i="14"/>
  <c r="AO85" i="14"/>
  <c r="AO72" i="14"/>
  <c r="AO133" i="14"/>
  <c r="AO195" i="14"/>
  <c r="CG111" i="14"/>
  <c r="CG216" i="14"/>
  <c r="AO247" i="14"/>
  <c r="CG74" i="14"/>
  <c r="AO113" i="14"/>
  <c r="AO301" i="14"/>
  <c r="CG145" i="14"/>
  <c r="CG228" i="14"/>
  <c r="AO334" i="14"/>
  <c r="AO108" i="14"/>
  <c r="AO237" i="14"/>
  <c r="CG123" i="14"/>
  <c r="AO163" i="14"/>
  <c r="CG221" i="14"/>
  <c r="E259" i="14"/>
  <c r="CG129" i="14"/>
  <c r="CG277" i="14"/>
  <c r="CY132" i="14"/>
  <c r="CY99" i="14"/>
  <c r="CY160" i="14"/>
  <c r="CY137" i="14"/>
  <c r="CY170" i="14"/>
  <c r="CY210" i="14"/>
  <c r="CY150" i="14"/>
  <c r="CY250" i="14"/>
  <c r="E119" i="14"/>
  <c r="CG143" i="14"/>
  <c r="CG124" i="14"/>
  <c r="CG184" i="14"/>
  <c r="CG144" i="14"/>
  <c r="CG302" i="14"/>
  <c r="CG340" i="14"/>
  <c r="CG84" i="14"/>
  <c r="CG217" i="14"/>
  <c r="CG274" i="14"/>
  <c r="CG354" i="14"/>
  <c r="CY224" i="14"/>
  <c r="CY312" i="14"/>
  <c r="CY143" i="14"/>
  <c r="CY338" i="14"/>
  <c r="CY208" i="14"/>
  <c r="CY247" i="14"/>
  <c r="CY105" i="14"/>
  <c r="AX186" i="14"/>
  <c r="E90" i="14"/>
  <c r="AO90" i="14"/>
  <c r="AO192" i="14"/>
  <c r="AO323" i="14"/>
  <c r="AO239" i="14"/>
  <c r="CG214" i="14"/>
  <c r="CG192" i="14"/>
  <c r="CG225" i="14"/>
  <c r="CG331" i="14"/>
  <c r="CG183" i="14"/>
  <c r="CY259" i="14"/>
  <c r="CY212" i="14"/>
  <c r="CY334" i="14"/>
  <c r="CY174" i="14"/>
  <c r="CY294" i="14"/>
  <c r="CY68" i="14"/>
  <c r="AX202" i="14"/>
  <c r="AX307" i="14"/>
  <c r="E314" i="14"/>
  <c r="CG199" i="14"/>
  <c r="CG320" i="14"/>
  <c r="CG357" i="14"/>
  <c r="CG121" i="14"/>
  <c r="CG305" i="14"/>
  <c r="CG68" i="14"/>
  <c r="CG162" i="14"/>
  <c r="CG348" i="14"/>
  <c r="CG149" i="14"/>
  <c r="CG194" i="14"/>
  <c r="CG119" i="14"/>
  <c r="CG207" i="14"/>
  <c r="CG227" i="14"/>
  <c r="CG347" i="14"/>
  <c r="CY225" i="14"/>
  <c r="CY320" i="14"/>
  <c r="CY240" i="14"/>
  <c r="CY71" i="14"/>
  <c r="CY310" i="14"/>
  <c r="CY364" i="14"/>
  <c r="AO164" i="14"/>
  <c r="AO241" i="14"/>
  <c r="AO160" i="14"/>
  <c r="CG276" i="14"/>
  <c r="CG235" i="14"/>
  <c r="CG285" i="14"/>
  <c r="CG86" i="14"/>
  <c r="CG138" i="14"/>
  <c r="CG100" i="14"/>
  <c r="CG261" i="14"/>
  <c r="CG325" i="14"/>
  <c r="CY271" i="14"/>
  <c r="E112" i="14"/>
  <c r="AO84" i="14"/>
  <c r="CY284" i="14"/>
  <c r="CY246" i="14"/>
  <c r="CY309" i="14"/>
  <c r="AX80" i="14"/>
  <c r="AX74" i="14"/>
  <c r="E227" i="14"/>
  <c r="E311" i="14"/>
  <c r="E308" i="14"/>
  <c r="N355" i="14"/>
  <c r="N326" i="14"/>
  <c r="N325" i="14"/>
  <c r="E101" i="14"/>
  <c r="N169" i="14"/>
  <c r="N290" i="14"/>
  <c r="N165" i="14"/>
  <c r="N321" i="14"/>
  <c r="N67" i="14"/>
  <c r="E197" i="14"/>
  <c r="E242" i="14"/>
  <c r="N293" i="14"/>
  <c r="N347" i="14"/>
  <c r="E218" i="14"/>
  <c r="N141" i="14"/>
  <c r="N94" i="14"/>
  <c r="E353" i="14"/>
  <c r="E269" i="14"/>
  <c r="N111" i="14"/>
  <c r="N164" i="14"/>
  <c r="N68" i="14"/>
  <c r="N359" i="14"/>
  <c r="CG344" i="14"/>
  <c r="CY186" i="14"/>
  <c r="CY84" i="14"/>
  <c r="CG113" i="14"/>
  <c r="CG252" i="14"/>
  <c r="CG307" i="14"/>
  <c r="CG329" i="14"/>
  <c r="CG120" i="14"/>
  <c r="CG91" i="14"/>
  <c r="CY341" i="14"/>
  <c r="CY256" i="14"/>
  <c r="CY236" i="14"/>
  <c r="CY252" i="14"/>
  <c r="AX359" i="14"/>
  <c r="E265" i="14"/>
  <c r="AO279" i="14"/>
  <c r="AO324" i="14"/>
  <c r="N162" i="14"/>
  <c r="N337" i="14"/>
  <c r="N159" i="14"/>
  <c r="N86" i="14"/>
  <c r="N143" i="14"/>
  <c r="N270" i="14"/>
  <c r="N335" i="14"/>
  <c r="N310" i="14"/>
  <c r="CY325" i="14"/>
  <c r="CY159" i="14"/>
  <c r="CY349" i="14"/>
  <c r="CY275" i="14"/>
  <c r="CY149" i="14"/>
  <c r="AO75" i="14"/>
  <c r="AO93" i="14"/>
  <c r="AO197" i="14"/>
  <c r="N322" i="14"/>
  <c r="N361" i="14"/>
  <c r="N91" i="14"/>
  <c r="N176" i="14"/>
  <c r="CG147" i="14"/>
  <c r="CY183" i="14"/>
  <c r="CG82" i="14"/>
  <c r="CG98" i="14"/>
  <c r="CG363" i="14"/>
  <c r="CY95" i="14"/>
  <c r="CY198" i="14"/>
  <c r="CY292" i="14"/>
  <c r="CY326" i="14"/>
  <c r="CY288" i="14"/>
  <c r="CY226" i="14"/>
  <c r="AX338" i="14"/>
  <c r="E117" i="14"/>
  <c r="E278" i="14"/>
  <c r="AO220" i="14"/>
  <c r="AO353" i="14"/>
  <c r="AO87" i="14"/>
  <c r="N309" i="14"/>
  <c r="N161" i="14"/>
  <c r="CG201" i="14"/>
  <c r="CG362" i="14"/>
  <c r="CG174" i="14"/>
  <c r="CG159" i="14"/>
  <c r="CG319" i="14"/>
  <c r="CY204" i="14"/>
  <c r="CY141" i="14"/>
  <c r="CY295" i="14"/>
  <c r="AO148" i="14"/>
  <c r="AO277" i="14"/>
  <c r="AO225" i="14"/>
  <c r="AO229" i="14"/>
  <c r="AO149" i="14"/>
  <c r="AO335" i="14"/>
  <c r="AO124" i="14"/>
  <c r="AO271" i="14"/>
  <c r="N352" i="14"/>
  <c r="N88" i="14"/>
  <c r="AX353" i="14"/>
  <c r="CG115" i="14"/>
  <c r="CG248" i="14"/>
  <c r="CG125" i="14"/>
  <c r="CG270" i="14"/>
  <c r="CY217" i="14"/>
  <c r="CY111" i="14"/>
  <c r="CY333" i="14"/>
  <c r="CY100" i="14"/>
  <c r="CY194" i="14"/>
  <c r="CY101" i="14"/>
  <c r="CY172" i="14"/>
  <c r="AO131" i="14"/>
  <c r="AO112" i="14"/>
  <c r="AO352" i="14"/>
  <c r="AO266" i="14"/>
  <c r="AO339" i="14"/>
  <c r="N222" i="14"/>
  <c r="N333" i="14"/>
  <c r="N101" i="14"/>
  <c r="AX273" i="14"/>
  <c r="CY98" i="14"/>
  <c r="CY265" i="14"/>
  <c r="CY142" i="14"/>
  <c r="E214" i="14"/>
  <c r="AO274" i="14"/>
  <c r="N298" i="14"/>
  <c r="CG188" i="14"/>
  <c r="CG152" i="14"/>
  <c r="CG240" i="14"/>
  <c r="CY272" i="14"/>
  <c r="CY67" i="14"/>
  <c r="AO252" i="14"/>
  <c r="N134" i="14"/>
  <c r="N348" i="14"/>
  <c r="CG83" i="14"/>
  <c r="CG160" i="14"/>
  <c r="CG167" i="14"/>
  <c r="CG291" i="14"/>
  <c r="CG96" i="14"/>
  <c r="CG241" i="14"/>
  <c r="CG78" i="14"/>
  <c r="CG126" i="14"/>
  <c r="CG273" i="14"/>
  <c r="CG298" i="14"/>
  <c r="CG139" i="14"/>
  <c r="CG245" i="14"/>
  <c r="CG284" i="14"/>
  <c r="CY332" i="14"/>
  <c r="E78" i="14"/>
  <c r="E321" i="14"/>
  <c r="E129" i="14"/>
  <c r="AO228" i="14"/>
  <c r="AO346" i="14"/>
  <c r="AO263" i="14"/>
  <c r="N258" i="14"/>
  <c r="CG187" i="14"/>
  <c r="CG304" i="14"/>
  <c r="CG251" i="14"/>
  <c r="CG361" i="14"/>
  <c r="CG75" i="14"/>
  <c r="CG237" i="14"/>
  <c r="CG337" i="14"/>
  <c r="CY81" i="14"/>
  <c r="CY254" i="14"/>
  <c r="CY286" i="14"/>
  <c r="CY185" i="14"/>
  <c r="CY222" i="14"/>
  <c r="CY266" i="14"/>
  <c r="CY182" i="14"/>
  <c r="CY255" i="14"/>
  <c r="CY119" i="14"/>
  <c r="CY200" i="14"/>
  <c r="AO265" i="14"/>
  <c r="AO94" i="14"/>
  <c r="AO68" i="14"/>
  <c r="AO183" i="14"/>
  <c r="AO315" i="14"/>
  <c r="AO99" i="14"/>
  <c r="AO91" i="14"/>
  <c r="AO318" i="14"/>
  <c r="AO198" i="14"/>
  <c r="AO193" i="14"/>
  <c r="AX103" i="14"/>
  <c r="CG341" i="14"/>
  <c r="CG106" i="14"/>
  <c r="CY139" i="14"/>
  <c r="CY301" i="14"/>
  <c r="CY279" i="14"/>
  <c r="CY296" i="14"/>
  <c r="CY307" i="14"/>
  <c r="CY304" i="14"/>
  <c r="N144" i="14"/>
  <c r="CG161" i="14"/>
  <c r="CG185" i="14"/>
  <c r="CG310" i="14"/>
  <c r="CG206" i="14"/>
  <c r="CG321" i="14"/>
  <c r="CG70" i="14"/>
  <c r="CG151" i="14"/>
  <c r="CG190" i="14"/>
  <c r="CG71" i="14"/>
  <c r="CG257" i="14"/>
  <c r="CG178" i="14"/>
  <c r="CG324" i="14"/>
  <c r="CG317" i="14"/>
  <c r="CY154" i="14"/>
  <c r="CY211" i="14"/>
  <c r="CY90" i="14"/>
  <c r="CY206" i="14"/>
  <c r="CY262" i="14"/>
  <c r="CY113" i="14"/>
  <c r="CY173" i="14"/>
  <c r="CY191" i="14"/>
  <c r="CY201" i="14"/>
  <c r="CY73" i="14"/>
  <c r="CY196" i="14"/>
  <c r="CY103" i="14"/>
  <c r="CY322" i="14"/>
  <c r="CY176" i="14"/>
  <c r="E290" i="14"/>
  <c r="AO109" i="14"/>
  <c r="AO344" i="14"/>
  <c r="AO83" i="14"/>
  <c r="AO128" i="14"/>
  <c r="AO276" i="14"/>
  <c r="N212" i="14"/>
  <c r="CG112" i="14"/>
  <c r="CG148" i="14"/>
  <c r="CG263" i="14"/>
  <c r="CG176" i="14"/>
  <c r="CG264" i="14"/>
  <c r="CG301" i="14"/>
  <c r="CG239" i="14"/>
  <c r="CY220" i="14"/>
  <c r="CY233" i="14"/>
  <c r="DJ64" i="14"/>
  <c r="AO221" i="14"/>
  <c r="AO288" i="14"/>
  <c r="AO123" i="14"/>
  <c r="AO269" i="14"/>
  <c r="AO101" i="14"/>
  <c r="AO127" i="14"/>
  <c r="AO362" i="14"/>
  <c r="AO348" i="14"/>
  <c r="N84" i="14"/>
  <c r="N85" i="14"/>
  <c r="N174" i="14"/>
  <c r="CG109" i="14"/>
  <c r="CY339" i="14"/>
  <c r="E122" i="14"/>
  <c r="E165" i="14"/>
  <c r="AO177" i="14"/>
  <c r="AO88" i="14"/>
  <c r="AO289" i="14"/>
  <c r="AO203" i="14"/>
  <c r="N219" i="14"/>
  <c r="CG99" i="14"/>
  <c r="CG134" i="14"/>
  <c r="CG260" i="14"/>
  <c r="CG72" i="14"/>
  <c r="CG133" i="14"/>
  <c r="CG279" i="14"/>
  <c r="CG73" i="14"/>
  <c r="CG349" i="14"/>
  <c r="CY180" i="14"/>
  <c r="CY277" i="14"/>
  <c r="CY354" i="14"/>
  <c r="CY140" i="14"/>
  <c r="CY243" i="14"/>
  <c r="CY303" i="14"/>
  <c r="CY94" i="14"/>
  <c r="CY264" i="14"/>
  <c r="CY315" i="14"/>
  <c r="CY216" i="14"/>
  <c r="CY75" i="14"/>
  <c r="CY104" i="14"/>
  <c r="CY96" i="14"/>
  <c r="CY66" i="14"/>
  <c r="CY263" i="14"/>
  <c r="CY321" i="14"/>
  <c r="AX304" i="14"/>
  <c r="E267" i="14"/>
  <c r="AO272" i="14"/>
  <c r="N265" i="14"/>
  <c r="N90" i="14"/>
  <c r="AX171" i="14"/>
  <c r="AX128" i="14"/>
  <c r="AX179" i="14"/>
  <c r="E98" i="14"/>
  <c r="E243" i="14"/>
  <c r="E346" i="14"/>
  <c r="E141" i="14"/>
  <c r="E198" i="14"/>
  <c r="E139" i="14"/>
  <c r="N100" i="14"/>
  <c r="N201" i="14"/>
  <c r="AX305" i="14"/>
  <c r="AX315" i="14"/>
  <c r="AX323" i="14"/>
  <c r="AX364" i="14"/>
  <c r="AX150" i="14"/>
  <c r="AX127" i="14"/>
  <c r="E155" i="14"/>
  <c r="E354" i="14"/>
  <c r="E281" i="14"/>
  <c r="E131" i="14"/>
  <c r="E179" i="14"/>
  <c r="N233" i="14"/>
  <c r="AX126" i="14"/>
  <c r="AX220" i="14"/>
  <c r="AX297" i="14"/>
  <c r="AX334" i="14"/>
  <c r="E188" i="14"/>
  <c r="E213" i="14"/>
  <c r="AX347" i="14"/>
  <c r="AX342" i="14"/>
  <c r="AX178" i="14"/>
  <c r="AX327" i="14"/>
  <c r="E271" i="14"/>
  <c r="E270" i="14"/>
  <c r="N125" i="14"/>
  <c r="AX166" i="14"/>
  <c r="AX198" i="14"/>
  <c r="AX343" i="14"/>
  <c r="E282" i="14"/>
  <c r="E312" i="14"/>
  <c r="E251" i="14"/>
  <c r="AX125" i="14"/>
  <c r="E160" i="14"/>
  <c r="E327" i="14"/>
  <c r="E76" i="14"/>
  <c r="E347" i="14"/>
  <c r="AX133" i="14"/>
  <c r="E126" i="14"/>
  <c r="E206" i="14"/>
  <c r="AX284" i="14"/>
  <c r="E92" i="14"/>
  <c r="E222" i="14"/>
  <c r="AX245" i="14"/>
  <c r="E250" i="14"/>
  <c r="AX252" i="14"/>
  <c r="AX275" i="14"/>
  <c r="AX362" i="14"/>
  <c r="AX317" i="14"/>
  <c r="AX332" i="14"/>
  <c r="E362" i="14"/>
  <c r="AX335" i="14"/>
  <c r="E180" i="14"/>
  <c r="E238" i="14"/>
  <c r="AX276" i="14"/>
  <c r="AX242" i="14"/>
  <c r="E148" i="14"/>
  <c r="N157" i="14"/>
  <c r="AX346" i="14"/>
  <c r="AX72" i="14"/>
  <c r="AX260" i="14"/>
  <c r="N227" i="14"/>
  <c r="AX358" i="14"/>
  <c r="AX148" i="14"/>
  <c r="E154" i="14"/>
  <c r="E286" i="14"/>
  <c r="E99" i="14"/>
  <c r="E310" i="14"/>
  <c r="AX289" i="14"/>
  <c r="AX341" i="14"/>
  <c r="E106" i="14"/>
  <c r="AX102" i="14"/>
  <c r="AX177" i="14"/>
  <c r="AX139" i="14"/>
  <c r="E195" i="14"/>
  <c r="AX191" i="14"/>
  <c r="AX142" i="14"/>
  <c r="E110" i="14"/>
  <c r="E315" i="14"/>
  <c r="N246" i="14"/>
  <c r="N99" i="14"/>
  <c r="N177" i="14"/>
  <c r="AX209" i="14"/>
  <c r="AX331" i="14"/>
  <c r="E256" i="14"/>
  <c r="N276" i="14"/>
  <c r="AX145" i="14"/>
  <c r="E143" i="14"/>
  <c r="N189" i="14"/>
  <c r="AX352" i="14"/>
  <c r="E221" i="14"/>
  <c r="E135" i="14"/>
  <c r="N338" i="14"/>
  <c r="N92" i="14"/>
  <c r="N108" i="14"/>
  <c r="AX163" i="14"/>
  <c r="AX218" i="14"/>
  <c r="E184" i="14"/>
  <c r="E320" i="14"/>
  <c r="E293" i="14"/>
  <c r="E196" i="14"/>
  <c r="N116" i="14"/>
  <c r="N66" i="14"/>
  <c r="N213" i="14"/>
  <c r="AX321" i="14"/>
  <c r="E275" i="14"/>
  <c r="N79" i="14"/>
  <c r="N186" i="14"/>
  <c r="N199" i="14"/>
  <c r="AX77" i="14"/>
  <c r="AX200" i="14"/>
  <c r="AX344" i="14"/>
  <c r="E204" i="14"/>
  <c r="E363" i="14"/>
  <c r="E324" i="14"/>
  <c r="N300" i="14"/>
  <c r="N138" i="14"/>
  <c r="N70" i="14"/>
  <c r="N211" i="14"/>
  <c r="N328" i="14"/>
  <c r="AX210" i="14"/>
  <c r="AX255" i="14"/>
  <c r="AX357" i="14"/>
  <c r="E241" i="14"/>
  <c r="E146" i="14"/>
  <c r="N129" i="14"/>
  <c r="N179" i="14"/>
  <c r="N273" i="14"/>
  <c r="N340" i="14"/>
  <c r="AX248" i="14"/>
  <c r="AX314" i="14"/>
  <c r="AX107" i="14"/>
  <c r="AX197" i="14"/>
  <c r="AX100" i="14"/>
  <c r="N82" i="14"/>
  <c r="N344" i="14"/>
  <c r="AX146" i="14"/>
  <c r="E161" i="14"/>
  <c r="E74" i="14"/>
  <c r="N87" i="14"/>
  <c r="N354" i="14"/>
  <c r="Y64" i="14"/>
  <c r="AX164" i="14"/>
  <c r="AX230" i="14"/>
  <c r="AX246" i="14"/>
  <c r="E127" i="14"/>
  <c r="E116" i="14"/>
  <c r="E115" i="14"/>
  <c r="E232" i="14"/>
  <c r="AX257" i="14"/>
  <c r="E193" i="14"/>
  <c r="E303" i="14"/>
  <c r="N114" i="14"/>
  <c r="N334" i="14"/>
  <c r="AX121" i="14"/>
  <c r="E336" i="14"/>
  <c r="E291" i="14"/>
  <c r="E172" i="14"/>
  <c r="E316" i="14"/>
  <c r="N109" i="14"/>
  <c r="N259" i="14"/>
  <c r="N315" i="14"/>
  <c r="N170" i="14"/>
  <c r="AX311" i="14"/>
  <c r="AX158" i="14"/>
  <c r="E121" i="14"/>
  <c r="E337" i="14"/>
  <c r="AX201" i="14"/>
  <c r="AX130" i="14"/>
  <c r="AX115" i="14"/>
  <c r="AX351" i="14"/>
  <c r="AX227" i="14"/>
  <c r="E118" i="14"/>
  <c r="N112" i="14"/>
  <c r="N147" i="14"/>
  <c r="N256" i="14"/>
  <c r="AX117" i="14"/>
  <c r="AX345" i="14"/>
  <c r="AX292" i="14"/>
  <c r="AX350" i="14"/>
  <c r="E96" i="14"/>
  <c r="E225" i="14"/>
  <c r="N69" i="14"/>
  <c r="N203" i="14"/>
  <c r="AX235" i="14"/>
  <c r="AX356" i="14"/>
  <c r="E284" i="14"/>
  <c r="E95" i="14"/>
  <c r="E159" i="14"/>
  <c r="E200" i="14"/>
  <c r="N228" i="14"/>
  <c r="N248" i="14"/>
  <c r="N229" i="14"/>
  <c r="N235" i="14"/>
  <c r="N200" i="14"/>
  <c r="N237" i="14"/>
  <c r="AX329" i="14"/>
  <c r="AX265" i="14"/>
  <c r="N312" i="14"/>
  <c r="N215" i="14"/>
  <c r="AX93" i="14"/>
  <c r="AX76" i="14"/>
  <c r="AX241" i="14"/>
  <c r="E145" i="14"/>
  <c r="E170" i="14"/>
  <c r="E289" i="14"/>
  <c r="N262" i="14"/>
  <c r="N113" i="14"/>
  <c r="N167" i="14"/>
  <c r="N249" i="14"/>
  <c r="AX172" i="14"/>
  <c r="N250" i="14"/>
  <c r="N286" i="14"/>
  <c r="N339" i="14"/>
  <c r="N261" i="14"/>
  <c r="N205" i="14"/>
  <c r="N202" i="14"/>
  <c r="AX288" i="14"/>
  <c r="AX337" i="14"/>
  <c r="AX328" i="14"/>
  <c r="E231" i="14"/>
  <c r="E342" i="14"/>
  <c r="E301" i="14"/>
  <c r="E239" i="14"/>
  <c r="E150" i="14"/>
  <c r="N83" i="14"/>
  <c r="N97" i="14"/>
  <c r="N314" i="14"/>
  <c r="N327" i="14"/>
  <c r="N106" i="14"/>
  <c r="N198" i="14"/>
  <c r="N272" i="14"/>
  <c r="N140" i="14"/>
  <c r="N363" i="14"/>
  <c r="AX94" i="14"/>
  <c r="AX99" i="14"/>
  <c r="AX295" i="14"/>
  <c r="AX324" i="14"/>
  <c r="E279" i="14"/>
  <c r="E132" i="14"/>
  <c r="E91" i="14"/>
  <c r="E123" i="14"/>
  <c r="E340" i="14"/>
  <c r="E257" i="14"/>
  <c r="E219" i="14"/>
  <c r="N281" i="14"/>
  <c r="N115" i="14"/>
  <c r="N208" i="14"/>
  <c r="N234" i="14"/>
  <c r="N317" i="14"/>
  <c r="N132" i="14"/>
  <c r="AX113" i="14"/>
  <c r="AX325" i="14"/>
  <c r="AX296" i="14"/>
  <c r="AX193" i="14"/>
  <c r="AX231" i="14"/>
  <c r="AX253" i="14"/>
  <c r="AX286" i="14"/>
  <c r="AX263" i="14"/>
  <c r="AX157" i="14"/>
  <c r="E254" i="14"/>
  <c r="E296" i="14"/>
  <c r="E174" i="14"/>
  <c r="E253" i="14"/>
  <c r="N172" i="14"/>
  <c r="N120" i="14"/>
  <c r="AX135" i="14"/>
  <c r="AX137" i="14"/>
  <c r="AX224" i="14"/>
  <c r="N81" i="14"/>
  <c r="N197" i="14"/>
  <c r="N102" i="14"/>
  <c r="E134" i="14"/>
  <c r="E328" i="14"/>
  <c r="E230" i="14"/>
  <c r="E226" i="14"/>
  <c r="E156" i="14"/>
  <c r="E283" i="14"/>
  <c r="E297" i="14"/>
  <c r="E339" i="14"/>
  <c r="N263" i="14"/>
  <c r="N80" i="14"/>
  <c r="AX116" i="14"/>
  <c r="AX112" i="14"/>
  <c r="AX109" i="14"/>
  <c r="AX247" i="14"/>
  <c r="E102" i="14"/>
  <c r="E163" i="14"/>
  <c r="E209" i="14"/>
  <c r="E190" i="14"/>
  <c r="E302" i="14"/>
  <c r="N209" i="14"/>
  <c r="N319" i="14"/>
  <c r="N98" i="14"/>
  <c r="N336" i="14"/>
  <c r="N360" i="14"/>
  <c r="N104" i="14"/>
  <c r="N244" i="14"/>
  <c r="AX68" i="14"/>
  <c r="AX90" i="14"/>
  <c r="AX170" i="14"/>
  <c r="AX267" i="14"/>
  <c r="AX147" i="14"/>
  <c r="AX282" i="14"/>
  <c r="E113" i="14"/>
  <c r="E313" i="14"/>
  <c r="E274" i="14"/>
  <c r="AX222" i="14"/>
  <c r="AX136" i="14"/>
  <c r="AX120" i="14"/>
  <c r="AX298" i="14"/>
  <c r="AX87" i="14"/>
  <c r="AX138" i="14"/>
  <c r="AX162" i="14"/>
  <c r="AX187" i="14"/>
  <c r="AX232" i="14"/>
  <c r="AX293" i="14"/>
  <c r="AX66" i="14"/>
  <c r="AX183" i="14"/>
  <c r="AX240" i="14"/>
  <c r="AX339" i="14"/>
  <c r="BN364" i="14"/>
  <c r="BN360" i="14"/>
  <c r="BN350" i="14"/>
  <c r="BM351" i="14"/>
  <c r="BN345" i="14"/>
  <c r="BN337" i="14"/>
  <c r="BM340" i="14"/>
  <c r="BN329" i="14"/>
  <c r="BM330" i="14"/>
  <c r="BM341" i="14"/>
  <c r="BN332" i="14"/>
  <c r="BM318" i="14"/>
  <c r="BN331" i="14"/>
  <c r="BN305" i="14"/>
  <c r="BM320" i="14"/>
  <c r="BM307" i="14"/>
  <c r="BM302" i="14"/>
  <c r="BM296" i="14"/>
  <c r="BN277" i="14"/>
  <c r="BN290" i="14"/>
  <c r="BN280" i="14"/>
  <c r="BN294" i="14"/>
  <c r="BN265" i="14"/>
  <c r="BM261" i="14"/>
  <c r="BN266" i="14"/>
  <c r="BM264" i="14"/>
  <c r="BN248" i="14"/>
  <c r="BN250" i="14"/>
  <c r="BM250" i="14"/>
  <c r="BN245" i="14"/>
  <c r="BM234" i="14"/>
  <c r="BN227" i="14"/>
  <c r="BM243" i="14"/>
  <c r="BM231" i="14"/>
  <c r="BN219" i="14"/>
  <c r="BM222" i="14"/>
  <c r="BN226" i="14"/>
  <c r="BN212" i="14"/>
  <c r="BN199" i="14"/>
  <c r="BM205" i="14"/>
  <c r="BN208" i="14"/>
  <c r="BM208" i="14"/>
  <c r="BN185" i="14"/>
  <c r="BN178" i="14"/>
  <c r="BN187" i="14"/>
  <c r="BN188" i="14"/>
  <c r="BM180" i="14"/>
  <c r="BN168" i="14"/>
  <c r="BN190" i="14"/>
  <c r="BN157" i="14"/>
  <c r="BM161" i="14"/>
  <c r="BM145" i="14"/>
  <c r="BN150" i="14"/>
  <c r="BM152" i="14"/>
  <c r="BM163" i="14"/>
  <c r="BN141" i="14"/>
  <c r="BM141" i="14"/>
  <c r="BN113" i="14"/>
  <c r="BN97" i="14"/>
  <c r="BN119" i="14"/>
  <c r="BM99" i="14"/>
  <c r="BN118" i="14"/>
  <c r="BM117" i="14"/>
  <c r="BM116" i="14"/>
  <c r="BN102" i="14"/>
  <c r="BM114" i="14"/>
  <c r="BM98" i="14"/>
  <c r="BM89" i="14"/>
  <c r="BN88" i="14"/>
  <c r="BN68" i="14"/>
  <c r="BM76" i="14"/>
  <c r="BN83" i="14"/>
  <c r="BN86" i="14"/>
  <c r="BM94" i="14"/>
  <c r="BM69" i="14"/>
  <c r="BM361" i="14"/>
  <c r="BN359" i="14"/>
  <c r="BM355" i="14"/>
  <c r="BM346" i="14"/>
  <c r="BN343" i="14"/>
  <c r="BM336" i="14"/>
  <c r="BM339" i="14"/>
  <c r="BM328" i="14"/>
  <c r="BM334" i="14"/>
  <c r="BN321" i="14"/>
  <c r="BN325" i="14"/>
  <c r="BN317" i="14"/>
  <c r="BM326" i="14"/>
  <c r="BN306" i="14"/>
  <c r="BN307" i="14"/>
  <c r="BM314" i="14"/>
  <c r="BM300" i="14"/>
  <c r="BM295" i="14"/>
  <c r="BN289" i="14"/>
  <c r="BM289" i="14"/>
  <c r="BN278" i="14"/>
  <c r="BM293" i="14"/>
  <c r="BN263" i="14"/>
  <c r="BN271" i="14"/>
  <c r="BN264" i="14"/>
  <c r="BM262" i="14"/>
  <c r="BN246" i="14"/>
  <c r="BM248" i="14"/>
  <c r="BM260" i="14"/>
  <c r="BN243" i="14"/>
  <c r="BM233" i="14"/>
  <c r="BM220" i="14"/>
  <c r="BN231" i="14"/>
  <c r="BN228" i="14"/>
  <c r="BM245" i="14"/>
  <c r="BM219" i="14"/>
  <c r="BN223" i="14"/>
  <c r="BN211" i="14"/>
  <c r="BN197" i="14"/>
  <c r="BM203" i="14"/>
  <c r="BN206" i="14"/>
  <c r="BM206" i="14"/>
  <c r="BM184" i="14"/>
  <c r="BM177" i="14"/>
  <c r="BM186" i="14"/>
  <c r="BM187" i="14"/>
  <c r="BM176" i="14"/>
  <c r="BM191" i="14"/>
  <c r="BN184" i="14"/>
  <c r="BN155" i="14"/>
  <c r="BM159" i="14"/>
  <c r="BM167" i="14"/>
  <c r="BN148" i="14"/>
  <c r="BM150" i="14"/>
  <c r="BN165" i="14"/>
  <c r="BM137" i="14"/>
  <c r="BN136" i="14"/>
  <c r="BN111" i="14"/>
  <c r="BM143" i="14"/>
  <c r="BM113" i="14"/>
  <c r="BN146" i="14"/>
  <c r="BN117" i="14"/>
  <c r="BN116" i="14"/>
  <c r="BM115" i="14"/>
  <c r="BN100" i="14"/>
  <c r="BM112" i="14"/>
  <c r="BN93" i="14"/>
  <c r="BM85" i="14"/>
  <c r="BN84" i="14"/>
  <c r="BM65" i="14"/>
  <c r="BM74" i="14"/>
  <c r="BM97" i="14"/>
  <c r="BO97" i="14"/>
  <c r="BN82" i="14"/>
  <c r="BM90" i="14"/>
  <c r="BM67" i="14"/>
  <c r="BN363" i="14"/>
  <c r="BM353" i="14"/>
  <c r="BN358" i="14"/>
  <c r="BM354" i="14"/>
  <c r="BM344" i="14"/>
  <c r="BN341" i="14"/>
  <c r="BM337" i="14"/>
  <c r="BN338" i="14"/>
  <c r="BM327" i="14"/>
  <c r="BN326" i="14"/>
  <c r="BN316" i="14"/>
  <c r="BM311" i="14"/>
  <c r="BN312" i="14"/>
  <c r="BN314" i="14"/>
  <c r="BM305" i="14"/>
  <c r="BM306" i="14"/>
  <c r="BN304" i="14"/>
  <c r="BM298" i="14"/>
  <c r="BN288" i="14"/>
  <c r="BM288" i="14"/>
  <c r="BM285" i="14"/>
  <c r="BN276" i="14"/>
  <c r="BN286" i="14"/>
  <c r="BN261" i="14"/>
  <c r="BM270" i="14"/>
  <c r="BN262" i="14"/>
  <c r="BN256" i="14"/>
  <c r="BN244" i="14"/>
  <c r="BM246" i="14"/>
  <c r="BN253" i="14"/>
  <c r="BN241" i="14"/>
  <c r="BM226" i="14"/>
  <c r="BM217" i="14"/>
  <c r="BM224" i="14"/>
  <c r="BN225" i="14"/>
  <c r="BM240" i="14"/>
  <c r="BN216" i="14"/>
  <c r="BM216" i="14"/>
  <c r="BM210" i="14"/>
  <c r="BN195" i="14"/>
  <c r="BM201" i="14"/>
  <c r="BN204" i="14"/>
  <c r="BM204" i="14"/>
  <c r="BN177" i="14"/>
  <c r="BM175" i="14"/>
  <c r="BN179" i="14"/>
  <c r="BN180" i="14"/>
  <c r="BM194" i="14"/>
  <c r="BN183" i="14"/>
  <c r="BM183" i="14"/>
  <c r="BN153" i="14"/>
  <c r="BM157" i="14"/>
  <c r="BN162" i="14"/>
  <c r="BN163" i="14"/>
  <c r="BM148" i="14"/>
  <c r="BM164" i="14"/>
  <c r="BM133" i="14"/>
  <c r="BN132" i="14"/>
  <c r="BN109" i="14"/>
  <c r="BM136" i="14"/>
  <c r="BM111" i="14"/>
  <c r="BN139" i="14"/>
  <c r="BN140" i="14"/>
  <c r="BN115" i="14"/>
  <c r="BN114" i="14"/>
  <c r="BN98" i="14"/>
  <c r="BM110" i="14"/>
  <c r="BN89" i="14"/>
  <c r="BM81" i="14"/>
  <c r="BN80" i="14"/>
  <c r="BM96" i="14"/>
  <c r="BM72" i="14"/>
  <c r="BM95" i="14"/>
  <c r="BN77" i="14"/>
  <c r="BM86" i="14"/>
  <c r="BN361" i="14"/>
  <c r="BN352" i="14"/>
  <c r="BN362" i="14"/>
  <c r="BM356" i="14"/>
  <c r="BM342" i="14"/>
  <c r="BM348" i="14"/>
  <c r="BN335" i="14"/>
  <c r="BM350" i="14"/>
  <c r="BM325" i="14"/>
  <c r="BN324" i="14"/>
  <c r="BM315" i="14"/>
  <c r="BM309" i="14"/>
  <c r="BM324" i="14"/>
  <c r="BM313" i="14"/>
  <c r="BN303" i="14"/>
  <c r="BM303" i="14"/>
  <c r="BN302" i="14"/>
  <c r="BN296" i="14"/>
  <c r="BM287" i="14"/>
  <c r="BN285" i="14"/>
  <c r="BN291" i="14"/>
  <c r="BN293" i="14"/>
  <c r="BN275" i="14"/>
  <c r="BN270" i="14"/>
  <c r="BN272" i="14"/>
  <c r="BM276" i="14"/>
  <c r="BM255" i="14"/>
  <c r="BN242" i="14"/>
  <c r="BM244" i="14"/>
  <c r="BM252" i="14"/>
  <c r="BN239" i="14"/>
  <c r="BM223" i="14"/>
  <c r="BM254" i="14"/>
  <c r="BM221" i="14"/>
  <c r="BN255" i="14"/>
  <c r="BM238" i="14"/>
  <c r="BM236" i="14"/>
  <c r="BN214" i="14"/>
  <c r="BN209" i="14"/>
  <c r="BM213" i="14"/>
  <c r="BM199" i="14"/>
  <c r="BN202" i="14"/>
  <c r="BM202" i="14"/>
  <c r="BN175" i="14"/>
  <c r="BN173" i="14"/>
  <c r="BM178" i="14"/>
  <c r="BM179" i="14"/>
  <c r="BN191" i="14"/>
  <c r="BM182" i="14"/>
  <c r="BM174" i="14"/>
  <c r="BN151" i="14"/>
  <c r="BM155" i="14"/>
  <c r="BO155" i="14"/>
  <c r="BN160" i="14"/>
  <c r="BM162" i="14"/>
  <c r="BM146" i="14"/>
  <c r="BO146" i="14"/>
  <c r="BN137" i="14"/>
  <c r="BM129" i="14"/>
  <c r="BN128" i="14"/>
  <c r="BN107" i="14"/>
  <c r="BM132" i="14"/>
  <c r="BM109" i="14"/>
  <c r="BN135" i="14"/>
  <c r="BM139" i="14"/>
  <c r="BN142" i="14"/>
  <c r="BN112" i="14"/>
  <c r="BN144" i="14"/>
  <c r="BM108" i="14"/>
  <c r="BN85" i="14"/>
  <c r="BM79" i="14"/>
  <c r="BN78" i="14"/>
  <c r="BM92" i="14"/>
  <c r="BM70" i="14"/>
  <c r="BM91" i="14"/>
  <c r="BN75" i="14"/>
  <c r="BM82" i="14"/>
  <c r="BO82" i="14"/>
  <c r="BM364" i="14"/>
  <c r="BN351" i="14"/>
  <c r="BM359" i="14"/>
  <c r="BN354" i="14"/>
  <c r="BM349" i="14"/>
  <c r="BM345" i="14"/>
  <c r="BN333" i="14"/>
  <c r="BN347" i="14"/>
  <c r="BM323" i="14"/>
  <c r="BN322" i="14"/>
  <c r="BN323" i="14"/>
  <c r="BN327" i="14"/>
  <c r="BM317" i="14"/>
  <c r="BM310" i="14"/>
  <c r="BN301" i="14"/>
  <c r="BM301" i="14"/>
  <c r="BN300" i="14"/>
  <c r="BM294" i="14"/>
  <c r="BM284" i="14"/>
  <c r="BM283" i="14"/>
  <c r="BM290" i="14"/>
  <c r="BM292" i="14"/>
  <c r="BM274" i="14"/>
  <c r="BM269" i="14"/>
  <c r="BM271" i="14"/>
  <c r="BN274" i="14"/>
  <c r="BN257" i="14"/>
  <c r="BN240" i="14"/>
  <c r="BN260" i="14"/>
  <c r="BN254" i="14"/>
  <c r="BN237" i="14"/>
  <c r="BN220" i="14"/>
  <c r="BM230" i="14"/>
  <c r="BN218" i="14"/>
  <c r="BN238" i="14"/>
  <c r="BM237" i="14"/>
  <c r="BM235" i="14"/>
  <c r="BM215" i="14"/>
  <c r="BN207" i="14"/>
  <c r="BM212" i="14"/>
  <c r="BM197" i="14"/>
  <c r="BN200" i="14"/>
  <c r="BM200" i="14"/>
  <c r="BN193" i="14"/>
  <c r="BN171" i="14"/>
  <c r="BM173" i="14"/>
  <c r="BN176" i="14"/>
  <c r="BN182" i="14"/>
  <c r="BN174" i="14"/>
  <c r="BN166" i="14"/>
  <c r="BN149" i="14"/>
  <c r="BM153" i="14"/>
  <c r="BN158" i="14"/>
  <c r="BM160" i="14"/>
  <c r="BM144" i="14"/>
  <c r="BO144" i="14"/>
  <c r="BN133" i="14"/>
  <c r="BM125" i="14"/>
  <c r="BM124" i="14"/>
  <c r="BN105" i="14"/>
  <c r="BM128" i="14"/>
  <c r="BM107" i="14"/>
  <c r="BN131" i="14"/>
  <c r="BM135" i="14"/>
  <c r="BN138" i="14"/>
  <c r="BN110" i="14"/>
  <c r="BM138" i="14"/>
  <c r="BM106" i="14"/>
  <c r="BN81" i="14"/>
  <c r="BM66" i="14"/>
  <c r="BN76" i="14"/>
  <c r="BM88" i="14"/>
  <c r="BM68" i="14"/>
  <c r="BM87" i="14"/>
  <c r="BN73" i="14"/>
  <c r="BM77" i="14"/>
  <c r="BM362" i="14"/>
  <c r="BN349" i="14"/>
  <c r="BM358" i="14"/>
  <c r="BN346" i="14"/>
  <c r="BM357" i="14"/>
  <c r="BM343" i="14"/>
  <c r="BN340" i="14"/>
  <c r="BN334" i="14"/>
  <c r="BM321" i="14"/>
  <c r="BN320" i="14"/>
  <c r="BM316" i="14"/>
  <c r="BN328" i="14"/>
  <c r="BN313" i="14"/>
  <c r="BM308" i="14"/>
  <c r="BN299" i="14"/>
  <c r="BM299" i="14"/>
  <c r="BN298" i="14"/>
  <c r="BN287" i="14"/>
  <c r="BN283" i="14"/>
  <c r="BM281" i="14"/>
  <c r="BN292" i="14"/>
  <c r="BM282" i="14"/>
  <c r="BM275" i="14"/>
  <c r="BM267" i="14"/>
  <c r="BN273" i="14"/>
  <c r="BM273" i="14"/>
  <c r="BM256" i="14"/>
  <c r="BN259" i="14"/>
  <c r="BM259" i="14"/>
  <c r="BM253" i="14"/>
  <c r="BN235" i="14"/>
  <c r="BM247" i="14"/>
  <c r="BM227" i="14"/>
  <c r="BO227" i="14"/>
  <c r="BN215" i="14"/>
  <c r="BM228" i="14"/>
  <c r="BN236" i="14"/>
  <c r="BN234" i="14"/>
  <c r="BN217" i="14"/>
  <c r="BN205" i="14"/>
  <c r="BM211" i="14"/>
  <c r="BM195" i="14"/>
  <c r="BN198" i="14"/>
  <c r="BM198" i="14"/>
  <c r="BN189" i="14"/>
  <c r="BN169" i="14"/>
  <c r="BM171" i="14"/>
  <c r="BM192" i="14"/>
  <c r="BM181" i="14"/>
  <c r="BM172" i="14"/>
  <c r="BM165" i="14"/>
  <c r="BN147" i="14"/>
  <c r="BM151" i="14"/>
  <c r="BN156" i="14"/>
  <c r="BM158" i="14"/>
  <c r="BM142" i="14"/>
  <c r="BM360" i="14"/>
  <c r="BM363" i="14"/>
  <c r="BN357" i="14"/>
  <c r="BN344" i="14"/>
  <c r="BN355" i="14"/>
  <c r="BM347" i="14"/>
  <c r="BO347" i="14"/>
  <c r="BN339" i="14"/>
  <c r="BM333" i="14"/>
  <c r="BN330" i="14"/>
  <c r="BM332" i="14"/>
  <c r="BN311" i="14"/>
  <c r="BM322" i="14"/>
  <c r="BM312" i="14"/>
  <c r="BO312" i="14"/>
  <c r="BN319" i="14"/>
  <c r="BN297" i="14"/>
  <c r="BM297" i="14"/>
  <c r="BN308" i="14"/>
  <c r="BM286" i="14"/>
  <c r="BN281" i="14"/>
  <c r="BM279" i="14"/>
  <c r="BM291" i="14"/>
  <c r="BM280" i="14"/>
  <c r="BN269" i="14"/>
  <c r="BM265" i="14"/>
  <c r="BM272" i="14"/>
  <c r="BM268" i="14"/>
  <c r="BN258" i="14"/>
  <c r="BM258" i="14"/>
  <c r="BN252" i="14"/>
  <c r="BN249" i="14"/>
  <c r="BN233" i="14"/>
  <c r="BM241" i="14"/>
  <c r="BN224" i="14"/>
  <c r="BM249" i="14"/>
  <c r="BM225" i="14"/>
  <c r="BO225" i="14"/>
  <c r="BN232" i="14"/>
  <c r="BM232" i="14"/>
  <c r="BN210" i="14"/>
  <c r="BN203" i="14"/>
  <c r="BM209" i="14"/>
  <c r="BM214" i="14"/>
  <c r="BO214" i="14"/>
  <c r="BN196" i="14"/>
  <c r="BM196" i="14"/>
  <c r="BN186" i="14"/>
  <c r="BM193" i="14"/>
  <c r="BM169" i="14"/>
  <c r="BM188" i="14"/>
  <c r="BN172" i="14"/>
  <c r="BM170" i="14"/>
  <c r="BN161" i="14"/>
  <c r="BN167" i="14"/>
  <c r="BM149" i="14"/>
  <c r="BN154" i="14"/>
  <c r="BM156" i="14"/>
  <c r="BM140" i="14"/>
  <c r="BO140" i="14"/>
  <c r="BN125" i="14"/>
  <c r="BN123" i="14"/>
  <c r="BN122" i="14"/>
  <c r="BN101" i="14"/>
  <c r="BM121" i="14"/>
  <c r="BM103" i="14"/>
  <c r="BM120" i="14"/>
  <c r="BM127" i="14"/>
  <c r="BN130" i="14"/>
  <c r="BN106" i="14"/>
  <c r="BM130" i="14"/>
  <c r="BM102" i="14"/>
  <c r="BO102" i="14"/>
  <c r="BN66" i="14"/>
  <c r="BN96" i="14"/>
  <c r="BN72" i="14"/>
  <c r="BM80" i="14"/>
  <c r="BN91" i="14"/>
  <c r="BN94" i="14"/>
  <c r="BN69" i="14"/>
  <c r="BM73" i="14"/>
  <c r="BN353" i="14"/>
  <c r="BM352" i="14"/>
  <c r="BO352" i="14"/>
  <c r="BN356" i="14"/>
  <c r="BN342" i="14"/>
  <c r="BN348" i="14"/>
  <c r="BN336" i="14"/>
  <c r="BM335" i="14"/>
  <c r="BO335" i="14"/>
  <c r="BM338" i="14"/>
  <c r="BM329" i="14"/>
  <c r="BM331" i="14"/>
  <c r="BN309" i="14"/>
  <c r="BM319" i="14"/>
  <c r="BN310" i="14"/>
  <c r="BN318" i="14"/>
  <c r="BN295" i="14"/>
  <c r="BN315" i="14"/>
  <c r="BM304" i="14"/>
  <c r="BN284" i="14"/>
  <c r="BN279" i="14"/>
  <c r="BM277" i="14"/>
  <c r="BN282" i="14"/>
  <c r="BM278" i="14"/>
  <c r="BN267" i="14"/>
  <c r="BM263" i="14"/>
  <c r="BN268" i="14"/>
  <c r="BM266" i="14"/>
  <c r="BM257" i="14"/>
  <c r="BN251" i="14"/>
  <c r="BM251" i="14"/>
  <c r="BN247" i="14"/>
  <c r="BM239" i="14"/>
  <c r="BO239" i="14"/>
  <c r="BN230" i="14"/>
  <c r="BN221" i="14"/>
  <c r="BM242" i="14"/>
  <c r="BN222" i="14"/>
  <c r="BN229" i="14"/>
  <c r="BM229" i="14"/>
  <c r="BN213" i="14"/>
  <c r="BN201" i="14"/>
  <c r="BM207" i="14"/>
  <c r="BM218" i="14"/>
  <c r="BN194" i="14"/>
  <c r="BM190" i="14"/>
  <c r="BM185" i="14"/>
  <c r="BM189" i="14"/>
  <c r="BN192" i="14"/>
  <c r="BN181" i="14"/>
  <c r="BN170" i="14"/>
  <c r="BM168" i="14"/>
  <c r="BN159" i="14"/>
  <c r="BM166" i="14"/>
  <c r="BM147" i="14"/>
  <c r="BN152" i="14"/>
  <c r="BM154" i="14"/>
  <c r="BN164" i="14"/>
  <c r="BN145" i="14"/>
  <c r="BN143" i="14"/>
  <c r="BN121" i="14"/>
  <c r="BN99" i="14"/>
  <c r="BN120" i="14"/>
  <c r="BM101" i="14"/>
  <c r="BM119" i="14"/>
  <c r="BM118" i="14"/>
  <c r="BN126" i="14"/>
  <c r="BN104" i="14"/>
  <c r="BM126" i="14"/>
  <c r="BM100" i="14"/>
  <c r="BO100" i="14"/>
  <c r="BM93" i="14"/>
  <c r="BN92" i="14"/>
  <c r="BN70" i="14"/>
  <c r="BM78" i="14"/>
  <c r="BN87" i="14"/>
  <c r="BN90" i="14"/>
  <c r="BN67" i="14"/>
  <c r="BM71" i="14"/>
  <c r="BN127" i="14"/>
  <c r="BN74" i="14"/>
  <c r="BM131" i="14"/>
  <c r="BM84" i="14"/>
  <c r="BO84" i="14"/>
  <c r="BN129" i="14"/>
  <c r="BN134" i="14"/>
  <c r="BN95" i="14"/>
  <c r="BN124" i="14"/>
  <c r="BN108" i="14"/>
  <c r="BM83" i="14"/>
  <c r="BM123" i="14"/>
  <c r="BM134" i="14"/>
  <c r="BN71" i="14"/>
  <c r="BN103" i="14"/>
  <c r="BM104" i="14"/>
  <c r="BM75" i="14"/>
  <c r="BM122" i="14"/>
  <c r="BN79" i="14"/>
  <c r="BM105" i="14"/>
  <c r="BO105" i="14"/>
  <c r="BN65" i="14"/>
  <c r="E192" i="14"/>
  <c r="E348" i="14"/>
  <c r="E229" i="14"/>
  <c r="E85" i="14"/>
  <c r="E107" i="14"/>
  <c r="E201" i="14"/>
  <c r="E77" i="14"/>
  <c r="E151" i="14"/>
  <c r="E191" i="14"/>
  <c r="E288" i="14"/>
  <c r="E79" i="14"/>
  <c r="E299" i="14"/>
  <c r="E356" i="14"/>
  <c r="AO144" i="14"/>
  <c r="AO201" i="14"/>
  <c r="AO86" i="14"/>
  <c r="AO190" i="14"/>
  <c r="AO216" i="14"/>
  <c r="AO307" i="14"/>
  <c r="AO79" i="14"/>
  <c r="AO98" i="14"/>
  <c r="AO172" i="14"/>
  <c r="AO285" i="14"/>
  <c r="AO309" i="14"/>
  <c r="AO142" i="14"/>
  <c r="AO152" i="14"/>
  <c r="AO236" i="14"/>
  <c r="AO280" i="14"/>
  <c r="AO179" i="14"/>
  <c r="AO215" i="14"/>
  <c r="AO209" i="14"/>
  <c r="AO294" i="14"/>
  <c r="AO359" i="14"/>
  <c r="N311" i="14"/>
  <c r="N133" i="14"/>
  <c r="N224" i="14"/>
  <c r="N266" i="14"/>
  <c r="N65" i="14"/>
  <c r="O65" i="14"/>
  <c r="O66" i="14"/>
  <c r="O67" i="14"/>
  <c r="O68" i="14"/>
  <c r="O69" i="14"/>
  <c r="O70" i="14"/>
  <c r="O71" i="14"/>
  <c r="O72" i="14"/>
  <c r="O73" i="14"/>
  <c r="O74" i="14"/>
  <c r="O75" i="14"/>
  <c r="O76" i="14"/>
  <c r="O77" i="14"/>
  <c r="O78" i="14"/>
  <c r="O79" i="14"/>
  <c r="O80" i="14"/>
  <c r="O81" i="14"/>
  <c r="O82" i="14"/>
  <c r="O83" i="14"/>
  <c r="O84" i="14"/>
  <c r="O85" i="14"/>
  <c r="O86" i="14"/>
  <c r="O87" i="14"/>
  <c r="O88" i="14"/>
  <c r="O89" i="14"/>
  <c r="O90" i="14"/>
  <c r="O91" i="14"/>
  <c r="O92" i="14"/>
  <c r="O93" i="14"/>
  <c r="O94" i="14"/>
  <c r="O95" i="14"/>
  <c r="O96" i="14"/>
  <c r="O97" i="14"/>
  <c r="O98" i="14"/>
  <c r="O99" i="14"/>
  <c r="O100" i="14"/>
  <c r="O101" i="14"/>
  <c r="O102" i="14"/>
  <c r="O103" i="14"/>
  <c r="O104" i="14"/>
  <c r="O105" i="14"/>
  <c r="O106" i="14"/>
  <c r="O107" i="14"/>
  <c r="O108" i="14"/>
  <c r="O109" i="14"/>
  <c r="O110" i="14"/>
  <c r="O111" i="14"/>
  <c r="O112" i="14"/>
  <c r="O113" i="14"/>
  <c r="O114" i="14"/>
  <c r="O115" i="14"/>
  <c r="O116" i="14"/>
  <c r="O117" i="14"/>
  <c r="O118" i="14"/>
  <c r="O119" i="14"/>
  <c r="O120" i="14"/>
  <c r="O121" i="14"/>
  <c r="O122" i="14"/>
  <c r="O123" i="14"/>
  <c r="O124" i="14"/>
  <c r="O125" i="14"/>
  <c r="O126" i="14"/>
  <c r="O127" i="14"/>
  <c r="O128" i="14"/>
  <c r="O129" i="14"/>
  <c r="O130" i="14"/>
  <c r="O131" i="14"/>
  <c r="O132" i="14"/>
  <c r="O133" i="14"/>
  <c r="O134" i="14"/>
  <c r="O135" i="14"/>
  <c r="O136" i="14"/>
  <c r="O137" i="14"/>
  <c r="O138" i="14"/>
  <c r="O139" i="14"/>
  <c r="O140" i="14"/>
  <c r="O141" i="14"/>
  <c r="O142" i="14"/>
  <c r="O143" i="14"/>
  <c r="O144" i="14"/>
  <c r="O145" i="14"/>
  <c r="O146" i="14"/>
  <c r="O147" i="14"/>
  <c r="O148" i="14"/>
  <c r="O149" i="14"/>
  <c r="O150" i="14"/>
  <c r="O151" i="14"/>
  <c r="O152" i="14"/>
  <c r="O153" i="14"/>
  <c r="O154" i="14"/>
  <c r="O155" i="14"/>
  <c r="O156" i="14"/>
  <c r="O157" i="14"/>
  <c r="O158" i="14"/>
  <c r="O159" i="14"/>
  <c r="O160" i="14"/>
  <c r="O161" i="14"/>
  <c r="O162" i="14"/>
  <c r="O163" i="14"/>
  <c r="O164" i="14"/>
  <c r="O165" i="14"/>
  <c r="O166" i="14"/>
  <c r="O167" i="14"/>
  <c r="O168" i="14"/>
  <c r="O169" i="14"/>
  <c r="O170" i="14"/>
  <c r="O171" i="14"/>
  <c r="O172" i="14"/>
  <c r="O173" i="14"/>
  <c r="O174" i="14"/>
  <c r="O175" i="14"/>
  <c r="O176" i="14"/>
  <c r="O177" i="14"/>
  <c r="O178" i="14"/>
  <c r="O179" i="14"/>
  <c r="O180" i="14"/>
  <c r="O181" i="14"/>
  <c r="O182" i="14"/>
  <c r="O183" i="14"/>
  <c r="O184" i="14"/>
  <c r="O185" i="14"/>
  <c r="O186" i="14"/>
  <c r="O187" i="14"/>
  <c r="O188" i="14"/>
  <c r="O189" i="14"/>
  <c r="O190" i="14"/>
  <c r="O191" i="14"/>
  <c r="O192" i="14"/>
  <c r="O193" i="14"/>
  <c r="O194" i="14"/>
  <c r="O195" i="14"/>
  <c r="O196" i="14"/>
  <c r="O197" i="14"/>
  <c r="O198" i="14"/>
  <c r="O199" i="14"/>
  <c r="O200" i="14"/>
  <c r="O201" i="14"/>
  <c r="O202" i="14"/>
  <c r="O203" i="14"/>
  <c r="O204" i="14"/>
  <c r="O205" i="14"/>
  <c r="O206" i="14"/>
  <c r="O207" i="14"/>
  <c r="O208" i="14"/>
  <c r="O209" i="14"/>
  <c r="O210" i="14"/>
  <c r="O211" i="14"/>
  <c r="O212" i="14"/>
  <c r="O213" i="14"/>
  <c r="O214" i="14"/>
  <c r="O215" i="14"/>
  <c r="O216" i="14"/>
  <c r="O217" i="14"/>
  <c r="O218" i="14"/>
  <c r="O219" i="14"/>
  <c r="O220" i="14"/>
  <c r="O221" i="14"/>
  <c r="O222" i="14"/>
  <c r="O223" i="14"/>
  <c r="O224" i="14"/>
  <c r="O225" i="14"/>
  <c r="O226" i="14"/>
  <c r="O227" i="14"/>
  <c r="O228" i="14"/>
  <c r="O229" i="14"/>
  <c r="O230" i="14"/>
  <c r="O231" i="14"/>
  <c r="O232" i="14"/>
  <c r="O233" i="14"/>
  <c r="O234" i="14"/>
  <c r="O235" i="14"/>
  <c r="O236" i="14"/>
  <c r="O237" i="14"/>
  <c r="O238" i="14"/>
  <c r="O239" i="14"/>
  <c r="O240" i="14"/>
  <c r="O241" i="14"/>
  <c r="O242" i="14"/>
  <c r="O243" i="14"/>
  <c r="O244" i="14"/>
  <c r="O245" i="14"/>
  <c r="O246" i="14"/>
  <c r="O247" i="14"/>
  <c r="O248" i="14"/>
  <c r="O249" i="14"/>
  <c r="O250" i="14"/>
  <c r="O251" i="14"/>
  <c r="O252" i="14"/>
  <c r="O253" i="14"/>
  <c r="O254" i="14"/>
  <c r="O255" i="14"/>
  <c r="O256" i="14"/>
  <c r="O257" i="14"/>
  <c r="O258" i="14"/>
  <c r="O259" i="14"/>
  <c r="O260" i="14"/>
  <c r="O261" i="14"/>
  <c r="O262" i="14"/>
  <c r="O263" i="14"/>
  <c r="O264" i="14"/>
  <c r="O265" i="14"/>
  <c r="O266" i="14"/>
  <c r="O267" i="14"/>
  <c r="O268" i="14"/>
  <c r="O269" i="14"/>
  <c r="O270" i="14"/>
  <c r="O271" i="14"/>
  <c r="O272" i="14"/>
  <c r="O273" i="14"/>
  <c r="O274" i="14"/>
  <c r="O275" i="14"/>
  <c r="O276" i="14"/>
  <c r="O277" i="14"/>
  <c r="O278" i="14"/>
  <c r="O279" i="14"/>
  <c r="O280" i="14"/>
  <c r="O281" i="14"/>
  <c r="O282" i="14"/>
  <c r="O283" i="14"/>
  <c r="O284" i="14"/>
  <c r="O285" i="14"/>
  <c r="O286" i="14"/>
  <c r="O287" i="14"/>
  <c r="O288" i="14"/>
  <c r="O289" i="14"/>
  <c r="O290" i="14"/>
  <c r="O291" i="14"/>
  <c r="O292" i="14"/>
  <c r="O293" i="14"/>
  <c r="O294" i="14"/>
  <c r="O295" i="14"/>
  <c r="O296" i="14"/>
  <c r="O297" i="14"/>
  <c r="O298" i="14"/>
  <c r="O299" i="14"/>
  <c r="O300" i="14"/>
  <c r="O301" i="14"/>
  <c r="O302" i="14"/>
  <c r="O303" i="14"/>
  <c r="O304" i="14"/>
  <c r="O305" i="14"/>
  <c r="O306" i="14"/>
  <c r="O307" i="14"/>
  <c r="O308" i="14"/>
  <c r="O309" i="14"/>
  <c r="O310" i="14"/>
  <c r="O311" i="14"/>
  <c r="O312" i="14"/>
  <c r="O313" i="14"/>
  <c r="O314" i="14"/>
  <c r="O315" i="14"/>
  <c r="O316" i="14"/>
  <c r="O317" i="14"/>
  <c r="O318" i="14"/>
  <c r="O319" i="14"/>
  <c r="O320" i="14"/>
  <c r="O321" i="14"/>
  <c r="O322" i="14"/>
  <c r="O323" i="14"/>
  <c r="O324" i="14"/>
  <c r="O325" i="14"/>
  <c r="O326" i="14"/>
  <c r="O327" i="14"/>
  <c r="O328" i="14"/>
  <c r="O329" i="14"/>
  <c r="O330" i="14"/>
  <c r="O331" i="14"/>
  <c r="O332" i="14"/>
  <c r="O333" i="14"/>
  <c r="O334" i="14"/>
  <c r="O335" i="14"/>
  <c r="O336" i="14"/>
  <c r="O337" i="14"/>
  <c r="O338" i="14"/>
  <c r="O339" i="14"/>
  <c r="O340" i="14"/>
  <c r="O341" i="14"/>
  <c r="O342" i="14"/>
  <c r="O343" i="14"/>
  <c r="O344" i="14"/>
  <c r="O345" i="14"/>
  <c r="O346" i="14"/>
  <c r="O347" i="14"/>
  <c r="O348" i="14"/>
  <c r="O349" i="14"/>
  <c r="O350" i="14"/>
  <c r="O351" i="14"/>
  <c r="O352" i="14"/>
  <c r="O353" i="14"/>
  <c r="O354" i="14"/>
  <c r="O355" i="14"/>
  <c r="O356" i="14"/>
  <c r="O357" i="14"/>
  <c r="O358" i="14"/>
  <c r="O359" i="14"/>
  <c r="O360" i="14"/>
  <c r="O361" i="14"/>
  <c r="O362" i="14"/>
  <c r="O363" i="14"/>
  <c r="O364" i="14"/>
  <c r="N74" i="14"/>
  <c r="N117" i="14"/>
  <c r="N299" i="14"/>
  <c r="N75" i="14"/>
  <c r="N313" i="14"/>
  <c r="N357" i="14"/>
  <c r="N107" i="14"/>
  <c r="N284" i="14"/>
  <c r="CG104" i="14"/>
  <c r="CG204" i="14"/>
  <c r="CG141" i="14"/>
  <c r="CG249" i="14"/>
  <c r="CG116" i="14"/>
  <c r="CG69" i="14"/>
  <c r="CG353" i="14"/>
  <c r="CG101" i="14"/>
  <c r="CG326" i="14"/>
  <c r="CG87" i="14"/>
  <c r="CG296" i="14"/>
  <c r="CG156" i="14"/>
  <c r="CG170" i="14"/>
  <c r="CG182" i="14"/>
  <c r="CG280" i="14"/>
  <c r="CG93" i="14"/>
  <c r="CG110" i="14"/>
  <c r="CG173" i="14"/>
  <c r="CG197" i="14"/>
  <c r="CG275" i="14"/>
  <c r="CG332" i="14"/>
  <c r="CY86" i="14"/>
  <c r="CY110" i="14"/>
  <c r="CY328" i="14"/>
  <c r="CY363" i="14"/>
  <c r="CY156" i="14"/>
  <c r="CY192" i="14"/>
  <c r="CY129" i="14"/>
  <c r="CY302" i="14"/>
  <c r="CY89" i="14"/>
  <c r="CY145" i="14"/>
  <c r="CY234" i="14"/>
  <c r="CY260" i="14"/>
  <c r="CY318" i="14"/>
  <c r="CY116" i="14"/>
  <c r="CY242" i="14"/>
  <c r="CY270" i="14"/>
  <c r="CY130" i="14"/>
  <c r="CY237" i="14"/>
  <c r="CY269" i="14"/>
  <c r="CY118" i="14"/>
  <c r="CY189" i="14"/>
  <c r="CY218" i="14"/>
  <c r="CY244" i="14"/>
  <c r="CY287" i="14"/>
  <c r="CY350" i="14"/>
  <c r="CY135" i="14"/>
  <c r="CY213" i="14"/>
  <c r="CY229" i="14"/>
  <c r="CY299" i="14"/>
  <c r="AX65" i="14"/>
  <c r="AY65" i="14"/>
  <c r="AY66" i="14"/>
  <c r="AY67" i="14"/>
  <c r="AY68" i="14"/>
  <c r="AY69" i="14"/>
  <c r="AY70" i="14"/>
  <c r="AY71" i="14"/>
  <c r="AY72" i="14"/>
  <c r="AY73" i="14"/>
  <c r="AY74" i="14"/>
  <c r="AY75" i="14"/>
  <c r="AY76" i="14"/>
  <c r="AY77" i="14"/>
  <c r="AY78" i="14"/>
  <c r="AY79" i="14"/>
  <c r="AY80" i="14"/>
  <c r="AY81" i="14"/>
  <c r="AY82" i="14"/>
  <c r="AY83" i="14"/>
  <c r="AY84" i="14"/>
  <c r="AY85" i="14"/>
  <c r="AY86" i="14"/>
  <c r="AY87" i="14"/>
  <c r="AY88" i="14"/>
  <c r="AY89" i="14"/>
  <c r="AY90" i="14"/>
  <c r="AY91" i="14"/>
  <c r="AY92" i="14"/>
  <c r="AY93" i="14"/>
  <c r="AY94" i="14"/>
  <c r="AY95" i="14"/>
  <c r="AY96" i="14"/>
  <c r="AY97" i="14"/>
  <c r="AY98" i="14"/>
  <c r="AY99" i="14"/>
  <c r="AY100" i="14"/>
  <c r="AY101" i="14"/>
  <c r="AY102" i="14"/>
  <c r="AY103" i="14"/>
  <c r="AY104" i="14"/>
  <c r="AY105" i="14"/>
  <c r="AY106" i="14"/>
  <c r="AY107" i="14"/>
  <c r="AY108" i="14"/>
  <c r="AY109" i="14"/>
  <c r="AY110" i="14"/>
  <c r="AY111" i="14"/>
  <c r="AY112" i="14"/>
  <c r="AY113" i="14"/>
  <c r="AY114" i="14"/>
  <c r="AY115" i="14"/>
  <c r="AY116" i="14"/>
  <c r="AY117" i="14"/>
  <c r="AY118" i="14"/>
  <c r="AY119" i="14"/>
  <c r="AY120" i="14"/>
  <c r="AY121" i="14"/>
  <c r="AY122" i="14"/>
  <c r="AY123" i="14"/>
  <c r="AY124" i="14"/>
  <c r="AY125" i="14"/>
  <c r="AY126" i="14"/>
  <c r="AY127" i="14"/>
  <c r="AY128" i="14"/>
  <c r="AY129" i="14"/>
  <c r="AY130" i="14"/>
  <c r="AY131" i="14"/>
  <c r="AY132" i="14"/>
  <c r="AY133" i="14"/>
  <c r="AY134" i="14"/>
  <c r="AY135" i="14"/>
  <c r="AY136" i="14"/>
  <c r="AY137" i="14"/>
  <c r="AY138" i="14"/>
  <c r="AY139" i="14"/>
  <c r="AY140" i="14"/>
  <c r="AY141" i="14"/>
  <c r="AY142" i="14"/>
  <c r="AY143" i="14"/>
  <c r="AY144" i="14"/>
  <c r="AY145" i="14"/>
  <c r="AY146" i="14"/>
  <c r="AY147" i="14"/>
  <c r="AY148" i="14"/>
  <c r="AY149" i="14"/>
  <c r="AY150" i="14"/>
  <c r="AY151" i="14"/>
  <c r="AY152" i="14"/>
  <c r="AY153" i="14"/>
  <c r="AY154" i="14"/>
  <c r="AY155" i="14"/>
  <c r="AY156" i="14"/>
  <c r="AY157" i="14"/>
  <c r="AY158" i="14"/>
  <c r="AY159" i="14"/>
  <c r="AY160" i="14"/>
  <c r="AY161" i="14"/>
  <c r="AY162" i="14"/>
  <c r="AY163" i="14"/>
  <c r="AY164" i="14"/>
  <c r="AY165" i="14"/>
  <c r="AY166" i="14"/>
  <c r="AY167" i="14"/>
  <c r="AY168" i="14"/>
  <c r="AY169" i="14"/>
  <c r="AY170" i="14"/>
  <c r="AY171" i="14"/>
  <c r="AY172" i="14"/>
  <c r="AY173" i="14"/>
  <c r="AY174" i="14"/>
  <c r="AY175" i="14"/>
  <c r="AY176" i="14"/>
  <c r="AY177" i="14"/>
  <c r="AY178" i="14"/>
  <c r="AY179" i="14"/>
  <c r="AY180" i="14"/>
  <c r="AY181" i="14"/>
  <c r="AY182" i="14"/>
  <c r="AY183" i="14"/>
  <c r="AY184" i="14"/>
  <c r="AY185" i="14"/>
  <c r="AY186" i="14"/>
  <c r="AY187" i="14"/>
  <c r="AY188" i="14"/>
  <c r="AY189" i="14"/>
  <c r="AY190" i="14"/>
  <c r="AY191" i="14"/>
  <c r="AY192" i="14"/>
  <c r="AY193" i="14"/>
  <c r="AY194" i="14"/>
  <c r="AY195" i="14"/>
  <c r="AY196" i="14"/>
  <c r="AY197" i="14"/>
  <c r="AY198" i="14"/>
  <c r="AY199" i="14"/>
  <c r="AY200" i="14"/>
  <c r="AY201" i="14"/>
  <c r="AY202" i="14"/>
  <c r="AY203" i="14"/>
  <c r="AY204" i="14"/>
  <c r="AY205" i="14"/>
  <c r="AY206" i="14"/>
  <c r="AY207" i="14"/>
  <c r="AY208" i="14"/>
  <c r="AY209" i="14"/>
  <c r="AY210" i="14"/>
  <c r="AY211" i="14"/>
  <c r="AY212" i="14"/>
  <c r="AY213" i="14"/>
  <c r="AY214" i="14"/>
  <c r="AY215" i="14"/>
  <c r="AY216" i="14"/>
  <c r="AY217" i="14"/>
  <c r="AY218" i="14"/>
  <c r="AY219" i="14"/>
  <c r="AY220" i="14"/>
  <c r="AY221" i="14"/>
  <c r="AY222" i="14"/>
  <c r="AY223" i="14"/>
  <c r="AY224" i="14"/>
  <c r="AY225" i="14"/>
  <c r="AY226" i="14"/>
  <c r="AY227" i="14"/>
  <c r="AY228" i="14"/>
  <c r="AY229" i="14"/>
  <c r="AY230" i="14"/>
  <c r="AY231" i="14"/>
  <c r="AY232" i="14"/>
  <c r="AY233" i="14"/>
  <c r="AY234" i="14"/>
  <c r="AY235" i="14"/>
  <c r="AY236" i="14"/>
  <c r="AY237" i="14"/>
  <c r="AY238" i="14"/>
  <c r="AY239" i="14"/>
  <c r="AY240" i="14"/>
  <c r="AY241" i="14"/>
  <c r="AY242" i="14"/>
  <c r="AY243" i="14"/>
  <c r="AY244" i="14"/>
  <c r="AY245" i="14"/>
  <c r="AY246" i="14"/>
  <c r="AY247" i="14"/>
  <c r="AY248" i="14"/>
  <c r="AY249" i="14"/>
  <c r="AY250" i="14"/>
  <c r="AY251" i="14"/>
  <c r="AY252" i="14"/>
  <c r="AY253" i="14"/>
  <c r="AY254" i="14"/>
  <c r="AY255" i="14"/>
  <c r="AY256" i="14"/>
  <c r="AY257" i="14"/>
  <c r="AY258" i="14"/>
  <c r="AY259" i="14"/>
  <c r="AY260" i="14"/>
  <c r="AY261" i="14"/>
  <c r="AY262" i="14"/>
  <c r="AY263" i="14"/>
  <c r="AY264" i="14"/>
  <c r="AY265" i="14"/>
  <c r="AY266" i="14"/>
  <c r="AY267" i="14"/>
  <c r="AY268" i="14"/>
  <c r="AY269" i="14"/>
  <c r="AY270" i="14"/>
  <c r="AY271" i="14"/>
  <c r="AY272" i="14"/>
  <c r="AY273" i="14"/>
  <c r="AY274" i="14"/>
  <c r="AY275" i="14"/>
  <c r="AY276" i="14"/>
  <c r="AY277" i="14"/>
  <c r="AY278" i="14"/>
  <c r="AY279" i="14"/>
  <c r="AY280" i="14"/>
  <c r="AY281" i="14"/>
  <c r="AY282" i="14"/>
  <c r="AY283" i="14"/>
  <c r="AY284" i="14"/>
  <c r="AY285" i="14"/>
  <c r="AY286" i="14"/>
  <c r="AY287" i="14"/>
  <c r="AY288" i="14"/>
  <c r="AY289" i="14"/>
  <c r="AY290" i="14"/>
  <c r="AY291" i="14"/>
  <c r="AY292" i="14"/>
  <c r="AY293" i="14"/>
  <c r="AY294" i="14"/>
  <c r="AY295" i="14"/>
  <c r="AY296" i="14"/>
  <c r="AY297" i="14"/>
  <c r="AY298" i="14"/>
  <c r="AY299" i="14"/>
  <c r="AY300" i="14"/>
  <c r="AY301" i="14"/>
  <c r="AY302" i="14"/>
  <c r="AY303" i="14"/>
  <c r="AY304" i="14"/>
  <c r="AY305" i="14"/>
  <c r="AY306" i="14"/>
  <c r="AY307" i="14"/>
  <c r="AY308" i="14"/>
  <c r="AY309" i="14"/>
  <c r="AY310" i="14"/>
  <c r="AY311" i="14"/>
  <c r="AY312" i="14"/>
  <c r="AY313" i="14"/>
  <c r="AY314" i="14"/>
  <c r="AY315" i="14"/>
  <c r="AY316" i="14"/>
  <c r="AY317" i="14"/>
  <c r="AY318" i="14"/>
  <c r="AY319" i="14"/>
  <c r="AY320" i="14"/>
  <c r="AY321" i="14"/>
  <c r="AY322" i="14"/>
  <c r="AY323" i="14"/>
  <c r="AY324" i="14"/>
  <c r="AY325" i="14"/>
  <c r="AY326" i="14"/>
  <c r="AY327" i="14"/>
  <c r="AY328" i="14"/>
  <c r="AY329" i="14"/>
  <c r="AY330" i="14"/>
  <c r="AY331" i="14"/>
  <c r="AY332" i="14"/>
  <c r="AY333" i="14"/>
  <c r="AY334" i="14"/>
  <c r="AY335" i="14"/>
  <c r="AY336" i="14"/>
  <c r="AY337" i="14"/>
  <c r="AY338" i="14"/>
  <c r="AY339" i="14"/>
  <c r="AY340" i="14"/>
  <c r="AY341" i="14"/>
  <c r="AY342" i="14"/>
  <c r="AY343" i="14"/>
  <c r="AY344" i="14"/>
  <c r="AY345" i="14"/>
  <c r="AY346" i="14"/>
  <c r="AY347" i="14"/>
  <c r="AY348" i="14"/>
  <c r="AY349" i="14"/>
  <c r="AY350" i="14"/>
  <c r="AY351" i="14"/>
  <c r="AY352" i="14"/>
  <c r="AY353" i="14"/>
  <c r="AY354" i="14"/>
  <c r="AY355" i="14"/>
  <c r="AY356" i="14"/>
  <c r="AY357" i="14"/>
  <c r="AY358" i="14"/>
  <c r="AY359" i="14"/>
  <c r="AY360" i="14"/>
  <c r="AY361" i="14"/>
  <c r="AY362" i="14"/>
  <c r="AY363" i="14"/>
  <c r="AY364" i="14"/>
  <c r="AX189" i="14"/>
  <c r="AX203" i="14"/>
  <c r="AX269" i="14"/>
  <c r="AX316" i="14"/>
  <c r="AX106" i="14"/>
  <c r="AX228" i="14"/>
  <c r="AX290" i="14"/>
  <c r="AX81" i="14"/>
  <c r="AX174" i="14"/>
  <c r="AX195" i="14"/>
  <c r="AX261" i="14"/>
  <c r="AX330" i="14"/>
  <c r="AX69" i="14"/>
  <c r="AX98" i="14"/>
  <c r="AX155" i="14"/>
  <c r="AX192" i="14"/>
  <c r="AX234" i="14"/>
  <c r="AX259" i="14"/>
  <c r="AX279" i="14"/>
  <c r="AX318" i="14"/>
  <c r="AX354" i="14"/>
  <c r="AX86" i="14"/>
  <c r="AX154" i="14"/>
  <c r="AX181" i="14"/>
  <c r="AX211" i="14"/>
  <c r="AX287" i="14"/>
  <c r="E72" i="14"/>
  <c r="E125" i="14"/>
  <c r="E162" i="14"/>
  <c r="E138" i="14"/>
  <c r="E183" i="14"/>
  <c r="E338" i="14"/>
  <c r="E137" i="14"/>
  <c r="E177" i="14"/>
  <c r="E215" i="14"/>
  <c r="E217" i="14"/>
  <c r="E175" i="14"/>
  <c r="E216" i="14"/>
  <c r="E255" i="14"/>
  <c r="E295" i="14"/>
  <c r="E318" i="14"/>
  <c r="E86" i="14"/>
  <c r="E173" i="14"/>
  <c r="E235" i="14"/>
  <c r="E264" i="14"/>
  <c r="E317" i="14"/>
  <c r="E331" i="14"/>
  <c r="AO212" i="14"/>
  <c r="AO135" i="14"/>
  <c r="AO126" i="14"/>
  <c r="AO96" i="14"/>
  <c r="AO217" i="14"/>
  <c r="AO69" i="14"/>
  <c r="AO186" i="14"/>
  <c r="AO80" i="14"/>
  <c r="AO114" i="14"/>
  <c r="AO194" i="14"/>
  <c r="AO234" i="14"/>
  <c r="AO258" i="14"/>
  <c r="AO290" i="14"/>
  <c r="AO317" i="14"/>
  <c r="AO343" i="14"/>
  <c r="AO107" i="14"/>
  <c r="AO199" i="14"/>
  <c r="AO238" i="14"/>
  <c r="AO327" i="14"/>
  <c r="AO358" i="14"/>
  <c r="AO151" i="14"/>
  <c r="AO342" i="14"/>
  <c r="AO171" i="14"/>
  <c r="AO303" i="14"/>
  <c r="AO328" i="14"/>
  <c r="AO361" i="14"/>
  <c r="N283" i="14"/>
  <c r="N154" i="14"/>
  <c r="N124" i="14"/>
  <c r="N168" i="14"/>
  <c r="N304" i="14"/>
  <c r="N196" i="14"/>
  <c r="N226" i="14"/>
  <c r="N294" i="14"/>
  <c r="N103" i="14"/>
  <c r="N160" i="14"/>
  <c r="N185" i="14"/>
  <c r="N280" i="14"/>
  <c r="N343" i="14"/>
  <c r="N136" i="14"/>
  <c r="N247" i="14"/>
  <c r="N126" i="14"/>
  <c r="N217" i="14"/>
  <c r="CG94" i="14"/>
  <c r="CG146" i="14"/>
  <c r="CG114" i="14"/>
  <c r="CG88" i="14"/>
  <c r="CG229" i="14"/>
  <c r="CG262" i="14"/>
  <c r="CG299" i="14"/>
  <c r="CG220" i="14"/>
  <c r="CG292" i="14"/>
  <c r="CG314" i="14"/>
  <c r="CG137" i="14"/>
  <c r="CG131" i="14"/>
  <c r="CG155" i="14"/>
  <c r="CG177" i="14"/>
  <c r="CG211" i="14"/>
  <c r="CG231" i="14"/>
  <c r="CG269" i="14"/>
  <c r="CG281" i="14"/>
  <c r="CG200" i="14"/>
  <c r="CG219" i="14"/>
  <c r="CG306" i="14"/>
  <c r="CG328" i="14"/>
  <c r="CG355" i="14"/>
  <c r="CG132" i="14"/>
  <c r="CG107" i="14"/>
  <c r="CG234" i="14"/>
  <c r="CG244" i="14"/>
  <c r="CG293" i="14"/>
  <c r="CG338" i="14"/>
  <c r="CY122" i="14"/>
  <c r="CY298" i="14"/>
  <c r="CY171" i="14"/>
  <c r="CY87" i="14"/>
  <c r="CY199" i="14"/>
  <c r="CY273" i="14"/>
  <c r="CY283" i="14"/>
  <c r="CY280" i="14"/>
  <c r="CY343" i="14"/>
  <c r="CY209" i="14"/>
  <c r="CY274" i="14"/>
  <c r="CY151" i="14"/>
  <c r="CY293" i="14"/>
  <c r="CY330" i="14"/>
  <c r="CY74" i="14"/>
  <c r="CY152" i="14"/>
  <c r="CY289" i="14"/>
  <c r="AE363" i="14"/>
  <c r="AE355" i="14"/>
  <c r="AE353" i="14"/>
  <c r="AE356" i="14"/>
  <c r="AE349" i="14"/>
  <c r="AD351" i="14"/>
  <c r="AD336" i="14"/>
  <c r="AE334" i="14"/>
  <c r="AD325" i="14"/>
  <c r="AE322" i="14"/>
  <c r="AD328" i="14"/>
  <c r="AE309" i="14"/>
  <c r="AD324" i="14"/>
  <c r="AE321" i="14"/>
  <c r="AD308" i="14"/>
  <c r="AD297" i="14"/>
  <c r="AE298" i="14"/>
  <c r="AE291" i="14"/>
  <c r="AE279" i="14"/>
  <c r="AD277" i="14"/>
  <c r="AD286" i="14"/>
  <c r="AD288" i="14"/>
  <c r="AE276" i="14"/>
  <c r="AE269" i="14"/>
  <c r="AD267" i="14"/>
  <c r="AE264" i="14"/>
  <c r="AD259" i="14"/>
  <c r="AE250" i="14"/>
  <c r="AD248" i="14"/>
  <c r="AE258" i="14"/>
  <c r="AE237" i="14"/>
  <c r="AE236" i="14"/>
  <c r="AE231" i="14"/>
  <c r="AD231" i="14"/>
  <c r="AD225" i="14"/>
  <c r="AD241" i="14"/>
  <c r="AD226" i="14"/>
  <c r="AD217" i="14"/>
  <c r="AE201" i="14"/>
  <c r="AD201" i="14"/>
  <c r="AE210" i="14"/>
  <c r="AE200" i="14"/>
  <c r="AD202" i="14"/>
  <c r="AE193" i="14"/>
  <c r="AD193" i="14"/>
  <c r="AD194" i="14"/>
  <c r="AD184" i="14"/>
  <c r="AE172" i="14"/>
  <c r="AD174" i="14"/>
  <c r="AD175" i="14"/>
  <c r="AE149" i="14"/>
  <c r="AD153" i="14"/>
  <c r="AE165" i="14"/>
  <c r="AE152" i="14"/>
  <c r="AD154" i="14"/>
  <c r="AD167" i="14"/>
  <c r="AE115" i="14"/>
  <c r="AE128" i="14"/>
  <c r="AE101" i="14"/>
  <c r="AE124" i="14"/>
  <c r="AD101" i="14"/>
  <c r="AD123" i="14"/>
  <c r="AD127" i="14"/>
  <c r="AE126" i="14"/>
  <c r="AE108" i="14"/>
  <c r="AD134" i="14"/>
  <c r="AD110" i="14"/>
  <c r="AE89" i="14"/>
  <c r="AE92" i="14"/>
  <c r="AE70" i="14"/>
  <c r="AD78" i="14"/>
  <c r="AE87" i="14"/>
  <c r="AD79" i="14"/>
  <c r="AE75" i="14"/>
  <c r="AD86" i="14"/>
  <c r="AE361" i="14"/>
  <c r="AE354" i="14"/>
  <c r="AE364" i="14"/>
  <c r="AE352" i="14"/>
  <c r="AD349" i="14"/>
  <c r="AD348" i="14"/>
  <c r="AE335" i="14"/>
  <c r="AD333" i="14"/>
  <c r="AD323" i="14"/>
  <c r="AE320" i="14"/>
  <c r="AE325" i="14"/>
  <c r="AD322" i="14"/>
  <c r="AD326" i="14"/>
  <c r="AD319" i="14"/>
  <c r="AE303" i="14"/>
  <c r="AD317" i="14"/>
  <c r="AE315" i="14"/>
  <c r="AD290" i="14"/>
  <c r="AE277" i="14"/>
  <c r="AD296" i="14"/>
  <c r="AD295" i="14"/>
  <c r="AE284" i="14"/>
  <c r="AE271" i="14"/>
  <c r="AE267" i="14"/>
  <c r="AD265" i="14"/>
  <c r="AE262" i="14"/>
  <c r="AE252" i="14"/>
  <c r="AE248" i="14"/>
  <c r="AD246" i="14"/>
  <c r="AD257" i="14"/>
  <c r="AE235" i="14"/>
  <c r="AD230" i="14"/>
  <c r="AD224" i="14"/>
  <c r="AE228" i="14"/>
  <c r="AE222" i="14"/>
  <c r="AD232" i="14"/>
  <c r="AD223" i="14"/>
  <c r="AE214" i="14"/>
  <c r="AE199" i="14"/>
  <c r="AD199" i="14"/>
  <c r="AD219" i="14"/>
  <c r="AE198" i="14"/>
  <c r="AD200" i="14"/>
  <c r="AE189" i="14"/>
  <c r="AD189" i="14"/>
  <c r="AE192" i="14"/>
  <c r="AE177" i="14"/>
  <c r="AE170" i="14"/>
  <c r="AD172" i="14"/>
  <c r="AE162" i="14"/>
  <c r="AE147" i="14"/>
  <c r="AD151" i="14"/>
  <c r="AD164" i="14"/>
  <c r="AE150" i="14"/>
  <c r="AD152" i="14"/>
  <c r="AE146" i="14"/>
  <c r="AD143" i="14"/>
  <c r="AE125" i="14"/>
  <c r="AE99" i="14"/>
  <c r="AE123" i="14"/>
  <c r="AD99" i="14"/>
  <c r="AE122" i="14"/>
  <c r="AD122" i="14"/>
  <c r="AD120" i="14"/>
  <c r="AE106" i="14"/>
  <c r="AD130" i="14"/>
  <c r="AD108" i="14"/>
  <c r="AE85" i="14"/>
  <c r="AE88" i="14"/>
  <c r="AE68" i="14"/>
  <c r="AD76" i="14"/>
  <c r="AE83" i="14"/>
  <c r="AD66" i="14"/>
  <c r="AE73" i="14"/>
  <c r="AD82" i="14"/>
  <c r="AD364" i="14"/>
  <c r="AD352" i="14"/>
  <c r="AD353" i="14"/>
  <c r="AE344" i="14"/>
  <c r="AE348" i="14"/>
  <c r="AD346" i="14"/>
  <c r="AD341" i="14"/>
  <c r="AE332" i="14"/>
  <c r="AD321" i="14"/>
  <c r="AE337" i="14"/>
  <c r="AE329" i="14"/>
  <c r="AE314" i="14"/>
  <c r="AE316" i="14"/>
  <c r="AD318" i="14"/>
  <c r="AE301" i="14"/>
  <c r="AE305" i="14"/>
  <c r="AE307" i="14"/>
  <c r="AE285" i="14"/>
  <c r="AE296" i="14"/>
  <c r="AE294" i="14"/>
  <c r="AE288" i="14"/>
  <c r="AD282" i="14"/>
  <c r="AD270" i="14"/>
  <c r="AE265" i="14"/>
  <c r="AD263" i="14"/>
  <c r="AE270" i="14"/>
  <c r="AD251" i="14"/>
  <c r="AE246" i="14"/>
  <c r="AD244" i="14"/>
  <c r="AE249" i="14"/>
  <c r="AE233" i="14"/>
  <c r="AD227" i="14"/>
  <c r="AD221" i="14"/>
  <c r="AE225" i="14"/>
  <c r="AE219" i="14"/>
  <c r="AD229" i="14"/>
  <c r="AE220" i="14"/>
  <c r="AE216" i="14"/>
  <c r="AE197" i="14"/>
  <c r="AD197" i="14"/>
  <c r="AE211" i="14"/>
  <c r="AE196" i="14"/>
  <c r="AD198" i="14"/>
  <c r="AE182" i="14"/>
  <c r="AE183" i="14"/>
  <c r="AE188" i="14"/>
  <c r="AE191" i="14"/>
  <c r="AD191" i="14"/>
  <c r="AD170" i="14"/>
  <c r="AE161" i="14"/>
  <c r="AE163" i="14"/>
  <c r="AD149" i="14"/>
  <c r="AE166" i="14"/>
  <c r="AE148" i="14"/>
  <c r="AD150" i="14"/>
  <c r="AE143" i="14"/>
  <c r="AD137" i="14"/>
  <c r="AE113" i="14"/>
  <c r="AE97" i="14"/>
  <c r="AD113" i="14"/>
  <c r="AE142" i="14"/>
  <c r="AE121" i="14"/>
  <c r="AD121" i="14"/>
  <c r="AD119" i="14"/>
  <c r="AE104" i="14"/>
  <c r="AD126" i="14"/>
  <c r="AD106" i="14"/>
  <c r="AE81" i="14"/>
  <c r="AE84" i="14"/>
  <c r="AD97" i="14"/>
  <c r="AD74" i="14"/>
  <c r="AE79" i="14"/>
  <c r="AE65" i="14"/>
  <c r="AE71" i="14"/>
  <c r="AD77" i="14"/>
  <c r="AD362" i="14"/>
  <c r="AD355" i="14"/>
  <c r="AE350" i="14"/>
  <c r="AE342" i="14"/>
  <c r="AE346" i="14"/>
  <c r="AD345" i="14"/>
  <c r="AD340" i="14"/>
  <c r="AE331" i="14"/>
  <c r="AD335" i="14"/>
  <c r="AE333" i="14"/>
  <c r="AE327" i="14"/>
  <c r="AD313" i="14"/>
  <c r="AD315" i="14"/>
  <c r="AE317" i="14"/>
  <c r="AE299" i="14"/>
  <c r="AE306" i="14"/>
  <c r="AD306" i="14"/>
  <c r="AE292" i="14"/>
  <c r="AE293" i="14"/>
  <c r="AD293" i="14"/>
  <c r="AD287" i="14"/>
  <c r="AD280" i="14"/>
  <c r="AD276" i="14"/>
  <c r="AE263" i="14"/>
  <c r="AE275" i="14"/>
  <c r="AD268" i="14"/>
  <c r="AD260" i="14"/>
  <c r="AE244" i="14"/>
  <c r="AE256" i="14"/>
  <c r="AE247" i="14"/>
  <c r="AD258" i="14"/>
  <c r="AE224" i="14"/>
  <c r="AE218" i="14"/>
  <c r="AD218" i="14"/>
  <c r="AE215" i="14"/>
  <c r="AE226" i="14"/>
  <c r="AE217" i="14"/>
  <c r="AD214" i="14"/>
  <c r="AE213" i="14"/>
  <c r="AD195" i="14"/>
  <c r="AD210" i="14"/>
  <c r="AE194" i="14"/>
  <c r="AD196" i="14"/>
  <c r="AD181" i="14"/>
  <c r="AD182" i="14"/>
  <c r="AE184" i="14"/>
  <c r="AE186" i="14"/>
  <c r="AE187" i="14"/>
  <c r="AD168" i="14"/>
  <c r="AE159" i="14"/>
  <c r="AD162" i="14"/>
  <c r="AD147" i="14"/>
  <c r="AD165" i="14"/>
  <c r="AE167" i="14"/>
  <c r="AD148" i="14"/>
  <c r="AD141" i="14"/>
  <c r="AD133" i="14"/>
  <c r="AE111" i="14"/>
  <c r="AE140" i="14"/>
  <c r="AD111" i="14"/>
  <c r="AE139" i="14"/>
  <c r="AE145" i="14"/>
  <c r="AE120" i="14"/>
  <c r="AE118" i="14"/>
  <c r="AE102" i="14"/>
  <c r="AD118" i="14"/>
  <c r="AD104" i="14"/>
  <c r="AD93" i="14"/>
  <c r="AE80" i="14"/>
  <c r="AD96" i="14"/>
  <c r="AD72" i="14"/>
  <c r="AE66" i="14"/>
  <c r="AE94" i="14"/>
  <c r="AE69" i="14"/>
  <c r="AD75" i="14"/>
  <c r="AD360" i="14"/>
  <c r="AD354" i="14"/>
  <c r="AD361" i="14"/>
  <c r="AE358" i="14"/>
  <c r="AE345" i="14"/>
  <c r="AD343" i="14"/>
  <c r="AD339" i="14"/>
  <c r="AD332" i="14"/>
  <c r="AD334" i="14"/>
  <c r="AE330" i="14"/>
  <c r="AD320" i="14"/>
  <c r="AD312" i="14"/>
  <c r="AE319" i="14"/>
  <c r="AD310" i="14"/>
  <c r="AE297" i="14"/>
  <c r="AD305" i="14"/>
  <c r="AD304" i="14"/>
  <c r="AD291" i="14"/>
  <c r="AD292" i="14"/>
  <c r="AE286" i="14"/>
  <c r="AE282" i="14"/>
  <c r="AD278" i="14"/>
  <c r="AE272" i="14"/>
  <c r="AE261" i="14"/>
  <c r="AD274" i="14"/>
  <c r="AD266" i="14"/>
  <c r="AE253" i="14"/>
  <c r="AE242" i="14"/>
  <c r="AD255" i="14"/>
  <c r="AE245" i="14"/>
  <c r="AD245" i="14"/>
  <c r="AE221" i="14"/>
  <c r="AE251" i="14"/>
  <c r="AE259" i="14"/>
  <c r="AE232" i="14"/>
  <c r="AE223" i="14"/>
  <c r="AE238" i="14"/>
  <c r="AE209" i="14"/>
  <c r="AD209" i="14"/>
  <c r="AD215" i="14"/>
  <c r="AF215" i="14"/>
  <c r="AE208" i="14"/>
  <c r="AD211" i="14"/>
  <c r="AE195" i="14"/>
  <c r="AE176" i="14"/>
  <c r="AD176" i="14"/>
  <c r="AD183" i="14"/>
  <c r="AD185" i="14"/>
  <c r="AD186" i="14"/>
  <c r="AE190" i="14"/>
  <c r="AE157" i="14"/>
  <c r="AD161" i="14"/>
  <c r="AD145" i="14"/>
  <c r="AE160" i="14"/>
  <c r="AD166" i="14"/>
  <c r="AD146" i="14"/>
  <c r="AF146" i="14"/>
  <c r="AE137" i="14"/>
  <c r="AD129" i="14"/>
  <c r="AE109" i="14"/>
  <c r="AD136" i="14"/>
  <c r="AD109" i="14"/>
  <c r="AE135" i="14"/>
  <c r="AE144" i="14"/>
  <c r="AE119" i="14"/>
  <c r="AE117" i="14"/>
  <c r="AE100" i="14"/>
  <c r="AD117" i="14"/>
  <c r="AD102" i="14"/>
  <c r="AD89" i="14"/>
  <c r="AE78" i="14"/>
  <c r="AD92" i="14"/>
  <c r="AD70" i="14"/>
  <c r="AD95" i="14"/>
  <c r="AE90" i="14"/>
  <c r="AE67" i="14"/>
  <c r="AD73" i="14"/>
  <c r="AD363" i="14"/>
  <c r="AE351" i="14"/>
  <c r="AD359" i="14"/>
  <c r="AD344" i="14"/>
  <c r="AE343" i="14"/>
  <c r="AD347" i="14"/>
  <c r="AE338" i="14"/>
  <c r="AD331" i="14"/>
  <c r="AE328" i="14"/>
  <c r="AD329" i="14"/>
  <c r="AF329" i="14"/>
  <c r="AE313" i="14"/>
  <c r="AD311" i="14"/>
  <c r="AE318" i="14"/>
  <c r="AD307" i="14"/>
  <c r="AD303" i="14"/>
  <c r="AE304" i="14"/>
  <c r="AD302" i="14"/>
  <c r="AD285" i="14"/>
  <c r="AD283" i="14"/>
  <c r="AE295" i="14"/>
  <c r="AE280" i="14"/>
  <c r="AE290" i="14"/>
  <c r="AD271" i="14"/>
  <c r="AE274" i="14"/>
  <c r="AD275" i="14"/>
  <c r="AD264" i="14"/>
  <c r="AD252" i="14"/>
  <c r="AE255" i="14"/>
  <c r="AE257" i="14"/>
  <c r="AE243" i="14"/>
  <c r="AD242" i="14"/>
  <c r="AD236" i="14"/>
  <c r="AE240" i="14"/>
  <c r="AD247" i="14"/>
  <c r="AE229" i="14"/>
  <c r="AD216" i="14"/>
  <c r="AE230" i="14"/>
  <c r="AE207" i="14"/>
  <c r="AD207" i="14"/>
  <c r="AD213" i="14"/>
  <c r="AE206" i="14"/>
  <c r="AD208" i="14"/>
  <c r="AD190" i="14"/>
  <c r="AE173" i="14"/>
  <c r="AD173" i="14"/>
  <c r="AD192" i="14"/>
  <c r="AE178" i="14"/>
  <c r="AE179" i="14"/>
  <c r="AD187" i="14"/>
  <c r="AE155" i="14"/>
  <c r="AD159" i="14"/>
  <c r="AE168" i="14"/>
  <c r="AE158" i="14"/>
  <c r="AD160" i="14"/>
  <c r="AD144" i="14"/>
  <c r="AE133" i="14"/>
  <c r="AD115" i="14"/>
  <c r="AE107" i="14"/>
  <c r="AD132" i="14"/>
  <c r="AD107" i="14"/>
  <c r="AE131" i="14"/>
  <c r="AD139" i="14"/>
  <c r="AE138" i="14"/>
  <c r="AE114" i="14"/>
  <c r="AE98" i="14"/>
  <c r="AE116" i="14"/>
  <c r="AD100" i="14"/>
  <c r="AD85" i="14"/>
  <c r="AE76" i="14"/>
  <c r="AD88" i="14"/>
  <c r="AD68" i="14"/>
  <c r="AD91" i="14"/>
  <c r="AE86" i="14"/>
  <c r="AD65" i="14"/>
  <c r="AD71" i="14"/>
  <c r="AD357" i="14"/>
  <c r="AE360" i="14"/>
  <c r="AD358" i="14"/>
  <c r="AD342" i="14"/>
  <c r="AE341" i="14"/>
  <c r="AE347" i="14"/>
  <c r="AD337" i="14"/>
  <c r="AE340" i="14"/>
  <c r="AE326" i="14"/>
  <c r="AE323" i="14"/>
  <c r="AE312" i="14"/>
  <c r="AD309" i="14"/>
  <c r="AD316" i="14"/>
  <c r="AD314" i="14"/>
  <c r="AD301" i="14"/>
  <c r="AE302" i="14"/>
  <c r="AD300" i="14"/>
  <c r="AE283" i="14"/>
  <c r="AD281" i="14"/>
  <c r="AD294" i="14"/>
  <c r="AE278" i="14"/>
  <c r="AD289" i="14"/>
  <c r="AE273" i="14"/>
  <c r="AD273" i="14"/>
  <c r="AE268" i="14"/>
  <c r="AD262" i="14"/>
  <c r="AE254" i="14"/>
  <c r="AD254" i="14"/>
  <c r="AD256" i="14"/>
  <c r="AE241" i="14"/>
  <c r="AD238" i="14"/>
  <c r="AF238" i="14"/>
  <c r="AD235" i="14"/>
  <c r="AF235" i="14"/>
  <c r="AD234" i="14"/>
  <c r="AD240" i="14"/>
  <c r="AD222" i="14"/>
  <c r="AD249" i="14"/>
  <c r="AE227" i="14"/>
  <c r="AE205" i="14"/>
  <c r="AD205" i="14"/>
  <c r="AE212" i="14"/>
  <c r="AE204" i="14"/>
  <c r="AD206" i="14"/>
  <c r="AE181" i="14"/>
  <c r="AE171" i="14"/>
  <c r="AD171" i="14"/>
  <c r="AD188" i="14"/>
  <c r="AD177" i="14"/>
  <c r="AD178" i="14"/>
  <c r="AE180" i="14"/>
  <c r="AE153" i="14"/>
  <c r="AD157" i="14"/>
  <c r="AE164" i="14"/>
  <c r="AE156" i="14"/>
  <c r="AD158" i="14"/>
  <c r="AD142" i="14"/>
  <c r="AE129" i="14"/>
  <c r="AE136" i="14"/>
  <c r="AE105" i="14"/>
  <c r="AD128" i="14"/>
  <c r="AD105" i="14"/>
  <c r="AE127" i="14"/>
  <c r="AD135" i="14"/>
  <c r="AE134" i="14"/>
  <c r="AE112" i="14"/>
  <c r="AE141" i="14"/>
  <c r="AD114" i="14"/>
  <c r="AD98" i="14"/>
  <c r="AD81" i="14"/>
  <c r="AE74" i="14"/>
  <c r="AD84" i="14"/>
  <c r="AE95" i="14"/>
  <c r="AD87" i="14"/>
  <c r="AE82" i="14"/>
  <c r="AD94" i="14"/>
  <c r="AD69" i="14"/>
  <c r="AD356" i="14"/>
  <c r="AE362" i="14"/>
  <c r="AE357" i="14"/>
  <c r="AD350" i="14"/>
  <c r="AE359" i="14"/>
  <c r="AD338" i="14"/>
  <c r="AE336" i="14"/>
  <c r="AD327" i="14"/>
  <c r="AE324" i="14"/>
  <c r="AE339" i="14"/>
  <c r="AE311" i="14"/>
  <c r="AD330" i="14"/>
  <c r="AE310" i="14"/>
  <c r="AE308" i="14"/>
  <c r="AD299" i="14"/>
  <c r="AE300" i="14"/>
  <c r="AD298" i="14"/>
  <c r="AE281" i="14"/>
  <c r="AD279" i="14"/>
  <c r="AE287" i="14"/>
  <c r="AE289" i="14"/>
  <c r="AD284" i="14"/>
  <c r="AD272" i="14"/>
  <c r="AD269" i="14"/>
  <c r="AE266" i="14"/>
  <c r="AE260" i="14"/>
  <c r="AD253" i="14"/>
  <c r="AD250" i="14"/>
  <c r="AD261" i="14"/>
  <c r="AE239" i="14"/>
  <c r="AD237" i="14"/>
  <c r="AE234" i="14"/>
  <c r="AD233" i="14"/>
  <c r="AD228" i="14"/>
  <c r="AD243" i="14"/>
  <c r="AD239" i="14"/>
  <c r="AD220" i="14"/>
  <c r="AE203" i="14"/>
  <c r="AD203" i="14"/>
  <c r="AD212" i="14"/>
  <c r="AE202" i="14"/>
  <c r="AD204" i="14"/>
  <c r="AD180" i="14"/>
  <c r="AE169" i="14"/>
  <c r="AD169" i="14"/>
  <c r="AE185" i="14"/>
  <c r="AE174" i="14"/>
  <c r="AE175" i="14"/>
  <c r="AD179" i="14"/>
  <c r="AE151" i="14"/>
  <c r="AD155" i="14"/>
  <c r="AD163" i="14"/>
  <c r="AF163" i="14"/>
  <c r="AE154" i="14"/>
  <c r="AD156" i="14"/>
  <c r="AD140" i="14"/>
  <c r="AF140" i="14"/>
  <c r="AD116" i="14"/>
  <c r="AE132" i="14"/>
  <c r="AE103" i="14"/>
  <c r="AD125" i="14"/>
  <c r="AD103" i="14"/>
  <c r="AD124" i="14"/>
  <c r="AD131" i="14"/>
  <c r="AE130" i="14"/>
  <c r="AE110" i="14"/>
  <c r="AD138" i="14"/>
  <c r="AD112" i="14"/>
  <c r="AE93" i="14"/>
  <c r="AE96" i="14"/>
  <c r="AE72" i="14"/>
  <c r="AD80" i="14"/>
  <c r="AE91" i="14"/>
  <c r="AD83" i="14"/>
  <c r="AE77" i="14"/>
  <c r="AD90" i="14"/>
  <c r="AD67" i="14"/>
  <c r="BV361" i="14"/>
  <c r="BV358" i="14"/>
  <c r="BW353" i="14"/>
  <c r="BW345" i="14"/>
  <c r="BW348" i="14"/>
  <c r="BV344" i="14"/>
  <c r="BV346" i="14"/>
  <c r="BW336" i="14"/>
  <c r="BW331" i="14"/>
  <c r="BV328" i="14"/>
  <c r="BW312" i="14"/>
  <c r="BV312" i="14"/>
  <c r="BW316" i="14"/>
  <c r="BV309" i="14"/>
  <c r="BW298" i="14"/>
  <c r="BW305" i="14"/>
  <c r="BV303" i="14"/>
  <c r="BV290" i="14"/>
  <c r="BV280" i="14"/>
  <c r="BV294" i="14"/>
  <c r="BV296" i="14"/>
  <c r="BW289" i="14"/>
  <c r="BW272" i="14"/>
  <c r="BV272" i="14"/>
  <c r="BW275" i="14"/>
  <c r="BV267" i="14"/>
  <c r="BV259" i="14"/>
  <c r="BW245" i="14"/>
  <c r="BV243" i="14"/>
  <c r="BW246" i="14"/>
  <c r="BW231" i="14"/>
  <c r="BV248" i="14"/>
  <c r="BV238" i="14"/>
  <c r="BV244" i="14"/>
  <c r="BW250" i="14"/>
  <c r="BW217" i="14"/>
  <c r="BV246" i="14"/>
  <c r="BW211" i="14"/>
  <c r="BW198" i="14"/>
  <c r="BV196" i="14"/>
  <c r="BW203" i="14"/>
  <c r="BV209" i="14"/>
  <c r="BV193" i="14"/>
  <c r="BW181" i="14"/>
  <c r="BV181" i="14"/>
  <c r="BV174" i="14"/>
  <c r="BW177" i="14"/>
  <c r="BW178" i="14"/>
  <c r="BW187" i="14"/>
  <c r="BW154" i="14"/>
  <c r="BV154" i="14"/>
  <c r="BV163" i="14"/>
  <c r="BW151" i="14"/>
  <c r="BV155" i="14"/>
  <c r="BW167" i="14"/>
  <c r="BV123" i="14"/>
  <c r="BV121" i="14"/>
  <c r="BV119" i="14"/>
  <c r="BW106" i="14"/>
  <c r="BV135" i="14"/>
  <c r="BV110" i="14"/>
  <c r="BV140" i="14"/>
  <c r="BV138" i="14"/>
  <c r="BW125" i="14"/>
  <c r="BW101" i="14"/>
  <c r="BW123" i="14"/>
  <c r="BV101" i="14"/>
  <c r="BV92" i="14"/>
  <c r="BW77" i="14"/>
  <c r="BV87" i="14"/>
  <c r="BW66" i="14"/>
  <c r="BV94" i="14"/>
  <c r="BW85" i="14"/>
  <c r="BW68" i="14"/>
  <c r="BV72" i="14"/>
  <c r="BW359" i="14"/>
  <c r="BW356" i="14"/>
  <c r="BV353" i="14"/>
  <c r="BW341" i="14"/>
  <c r="BW347" i="14"/>
  <c r="BV337" i="14"/>
  <c r="BV338" i="14"/>
  <c r="BV324" i="14"/>
  <c r="BW327" i="14"/>
  <c r="BV325" i="14"/>
  <c r="BW308" i="14"/>
  <c r="BV329" i="14"/>
  <c r="BW311" i="14"/>
  <c r="BV306" i="14"/>
  <c r="BV304" i="14"/>
  <c r="BW301" i="14"/>
  <c r="BV299" i="14"/>
  <c r="BW280" i="14"/>
  <c r="BW293" i="14"/>
  <c r="BV286" i="14"/>
  <c r="BW288" i="14"/>
  <c r="BW285" i="14"/>
  <c r="BW268" i="14"/>
  <c r="BV266" i="14"/>
  <c r="BV275" i="14"/>
  <c r="BV263" i="14"/>
  <c r="BV251" i="14"/>
  <c r="BW241" i="14"/>
  <c r="BV254" i="14"/>
  <c r="BW242" i="14"/>
  <c r="BV221" i="14"/>
  <c r="BV225" i="14"/>
  <c r="BV232" i="14"/>
  <c r="BV236" i="14"/>
  <c r="BV235" i="14"/>
  <c r="BW239" i="14"/>
  <c r="BV227" i="14"/>
  <c r="BV211" i="14"/>
  <c r="BV208" i="14"/>
  <c r="BV214" i="14"/>
  <c r="BW199" i="14"/>
  <c r="BV205" i="14"/>
  <c r="BV187" i="14"/>
  <c r="BW172" i="14"/>
  <c r="BV172" i="14"/>
  <c r="BV191" i="14"/>
  <c r="BW173" i="14"/>
  <c r="BV175" i="14"/>
  <c r="BW179" i="14"/>
  <c r="BW150" i="14"/>
  <c r="BV150" i="14"/>
  <c r="BV164" i="14"/>
  <c r="BW147" i="14"/>
  <c r="BV151" i="14"/>
  <c r="BV167" i="14"/>
  <c r="BW121" i="14"/>
  <c r="BW119" i="14"/>
  <c r="BW117" i="14"/>
  <c r="BW102" i="14"/>
  <c r="BV127" i="14"/>
  <c r="BV106" i="14"/>
  <c r="BW134" i="14"/>
  <c r="BV130" i="14"/>
  <c r="BW113" i="14"/>
  <c r="BW97" i="14"/>
  <c r="BV113" i="14"/>
  <c r="BW96" i="14"/>
  <c r="BV84" i="14"/>
  <c r="BW73" i="14"/>
  <c r="BV77" i="14"/>
  <c r="BW94" i="14"/>
  <c r="BV86" i="14"/>
  <c r="BV79" i="14"/>
  <c r="BV89" i="14"/>
  <c r="BV68" i="14"/>
  <c r="BW360" i="14"/>
  <c r="BW358" i="14"/>
  <c r="BV356" i="14"/>
  <c r="BW361" i="14"/>
  <c r="BV343" i="14"/>
  <c r="BV350" i="14"/>
  <c r="BV340" i="14"/>
  <c r="BV336" i="14"/>
  <c r="BV334" i="14"/>
  <c r="BW321" i="14"/>
  <c r="BV319" i="14"/>
  <c r="BV318" i="14"/>
  <c r="BV314" i="14"/>
  <c r="BV321" i="14"/>
  <c r="BW304" i="14"/>
  <c r="BV298" i="14"/>
  <c r="BV313" i="14"/>
  <c r="BV289" i="14"/>
  <c r="BW292" i="14"/>
  <c r="BV293" i="14"/>
  <c r="BW281" i="14"/>
  <c r="BV281" i="14"/>
  <c r="BV277" i="14"/>
  <c r="BW262" i="14"/>
  <c r="BW274" i="14"/>
  <c r="BW263" i="14"/>
  <c r="BV258" i="14"/>
  <c r="BV252" i="14"/>
  <c r="BV249" i="14"/>
  <c r="BW257" i="14"/>
  <c r="BW236" i="14"/>
  <c r="BW225" i="14"/>
  <c r="BW216" i="14"/>
  <c r="BV219" i="14"/>
  <c r="BV226" i="14"/>
  <c r="BW230" i="14"/>
  <c r="BW227" i="14"/>
  <c r="BW218" i="14"/>
  <c r="BW204" i="14"/>
  <c r="BV202" i="14"/>
  <c r="BW209" i="14"/>
  <c r="BW215" i="14"/>
  <c r="BV199" i="14"/>
  <c r="BV176" i="14"/>
  <c r="BV192" i="14"/>
  <c r="BW191" i="14"/>
  <c r="BW190" i="14"/>
  <c r="BV190" i="14"/>
  <c r="BV169" i="14"/>
  <c r="BW160" i="14"/>
  <c r="BV160" i="14"/>
  <c r="BW163" i="14"/>
  <c r="BW157" i="14"/>
  <c r="BV161" i="14"/>
  <c r="BV145" i="14"/>
  <c r="BW136" i="14"/>
  <c r="BV136" i="14"/>
  <c r="BW135" i="14"/>
  <c r="BW112" i="14"/>
  <c r="BW146" i="14"/>
  <c r="BW115" i="14"/>
  <c r="BV100" i="14"/>
  <c r="BV115" i="14"/>
  <c r="BW137" i="14"/>
  <c r="BW107" i="14"/>
  <c r="BV129" i="14"/>
  <c r="BV107" i="14"/>
  <c r="BW84" i="14"/>
  <c r="BW91" i="14"/>
  <c r="BW67" i="14"/>
  <c r="BV71" i="14"/>
  <c r="BW82" i="14"/>
  <c r="BV65" i="14"/>
  <c r="BW74" i="14"/>
  <c r="BV78" i="14"/>
  <c r="BV364" i="14"/>
  <c r="BW357" i="14"/>
  <c r="BV355" i="14"/>
  <c r="BV352" i="14"/>
  <c r="BV341" i="14"/>
  <c r="BV347" i="14"/>
  <c r="BW339" i="14"/>
  <c r="BW335" i="14"/>
  <c r="BW332" i="14"/>
  <c r="BV333" i="14"/>
  <c r="BW318" i="14"/>
  <c r="BV317" i="14"/>
  <c r="BW330" i="14"/>
  <c r="BV316" i="14"/>
  <c r="BW302" i="14"/>
  <c r="BW314" i="14"/>
  <c r="BW306" i="14"/>
  <c r="BV285" i="14"/>
  <c r="BV291" i="14"/>
  <c r="BW286" i="14"/>
  <c r="BW279" i="14"/>
  <c r="BV279" i="14"/>
  <c r="BW271" i="14"/>
  <c r="BW260" i="14"/>
  <c r="BV273" i="14"/>
  <c r="BW261" i="14"/>
  <c r="BW251" i="14"/>
  <c r="BW249" i="14"/>
  <c r="BV247" i="14"/>
  <c r="BV256" i="14"/>
  <c r="BW234" i="14"/>
  <c r="BW222" i="14"/>
  <c r="BV257" i="14"/>
  <c r="BV216" i="14"/>
  <c r="BW223" i="14"/>
  <c r="BV223" i="14"/>
  <c r="BW224" i="14"/>
  <c r="BW213" i="14"/>
  <c r="BW202" i="14"/>
  <c r="BV200" i="14"/>
  <c r="BW207" i="14"/>
  <c r="BW212" i="14"/>
  <c r="BV197" i="14"/>
  <c r="BW192" i="14"/>
  <c r="BV188" i="14"/>
  <c r="BW183" i="14"/>
  <c r="BW185" i="14"/>
  <c r="BW186" i="14"/>
  <c r="BW193" i="14"/>
  <c r="BW158" i="14"/>
  <c r="BV158" i="14"/>
  <c r="BV162" i="14"/>
  <c r="BW155" i="14"/>
  <c r="BV159" i="14"/>
  <c r="BV143" i="14"/>
  <c r="BW132" i="14"/>
  <c r="BV132" i="14"/>
  <c r="BW131" i="14"/>
  <c r="BW110" i="14"/>
  <c r="BW140" i="14"/>
  <c r="BV114" i="14"/>
  <c r="BV98" i="14"/>
  <c r="BW144" i="14"/>
  <c r="BW133" i="14"/>
  <c r="BW105" i="14"/>
  <c r="BV125" i="14"/>
  <c r="BV105" i="14"/>
  <c r="BW80" i="14"/>
  <c r="BW87" i="14"/>
  <c r="BV95" i="14"/>
  <c r="BV69" i="14"/>
  <c r="BV66" i="14"/>
  <c r="BW93" i="14"/>
  <c r="BW72" i="14"/>
  <c r="BV76" i="14"/>
  <c r="BV359" i="14"/>
  <c r="BW349" i="14"/>
  <c r="BW342" i="14"/>
  <c r="BW337" i="14"/>
  <c r="BW323" i="14"/>
  <c r="BW320" i="14"/>
  <c r="BV330" i="14"/>
  <c r="BV300" i="14"/>
  <c r="BW290" i="14"/>
  <c r="BW294" i="14"/>
  <c r="BV283" i="14"/>
  <c r="BW264" i="14"/>
  <c r="BW265" i="14"/>
  <c r="BW253" i="14"/>
  <c r="BV255" i="14"/>
  <c r="BV228" i="14"/>
  <c r="BW226" i="14"/>
  <c r="BW233" i="14"/>
  <c r="BW221" i="14"/>
  <c r="BV204" i="14"/>
  <c r="BW195" i="14"/>
  <c r="BV179" i="14"/>
  <c r="BV168" i="14"/>
  <c r="BW169" i="14"/>
  <c r="BW176" i="14"/>
  <c r="BV146" i="14"/>
  <c r="BV165" i="14"/>
  <c r="BW141" i="14"/>
  <c r="BW139" i="14"/>
  <c r="BW98" i="14"/>
  <c r="BV102" i="14"/>
  <c r="BV144" i="14"/>
  <c r="BV133" i="14"/>
  <c r="BW88" i="14"/>
  <c r="BW69" i="14"/>
  <c r="BW86" i="14"/>
  <c r="BW76" i="14"/>
  <c r="BV360" i="14"/>
  <c r="BV351" i="14"/>
  <c r="BW346" i="14"/>
  <c r="BW333" i="14"/>
  <c r="BW329" i="14"/>
  <c r="BW313" i="14"/>
  <c r="BV311" i="14"/>
  <c r="BX311" i="14"/>
  <c r="BV308" i="14"/>
  <c r="BW291" i="14"/>
  <c r="BW284" i="14"/>
  <c r="BV295" i="14"/>
  <c r="BW273" i="14"/>
  <c r="BW269" i="14"/>
  <c r="BW247" i="14"/>
  <c r="BW248" i="14"/>
  <c r="BV215" i="14"/>
  <c r="BW214" i="14"/>
  <c r="BV220" i="14"/>
  <c r="BV212" i="14"/>
  <c r="BV198" i="14"/>
  <c r="BV210" i="14"/>
  <c r="BW188" i="14"/>
  <c r="BV182" i="14"/>
  <c r="BV185" i="14"/>
  <c r="BW156" i="14"/>
  <c r="BW164" i="14"/>
  <c r="BV157" i="14"/>
  <c r="BW128" i="14"/>
  <c r="BW127" i="14"/>
  <c r="BV139" i="14"/>
  <c r="BW142" i="14"/>
  <c r="BW129" i="14"/>
  <c r="BV124" i="14"/>
  <c r="BV96" i="14"/>
  <c r="BV91" i="14"/>
  <c r="BW65" i="14"/>
  <c r="BW70" i="14"/>
  <c r="BV357" i="14"/>
  <c r="BW343" i="14"/>
  <c r="BV342" i="14"/>
  <c r="BV326" i="14"/>
  <c r="BV323" i="14"/>
  <c r="BV310" i="14"/>
  <c r="BW307" i="14"/>
  <c r="BW303" i="14"/>
  <c r="BW282" i="14"/>
  <c r="BW287" i="14"/>
  <c r="BV288" i="14"/>
  <c r="BV268" i="14"/>
  <c r="BX268" i="14"/>
  <c r="BV265" i="14"/>
  <c r="BW243" i="14"/>
  <c r="BW244" i="14"/>
  <c r="BW232" i="14"/>
  <c r="BV237" i="14"/>
  <c r="BW258" i="14"/>
  <c r="BV213" i="14"/>
  <c r="BV194" i="14"/>
  <c r="BV207" i="14"/>
  <c r="BV180" i="14"/>
  <c r="BW194" i="14"/>
  <c r="BV177" i="14"/>
  <c r="BW152" i="14"/>
  <c r="BW165" i="14"/>
  <c r="BV153" i="14"/>
  <c r="BV122" i="14"/>
  <c r="BV118" i="14"/>
  <c r="BV131" i="14"/>
  <c r="BW138" i="14"/>
  <c r="BW124" i="14"/>
  <c r="BW122" i="14"/>
  <c r="BV88" i="14"/>
  <c r="BV83" i="14"/>
  <c r="BV90" i="14"/>
  <c r="BV93" i="14"/>
  <c r="BW364" i="14"/>
  <c r="BW355" i="14"/>
  <c r="BW352" i="14"/>
  <c r="BV335" i="14"/>
  <c r="BV322" i="14"/>
  <c r="BW319" i="14"/>
  <c r="BW324" i="14"/>
  <c r="BW322" i="14"/>
  <c r="BW299" i="14"/>
  <c r="BW278" i="14"/>
  <c r="BV284" i="14"/>
  <c r="BW270" i="14"/>
  <c r="BV264" i="14"/>
  <c r="BX264" i="14"/>
  <c r="BV261" i="14"/>
  <c r="BW254" i="14"/>
  <c r="BW240" i="14"/>
  <c r="BV222" i="14"/>
  <c r="BW235" i="14"/>
  <c r="BV233" i="14"/>
  <c r="BX233" i="14"/>
  <c r="BW208" i="14"/>
  <c r="BV218" i="14"/>
  <c r="BV203" i="14"/>
  <c r="BX203" i="14"/>
  <c r="BW170" i="14"/>
  <c r="BW184" i="14"/>
  <c r="BV173" i="14"/>
  <c r="BW148" i="14"/>
  <c r="BW161" i="14"/>
  <c r="BV149" i="14"/>
  <c r="BW120" i="14"/>
  <c r="BW116" i="14"/>
  <c r="BV117" i="14"/>
  <c r="BW130" i="14"/>
  <c r="BW111" i="14"/>
  <c r="BV111" i="14"/>
  <c r="BV80" i="14"/>
  <c r="BV75" i="14"/>
  <c r="BV82" i="14"/>
  <c r="BV85" i="14"/>
  <c r="BX85" i="14"/>
  <c r="BW362" i="14"/>
  <c r="BV362" i="14"/>
  <c r="BV345" i="14"/>
  <c r="BX345" i="14"/>
  <c r="BW340" i="14"/>
  <c r="BV320" i="14"/>
  <c r="BV327" i="14"/>
  <c r="BW315" i="14"/>
  <c r="BV307" i="14"/>
  <c r="BW297" i="14"/>
  <c r="BW276" i="14"/>
  <c r="BW283" i="14"/>
  <c r="BV269" i="14"/>
  <c r="BV262" i="14"/>
  <c r="BX262" i="14"/>
  <c r="BW259" i="14"/>
  <c r="BV253" i="14"/>
  <c r="BW238" i="14"/>
  <c r="BW219" i="14"/>
  <c r="BV229" i="14"/>
  <c r="BV230" i="14"/>
  <c r="BW206" i="14"/>
  <c r="BW210" i="14"/>
  <c r="BV201" i="14"/>
  <c r="BW168" i="14"/>
  <c r="BV183" i="14"/>
  <c r="BV171" i="14"/>
  <c r="BW162" i="14"/>
  <c r="BW159" i="14"/>
  <c r="BV147" i="14"/>
  <c r="BW143" i="14"/>
  <c r="BW114" i="14"/>
  <c r="BV116" i="14"/>
  <c r="BW126" i="14"/>
  <c r="BW109" i="14"/>
  <c r="BV109" i="14"/>
  <c r="BW95" i="14"/>
  <c r="BV73" i="14"/>
  <c r="BW79" i="14"/>
  <c r="BV81" i="14"/>
  <c r="BV363" i="14"/>
  <c r="BW354" i="14"/>
  <c r="BV349" i="14"/>
  <c r="BW338" i="14"/>
  <c r="BV332" i="14"/>
  <c r="BW317" i="14"/>
  <c r="BW326" i="14"/>
  <c r="BW300" i="14"/>
  <c r="BV305" i="14"/>
  <c r="BX305" i="14"/>
  <c r="BV282" i="14"/>
  <c r="BW277" i="14"/>
  <c r="BV270" i="14"/>
  <c r="BV276" i="14"/>
  <c r="BV250" i="14"/>
  <c r="BV245" i="14"/>
  <c r="BV241" i="14"/>
  <c r="BX241" i="14"/>
  <c r="BV242" i="14"/>
  <c r="BW220" i="14"/>
  <c r="BV217" i="14"/>
  <c r="BW200" i="14"/>
  <c r="BW205" i="14"/>
  <c r="BV195" i="14"/>
  <c r="BW182" i="14"/>
  <c r="BV184" i="14"/>
  <c r="BW189" i="14"/>
  <c r="BV156" i="14"/>
  <c r="BW153" i="14"/>
  <c r="BV141" i="14"/>
  <c r="BV128" i="14"/>
  <c r="BW108" i="14"/>
  <c r="BV112" i="14"/>
  <c r="BV142" i="14"/>
  <c r="BW103" i="14"/>
  <c r="BV103" i="14"/>
  <c r="BW83" i="14"/>
  <c r="BV67" i="14"/>
  <c r="BW89" i="14"/>
  <c r="BV74" i="14"/>
  <c r="BW363" i="14"/>
  <c r="BV354" i="14"/>
  <c r="BV348" i="14"/>
  <c r="BV339" i="14"/>
  <c r="BV331" i="14"/>
  <c r="BW310" i="14"/>
  <c r="BV315" i="14"/>
  <c r="BW296" i="14"/>
  <c r="BV301" i="14"/>
  <c r="BV278" i="14"/>
  <c r="BW295" i="14"/>
  <c r="BV271" i="14"/>
  <c r="BV274" i="14"/>
  <c r="BW252" i="14"/>
  <c r="BW255" i="14"/>
  <c r="BW228" i="14"/>
  <c r="BW237" i="14"/>
  <c r="BV240" i="14"/>
  <c r="BV239" i="14"/>
  <c r="BW196" i="14"/>
  <c r="BW201" i="14"/>
  <c r="BV189" i="14"/>
  <c r="BW174" i="14"/>
  <c r="BW175" i="14"/>
  <c r="BV186" i="14"/>
  <c r="BV152" i="14"/>
  <c r="BX152" i="14"/>
  <c r="BW149" i="14"/>
  <c r="BV166" i="14"/>
  <c r="BV120" i="14"/>
  <c r="BW104" i="14"/>
  <c r="BV108" i="14"/>
  <c r="BV134" i="14"/>
  <c r="BW99" i="14"/>
  <c r="BV99" i="14"/>
  <c r="BW75" i="14"/>
  <c r="BV97" i="14"/>
  <c r="BW81" i="14"/>
  <c r="BV70" i="14"/>
  <c r="BW350" i="14"/>
  <c r="BW351" i="14"/>
  <c r="BW344" i="14"/>
  <c r="BW334" i="14"/>
  <c r="BW325" i="14"/>
  <c r="BW328" i="14"/>
  <c r="BW309" i="14"/>
  <c r="BV302" i="14"/>
  <c r="BV297" i="14"/>
  <c r="BV292" i="14"/>
  <c r="BV287" i="14"/>
  <c r="BW266" i="14"/>
  <c r="BW267" i="14"/>
  <c r="BV260" i="14"/>
  <c r="BX260" i="14"/>
  <c r="BW256" i="14"/>
  <c r="BV231" i="14"/>
  <c r="BW229" i="14"/>
  <c r="BV234" i="14"/>
  <c r="BV224" i="14"/>
  <c r="BX224" i="14"/>
  <c r="BV206" i="14"/>
  <c r="BW197" i="14"/>
  <c r="BW180" i="14"/>
  <c r="BV170" i="14"/>
  <c r="BX170" i="14"/>
  <c r="BW171" i="14"/>
  <c r="BV178" i="14"/>
  <c r="BV148" i="14"/>
  <c r="BX148" i="14"/>
  <c r="BW166" i="14"/>
  <c r="BW145" i="14"/>
  <c r="BW118" i="14"/>
  <c r="BW100" i="14"/>
  <c r="BV104" i="14"/>
  <c r="BV126" i="14"/>
  <c r="BV137" i="14"/>
  <c r="BW92" i="14"/>
  <c r="BW71" i="14"/>
  <c r="BW90" i="14"/>
  <c r="BW78" i="14"/>
  <c r="AX110" i="14"/>
  <c r="AX132" i="14"/>
  <c r="AX175" i="14"/>
  <c r="AX70" i="14"/>
  <c r="AX124" i="14"/>
  <c r="AX214" i="14"/>
  <c r="AX251" i="14"/>
  <c r="AX143" i="14"/>
  <c r="AX217" i="14"/>
  <c r="AX303" i="14"/>
  <c r="AX88" i="14"/>
  <c r="AX114" i="14"/>
  <c r="AX208" i="14"/>
  <c r="AX243" i="14"/>
  <c r="AX264" i="14"/>
  <c r="AX111" i="14"/>
  <c r="AX223" i="14"/>
  <c r="AX244" i="14"/>
  <c r="AX294" i="14"/>
  <c r="E220" i="14"/>
  <c r="E292" i="14"/>
  <c r="E212" i="14"/>
  <c r="E158" i="14"/>
  <c r="E211" i="14"/>
  <c r="E287" i="14"/>
  <c r="E140" i="14"/>
  <c r="E169" i="14"/>
  <c r="E84" i="14"/>
  <c r="E114" i="14"/>
  <c r="E164" i="14"/>
  <c r="E249" i="14"/>
  <c r="E345" i="14"/>
  <c r="E120" i="14"/>
  <c r="E166" i="14"/>
  <c r="E202" i="14"/>
  <c r="E237" i="14"/>
  <c r="AO189" i="14"/>
  <c r="AO138" i="14"/>
  <c r="AO147" i="14"/>
  <c r="AO341" i="14"/>
  <c r="AO95" i="14"/>
  <c r="AO243" i="14"/>
  <c r="AO139" i="14"/>
  <c r="AO182" i="14"/>
  <c r="AO330" i="14"/>
  <c r="AO185" i="14"/>
  <c r="AO325" i="14"/>
  <c r="AO202" i="14"/>
  <c r="AO262" i="14"/>
  <c r="AO312" i="14"/>
  <c r="DJ65" i="14"/>
  <c r="N122" i="14"/>
  <c r="N206" i="14"/>
  <c r="N173" i="14"/>
  <c r="N230" i="14"/>
  <c r="N269" i="14"/>
  <c r="N71" i="14"/>
  <c r="N128" i="14"/>
  <c r="N232" i="14"/>
  <c r="N268" i="14"/>
  <c r="N285" i="14"/>
  <c r="N353" i="14"/>
  <c r="N257" i="14"/>
  <c r="N135" i="14"/>
  <c r="N210" i="14"/>
  <c r="N155" i="14"/>
  <c r="N243" i="14"/>
  <c r="N279" i="14"/>
  <c r="CG289" i="14"/>
  <c r="CY346" i="14"/>
  <c r="CY178" i="14"/>
  <c r="CR65" i="14"/>
  <c r="CG65" i="14"/>
  <c r="CH65" i="14"/>
  <c r="CH66" i="14"/>
  <c r="CH67" i="14"/>
  <c r="CH68" i="14"/>
  <c r="CH69" i="14"/>
  <c r="CH70" i="14"/>
  <c r="CH71" i="14"/>
  <c r="CH72" i="14"/>
  <c r="CH73" i="14"/>
  <c r="CH74" i="14"/>
  <c r="CH75" i="14"/>
  <c r="CH76" i="14"/>
  <c r="CH77" i="14"/>
  <c r="CH78" i="14"/>
  <c r="CH79" i="14"/>
  <c r="CH80" i="14"/>
  <c r="CH81" i="14"/>
  <c r="CH82" i="14"/>
  <c r="CH83" i="14"/>
  <c r="CH84" i="14"/>
  <c r="CH85" i="14"/>
  <c r="CH86" i="14"/>
  <c r="CH87" i="14"/>
  <c r="CH88" i="14"/>
  <c r="CH89" i="14"/>
  <c r="CH90" i="14"/>
  <c r="CH91" i="14"/>
  <c r="CH92" i="14"/>
  <c r="CH93" i="14"/>
  <c r="CH94" i="14"/>
  <c r="CH95" i="14"/>
  <c r="CH96" i="14"/>
  <c r="CH97" i="14"/>
  <c r="CH98" i="14"/>
  <c r="CH99" i="14"/>
  <c r="CH100" i="14"/>
  <c r="CH101" i="14"/>
  <c r="CH102" i="14"/>
  <c r="CH103" i="14"/>
  <c r="CH104" i="14"/>
  <c r="CH105" i="14"/>
  <c r="CH106" i="14"/>
  <c r="CH107" i="14"/>
  <c r="CH108" i="14"/>
  <c r="CH109" i="14"/>
  <c r="CH110" i="14"/>
  <c r="CH111" i="14"/>
  <c r="CH112" i="14"/>
  <c r="CH113" i="14"/>
  <c r="CH114" i="14"/>
  <c r="CH115" i="14"/>
  <c r="CH116" i="14"/>
  <c r="CH117" i="14"/>
  <c r="CH118" i="14"/>
  <c r="CH119" i="14"/>
  <c r="CH120" i="14"/>
  <c r="CH121" i="14"/>
  <c r="CH122" i="14"/>
  <c r="CH123" i="14"/>
  <c r="CH124" i="14"/>
  <c r="CH125" i="14"/>
  <c r="CH126" i="14"/>
  <c r="CH127" i="14"/>
  <c r="CH128" i="14"/>
  <c r="CH129" i="14"/>
  <c r="CH130" i="14"/>
  <c r="CH131" i="14"/>
  <c r="CH132" i="14"/>
  <c r="CH133" i="14"/>
  <c r="CH134" i="14"/>
  <c r="CH135" i="14"/>
  <c r="CH136" i="14"/>
  <c r="CH137" i="14"/>
  <c r="CH138" i="14"/>
  <c r="CH139" i="14"/>
  <c r="CH140" i="14"/>
  <c r="CH141" i="14"/>
  <c r="CH142" i="14"/>
  <c r="CH143" i="14"/>
  <c r="CH144" i="14"/>
  <c r="CH145" i="14"/>
  <c r="CH146" i="14"/>
  <c r="CH147" i="14"/>
  <c r="CH148" i="14"/>
  <c r="CH149" i="14"/>
  <c r="CH150" i="14"/>
  <c r="CH151" i="14"/>
  <c r="CH152" i="14"/>
  <c r="CH153" i="14"/>
  <c r="CH154" i="14"/>
  <c r="CH155" i="14"/>
  <c r="CH156" i="14"/>
  <c r="CH157" i="14"/>
  <c r="CH158" i="14"/>
  <c r="CH159" i="14"/>
  <c r="CH160" i="14"/>
  <c r="CH161" i="14"/>
  <c r="CH162" i="14"/>
  <c r="CH163" i="14"/>
  <c r="CH164" i="14"/>
  <c r="CH165" i="14"/>
  <c r="CH166" i="14"/>
  <c r="CH167" i="14"/>
  <c r="CH168" i="14"/>
  <c r="CH169" i="14"/>
  <c r="CH170" i="14"/>
  <c r="CH171" i="14"/>
  <c r="CH172" i="14"/>
  <c r="CH173" i="14"/>
  <c r="CH174" i="14"/>
  <c r="CH175" i="14"/>
  <c r="CH176" i="14"/>
  <c r="CH177" i="14"/>
  <c r="CH178" i="14"/>
  <c r="CH179" i="14"/>
  <c r="CH180" i="14"/>
  <c r="CH181" i="14"/>
  <c r="CH182" i="14"/>
  <c r="CH183" i="14"/>
  <c r="CH184" i="14"/>
  <c r="CH185" i="14"/>
  <c r="CH186" i="14"/>
  <c r="CH187" i="14"/>
  <c r="CH188" i="14"/>
  <c r="CH189" i="14"/>
  <c r="CH190" i="14"/>
  <c r="CH191" i="14"/>
  <c r="CH192" i="14"/>
  <c r="CH193" i="14"/>
  <c r="CH194" i="14"/>
  <c r="CH195" i="14"/>
  <c r="CH196" i="14"/>
  <c r="CH197" i="14"/>
  <c r="CH198" i="14"/>
  <c r="CH199" i="14"/>
  <c r="CH200" i="14"/>
  <c r="CH201" i="14"/>
  <c r="CH202" i="14"/>
  <c r="CH203" i="14"/>
  <c r="CH204" i="14"/>
  <c r="CH205" i="14"/>
  <c r="CH206" i="14"/>
  <c r="CH207" i="14"/>
  <c r="CH208" i="14"/>
  <c r="CH209" i="14"/>
  <c r="CH210" i="14"/>
  <c r="CH211" i="14"/>
  <c r="CH212" i="14"/>
  <c r="CH213" i="14"/>
  <c r="CH214" i="14"/>
  <c r="CH215" i="14"/>
  <c r="CH216" i="14"/>
  <c r="CH217" i="14"/>
  <c r="CH218" i="14"/>
  <c r="CH219" i="14"/>
  <c r="CH220" i="14"/>
  <c r="CH221" i="14"/>
  <c r="CH222" i="14"/>
  <c r="CH223" i="14"/>
  <c r="CH224" i="14"/>
  <c r="CH225" i="14"/>
  <c r="CH226" i="14"/>
  <c r="CH227" i="14"/>
  <c r="CH228" i="14"/>
  <c r="CH229" i="14"/>
  <c r="CH230" i="14"/>
  <c r="CH231" i="14"/>
  <c r="CH232" i="14"/>
  <c r="CH233" i="14"/>
  <c r="CH234" i="14"/>
  <c r="CH235" i="14"/>
  <c r="CH236" i="14"/>
  <c r="CH237" i="14"/>
  <c r="CH238" i="14"/>
  <c r="CH239" i="14"/>
  <c r="CH240" i="14"/>
  <c r="CH241" i="14"/>
  <c r="CH242" i="14"/>
  <c r="CH243" i="14"/>
  <c r="CH244" i="14"/>
  <c r="CH245" i="14"/>
  <c r="CH246" i="14"/>
  <c r="CH247" i="14"/>
  <c r="CH248" i="14"/>
  <c r="CH249" i="14"/>
  <c r="CH250" i="14"/>
  <c r="CH251" i="14"/>
  <c r="CH252" i="14"/>
  <c r="CH253" i="14"/>
  <c r="CH254" i="14"/>
  <c r="CH255" i="14"/>
  <c r="CH256" i="14"/>
  <c r="CH257" i="14"/>
  <c r="CH258" i="14"/>
  <c r="CH259" i="14"/>
  <c r="CH260" i="14"/>
  <c r="CH261" i="14"/>
  <c r="CH262" i="14"/>
  <c r="CH263" i="14"/>
  <c r="CH264" i="14"/>
  <c r="CH265" i="14"/>
  <c r="CH266" i="14"/>
  <c r="CH267" i="14"/>
  <c r="CH268" i="14"/>
  <c r="CH269" i="14"/>
  <c r="CH270" i="14"/>
  <c r="CH271" i="14"/>
  <c r="CH272" i="14"/>
  <c r="CH273" i="14"/>
  <c r="CH274" i="14"/>
  <c r="CH275" i="14"/>
  <c r="CH276" i="14"/>
  <c r="CH277" i="14"/>
  <c r="CH278" i="14"/>
  <c r="CH279" i="14"/>
  <c r="CH280" i="14"/>
  <c r="CH281" i="14"/>
  <c r="CH282" i="14"/>
  <c r="CH283" i="14"/>
  <c r="CH284" i="14"/>
  <c r="CH285" i="14"/>
  <c r="CH286" i="14"/>
  <c r="CH287" i="14"/>
  <c r="CH288" i="14"/>
  <c r="CH289" i="14"/>
  <c r="CH290" i="14"/>
  <c r="CH291" i="14"/>
  <c r="CH292" i="14"/>
  <c r="CH293" i="14"/>
  <c r="CH294" i="14"/>
  <c r="CH295" i="14"/>
  <c r="CH296" i="14"/>
  <c r="CH297" i="14"/>
  <c r="CH298" i="14"/>
  <c r="CH299" i="14"/>
  <c r="CH300" i="14"/>
  <c r="CH301" i="14"/>
  <c r="CH302" i="14"/>
  <c r="CH303" i="14"/>
  <c r="CH304" i="14"/>
  <c r="CH305" i="14"/>
  <c r="CH306" i="14"/>
  <c r="CH307" i="14"/>
  <c r="CH308" i="14"/>
  <c r="CH309" i="14"/>
  <c r="CH310" i="14"/>
  <c r="CH311" i="14"/>
  <c r="CH312" i="14"/>
  <c r="CH313" i="14"/>
  <c r="CH314" i="14"/>
  <c r="CH315" i="14"/>
  <c r="CH316" i="14"/>
  <c r="CH317" i="14"/>
  <c r="CH318" i="14"/>
  <c r="CH319" i="14"/>
  <c r="CH320" i="14"/>
  <c r="CH321" i="14"/>
  <c r="CH322" i="14"/>
  <c r="CH323" i="14"/>
  <c r="CH324" i="14"/>
  <c r="CH325" i="14"/>
  <c r="CH326" i="14"/>
  <c r="CH327" i="14"/>
  <c r="CH328" i="14"/>
  <c r="CH329" i="14"/>
  <c r="CH330" i="14"/>
  <c r="CH331" i="14"/>
  <c r="CH332" i="14"/>
  <c r="CH333" i="14"/>
  <c r="CH334" i="14"/>
  <c r="CH335" i="14"/>
  <c r="CH336" i="14"/>
  <c r="CH337" i="14"/>
  <c r="CH338" i="14"/>
  <c r="CH339" i="14"/>
  <c r="CH340" i="14"/>
  <c r="CH341" i="14"/>
  <c r="CH342" i="14"/>
  <c r="CH343" i="14"/>
  <c r="CH344" i="14"/>
  <c r="CH345" i="14"/>
  <c r="CH346" i="14"/>
  <c r="CH347" i="14"/>
  <c r="CH348" i="14"/>
  <c r="CH349" i="14"/>
  <c r="CH350" i="14"/>
  <c r="CH351" i="14"/>
  <c r="CH352" i="14"/>
  <c r="CH353" i="14"/>
  <c r="CH354" i="14"/>
  <c r="CH355" i="14"/>
  <c r="CH356" i="14"/>
  <c r="CH357" i="14"/>
  <c r="CH358" i="14"/>
  <c r="CH359" i="14"/>
  <c r="CH360" i="14"/>
  <c r="CH361" i="14"/>
  <c r="CH362" i="14"/>
  <c r="CH363" i="14"/>
  <c r="CH364" i="14"/>
  <c r="CG223" i="14"/>
  <c r="CG203" i="14"/>
  <c r="CG364" i="14"/>
  <c r="CG85" i="14"/>
  <c r="CG117" i="14"/>
  <c r="CG259" i="14"/>
  <c r="CG267" i="14"/>
  <c r="CG343" i="14"/>
  <c r="CG268" i="14"/>
  <c r="CG79" i="14"/>
  <c r="CG130" i="14"/>
  <c r="CG142" i="14"/>
  <c r="CG181" i="14"/>
  <c r="CG300" i="14"/>
  <c r="CG351" i="14"/>
  <c r="CY123" i="14"/>
  <c r="CY195" i="14"/>
  <c r="CY232" i="14"/>
  <c r="CY136" i="14"/>
  <c r="CY163" i="14"/>
  <c r="CY231" i="14"/>
  <c r="CY314" i="14"/>
  <c r="CY340" i="14"/>
  <c r="CY65" i="14"/>
  <c r="CZ65" i="14"/>
  <c r="CZ66" i="14"/>
  <c r="CZ67" i="14"/>
  <c r="CZ68" i="14"/>
  <c r="CZ69" i="14"/>
  <c r="CZ70" i="14"/>
  <c r="CZ71" i="14"/>
  <c r="CZ72" i="14"/>
  <c r="CZ73" i="14"/>
  <c r="CZ74" i="14"/>
  <c r="CZ75" i="14"/>
  <c r="CZ76" i="14"/>
  <c r="CZ77" i="14"/>
  <c r="CZ78" i="14"/>
  <c r="CZ79" i="14"/>
  <c r="CZ80" i="14"/>
  <c r="CZ81" i="14"/>
  <c r="CZ82" i="14"/>
  <c r="CZ83" i="14"/>
  <c r="CZ84" i="14"/>
  <c r="CZ85" i="14"/>
  <c r="CZ86" i="14"/>
  <c r="CZ87" i="14"/>
  <c r="CZ88" i="14"/>
  <c r="CZ89" i="14"/>
  <c r="CZ90" i="14"/>
  <c r="CZ91" i="14"/>
  <c r="CZ92" i="14"/>
  <c r="CZ93" i="14"/>
  <c r="CZ94" i="14"/>
  <c r="CZ95" i="14"/>
  <c r="CZ96" i="14"/>
  <c r="CZ97" i="14"/>
  <c r="CZ98" i="14"/>
  <c r="CZ99" i="14"/>
  <c r="CZ100" i="14"/>
  <c r="CZ101" i="14"/>
  <c r="CZ102" i="14"/>
  <c r="CZ103" i="14"/>
  <c r="CZ104" i="14"/>
  <c r="CZ105" i="14"/>
  <c r="CZ106" i="14"/>
  <c r="CZ107" i="14"/>
  <c r="CZ108" i="14"/>
  <c r="CZ109" i="14"/>
  <c r="CZ110" i="14"/>
  <c r="CZ111" i="14"/>
  <c r="CZ112" i="14"/>
  <c r="CZ113" i="14"/>
  <c r="CZ114" i="14"/>
  <c r="CZ115" i="14"/>
  <c r="CZ116" i="14"/>
  <c r="CZ117" i="14"/>
  <c r="CZ118" i="14"/>
  <c r="CZ119" i="14"/>
  <c r="CZ120" i="14"/>
  <c r="CZ121" i="14"/>
  <c r="CZ122" i="14"/>
  <c r="CZ123" i="14"/>
  <c r="CZ124" i="14"/>
  <c r="CZ125" i="14"/>
  <c r="CZ126" i="14"/>
  <c r="CZ127" i="14"/>
  <c r="CZ128" i="14"/>
  <c r="CZ129" i="14"/>
  <c r="CZ130" i="14"/>
  <c r="CZ131" i="14"/>
  <c r="CZ132" i="14"/>
  <c r="CZ133" i="14"/>
  <c r="CZ134" i="14"/>
  <c r="CZ135" i="14"/>
  <c r="CZ136" i="14"/>
  <c r="CZ137" i="14"/>
  <c r="CZ138" i="14"/>
  <c r="CZ139" i="14"/>
  <c r="CZ140" i="14"/>
  <c r="CZ141" i="14"/>
  <c r="CZ142" i="14"/>
  <c r="CZ143" i="14"/>
  <c r="CZ144" i="14"/>
  <c r="CZ145" i="14"/>
  <c r="CZ146" i="14"/>
  <c r="CZ147" i="14"/>
  <c r="CZ148" i="14"/>
  <c r="CZ149" i="14"/>
  <c r="CZ150" i="14"/>
  <c r="CZ151" i="14"/>
  <c r="CZ152" i="14"/>
  <c r="CZ153" i="14"/>
  <c r="CZ154" i="14"/>
  <c r="CZ155" i="14"/>
  <c r="CZ156" i="14"/>
  <c r="CZ157" i="14"/>
  <c r="CZ158" i="14"/>
  <c r="CZ159" i="14"/>
  <c r="CZ160" i="14"/>
  <c r="CZ161" i="14"/>
  <c r="CZ162" i="14"/>
  <c r="CZ163" i="14"/>
  <c r="CZ164" i="14"/>
  <c r="CZ165" i="14"/>
  <c r="CZ166" i="14"/>
  <c r="CZ167" i="14"/>
  <c r="CZ168" i="14"/>
  <c r="CZ169" i="14"/>
  <c r="CZ170" i="14"/>
  <c r="CZ171" i="14"/>
  <c r="CZ172" i="14"/>
  <c r="CZ173" i="14"/>
  <c r="CZ174" i="14"/>
  <c r="CZ175" i="14"/>
  <c r="CZ176" i="14"/>
  <c r="CZ177" i="14"/>
  <c r="CZ178" i="14"/>
  <c r="CZ179" i="14"/>
  <c r="CZ180" i="14"/>
  <c r="CZ181" i="14"/>
  <c r="CZ182" i="14"/>
  <c r="CZ183" i="14"/>
  <c r="CZ184" i="14"/>
  <c r="CZ185" i="14"/>
  <c r="CZ186" i="14"/>
  <c r="CZ187" i="14"/>
  <c r="CZ188" i="14"/>
  <c r="CZ189" i="14"/>
  <c r="CZ190" i="14"/>
  <c r="CZ191" i="14"/>
  <c r="CZ192" i="14"/>
  <c r="CZ193" i="14"/>
  <c r="CZ194" i="14"/>
  <c r="CZ195" i="14"/>
  <c r="CZ196" i="14"/>
  <c r="CZ197" i="14"/>
  <c r="CZ198" i="14"/>
  <c r="CZ199" i="14"/>
  <c r="CZ200" i="14"/>
  <c r="CZ201" i="14"/>
  <c r="CZ202" i="14"/>
  <c r="CZ203" i="14"/>
  <c r="CZ204" i="14"/>
  <c r="CZ205" i="14"/>
  <c r="CZ206" i="14"/>
  <c r="CZ207" i="14"/>
  <c r="CZ208" i="14"/>
  <c r="CZ209" i="14"/>
  <c r="CZ210" i="14"/>
  <c r="CZ211" i="14"/>
  <c r="CZ212" i="14"/>
  <c r="CZ213" i="14"/>
  <c r="CZ214" i="14"/>
  <c r="CZ215" i="14"/>
  <c r="CZ216" i="14"/>
  <c r="CZ217" i="14"/>
  <c r="CZ218" i="14"/>
  <c r="CZ219" i="14"/>
  <c r="CZ220" i="14"/>
  <c r="CZ221" i="14"/>
  <c r="CZ222" i="14"/>
  <c r="CZ223" i="14"/>
  <c r="CZ224" i="14"/>
  <c r="CZ225" i="14"/>
  <c r="CZ226" i="14"/>
  <c r="CZ227" i="14"/>
  <c r="CZ228" i="14"/>
  <c r="CZ229" i="14"/>
  <c r="CZ230" i="14"/>
  <c r="CZ231" i="14"/>
  <c r="CZ232" i="14"/>
  <c r="CZ233" i="14"/>
  <c r="CZ234" i="14"/>
  <c r="CZ235" i="14"/>
  <c r="CZ236" i="14"/>
  <c r="CZ237" i="14"/>
  <c r="CZ238" i="14"/>
  <c r="CZ239" i="14"/>
  <c r="CZ240" i="14"/>
  <c r="CZ241" i="14"/>
  <c r="CZ242" i="14"/>
  <c r="CZ243" i="14"/>
  <c r="CZ244" i="14"/>
  <c r="CZ245" i="14"/>
  <c r="CZ246" i="14"/>
  <c r="CZ247" i="14"/>
  <c r="CZ248" i="14"/>
  <c r="CZ249" i="14"/>
  <c r="CZ250" i="14"/>
  <c r="CZ251" i="14"/>
  <c r="CZ252" i="14"/>
  <c r="CZ253" i="14"/>
  <c r="CZ254" i="14"/>
  <c r="CZ255" i="14"/>
  <c r="CZ256" i="14"/>
  <c r="CZ257" i="14"/>
  <c r="CZ258" i="14"/>
  <c r="CZ259" i="14"/>
  <c r="CZ260" i="14"/>
  <c r="CZ261" i="14"/>
  <c r="CZ262" i="14"/>
  <c r="CZ263" i="14"/>
  <c r="CZ264" i="14"/>
  <c r="CZ265" i="14"/>
  <c r="CZ266" i="14"/>
  <c r="CZ267" i="14"/>
  <c r="CZ268" i="14"/>
  <c r="CZ269" i="14"/>
  <c r="CZ270" i="14"/>
  <c r="CZ271" i="14"/>
  <c r="CZ272" i="14"/>
  <c r="CZ273" i="14"/>
  <c r="CZ274" i="14"/>
  <c r="CZ275" i="14"/>
  <c r="CZ276" i="14"/>
  <c r="CZ277" i="14"/>
  <c r="CZ278" i="14"/>
  <c r="CZ279" i="14"/>
  <c r="CZ280" i="14"/>
  <c r="CZ281" i="14"/>
  <c r="CZ282" i="14"/>
  <c r="CZ283" i="14"/>
  <c r="CZ284" i="14"/>
  <c r="CZ285" i="14"/>
  <c r="CZ286" i="14"/>
  <c r="CZ287" i="14"/>
  <c r="CZ288" i="14"/>
  <c r="CZ289" i="14"/>
  <c r="CZ290" i="14"/>
  <c r="CZ291" i="14"/>
  <c r="CZ292" i="14"/>
  <c r="CZ293" i="14"/>
  <c r="CZ294" i="14"/>
  <c r="CZ295" i="14"/>
  <c r="CZ296" i="14"/>
  <c r="CZ297" i="14"/>
  <c r="CZ298" i="14"/>
  <c r="CZ299" i="14"/>
  <c r="CZ300" i="14"/>
  <c r="CZ301" i="14"/>
  <c r="CZ302" i="14"/>
  <c r="CZ303" i="14"/>
  <c r="CZ304" i="14"/>
  <c r="CZ305" i="14"/>
  <c r="CZ306" i="14"/>
  <c r="CZ307" i="14"/>
  <c r="CZ308" i="14"/>
  <c r="CZ309" i="14"/>
  <c r="CZ310" i="14"/>
  <c r="CZ311" i="14"/>
  <c r="CZ312" i="14"/>
  <c r="CZ313" i="14"/>
  <c r="CZ314" i="14"/>
  <c r="CZ315" i="14"/>
  <c r="CZ316" i="14"/>
  <c r="CZ317" i="14"/>
  <c r="CZ318" i="14"/>
  <c r="CZ319" i="14"/>
  <c r="CZ320" i="14"/>
  <c r="CZ321" i="14"/>
  <c r="CZ322" i="14"/>
  <c r="CZ323" i="14"/>
  <c r="CZ324" i="14"/>
  <c r="CZ325" i="14"/>
  <c r="CZ326" i="14"/>
  <c r="CZ327" i="14"/>
  <c r="CZ328" i="14"/>
  <c r="CZ329" i="14"/>
  <c r="CZ330" i="14"/>
  <c r="CZ331" i="14"/>
  <c r="CZ332" i="14"/>
  <c r="CZ333" i="14"/>
  <c r="CZ334" i="14"/>
  <c r="CZ335" i="14"/>
  <c r="CZ336" i="14"/>
  <c r="CZ337" i="14"/>
  <c r="CZ338" i="14"/>
  <c r="CZ339" i="14"/>
  <c r="CZ340" i="14"/>
  <c r="CZ341" i="14"/>
  <c r="CZ342" i="14"/>
  <c r="CZ343" i="14"/>
  <c r="CZ344" i="14"/>
  <c r="CZ345" i="14"/>
  <c r="CZ346" i="14"/>
  <c r="CZ347" i="14"/>
  <c r="CZ348" i="14"/>
  <c r="CZ349" i="14"/>
  <c r="CZ350" i="14"/>
  <c r="CZ351" i="14"/>
  <c r="CZ352" i="14"/>
  <c r="CZ353" i="14"/>
  <c r="CZ354" i="14"/>
  <c r="CZ355" i="14"/>
  <c r="CZ356" i="14"/>
  <c r="CZ357" i="14"/>
  <c r="CZ358" i="14"/>
  <c r="CZ359" i="14"/>
  <c r="CZ360" i="14"/>
  <c r="CZ361" i="14"/>
  <c r="CZ362" i="14"/>
  <c r="CZ363" i="14"/>
  <c r="CZ364" i="14"/>
  <c r="CY230" i="14"/>
  <c r="CY127" i="14"/>
  <c r="CY205" i="14"/>
  <c r="CY77" i="14"/>
  <c r="CY106" i="14"/>
  <c r="CY241" i="14"/>
  <c r="CY251" i="14"/>
  <c r="CY357" i="14"/>
  <c r="CY107" i="14"/>
  <c r="CY193" i="14"/>
  <c r="CY348" i="14"/>
  <c r="AX168" i="14"/>
  <c r="AX272" i="14"/>
  <c r="AX78" i="14"/>
  <c r="AX190" i="14"/>
  <c r="AX306" i="14"/>
  <c r="AX185" i="14"/>
  <c r="AX237" i="14"/>
  <c r="AX274" i="14"/>
  <c r="AX300" i="14"/>
  <c r="AX91" i="14"/>
  <c r="AX309" i="14"/>
  <c r="E67" i="14"/>
  <c r="E245" i="14"/>
  <c r="E304" i="14"/>
  <c r="E68" i="14"/>
  <c r="E187" i="14"/>
  <c r="E252" i="14"/>
  <c r="E325" i="14"/>
  <c r="E83" i="14"/>
  <c r="E153" i="14"/>
  <c r="E305" i="14"/>
  <c r="E359" i="14"/>
  <c r="AO354" i="14"/>
  <c r="AO191" i="14"/>
  <c r="AO319" i="14"/>
  <c r="AO76" i="14"/>
  <c r="AO333" i="14"/>
  <c r="AO105" i="14"/>
  <c r="AO255" i="14"/>
  <c r="AO125" i="14"/>
  <c r="AO211" i="14"/>
  <c r="AO226" i="14"/>
  <c r="AO322" i="14"/>
  <c r="AO166" i="14"/>
  <c r="AO245" i="14"/>
  <c r="AO284" i="14"/>
  <c r="AO332" i="14"/>
  <c r="AO350" i="14"/>
  <c r="AO253" i="14"/>
  <c r="AO275" i="14"/>
  <c r="N145" i="14"/>
  <c r="N137" i="14"/>
  <c r="N187" i="14"/>
  <c r="N127" i="14"/>
  <c r="N308" i="14"/>
  <c r="N236" i="14"/>
  <c r="N295" i="14"/>
  <c r="N239" i="14"/>
  <c r="N77" i="14"/>
  <c r="N110" i="14"/>
  <c r="N238" i="14"/>
  <c r="N253" i="14"/>
  <c r="CG339" i="14"/>
  <c r="CG163" i="14"/>
  <c r="CG189" i="14"/>
  <c r="CG196" i="14"/>
  <c r="CG254" i="14"/>
  <c r="CG103" i="14"/>
  <c r="CG191" i="14"/>
  <c r="CG209" i="14"/>
  <c r="CG230" i="14"/>
  <c r="CG309" i="14"/>
  <c r="CG165" i="14"/>
  <c r="CG335" i="14"/>
  <c r="CG158" i="14"/>
  <c r="CG172" i="14"/>
  <c r="CG282" i="14"/>
  <c r="CG359" i="14"/>
  <c r="CY253" i="14"/>
  <c r="CY158" i="14"/>
  <c r="CY175" i="14"/>
  <c r="CY214" i="14"/>
  <c r="CY347" i="14"/>
  <c r="CY133" i="14"/>
  <c r="CY168" i="14"/>
  <c r="CY93" i="14"/>
  <c r="CY181" i="14"/>
  <c r="CY238" i="14"/>
  <c r="CY319" i="14"/>
  <c r="CY70" i="14"/>
  <c r="CY148" i="14"/>
  <c r="CY134" i="14"/>
  <c r="CY245" i="14"/>
  <c r="CY290" i="14"/>
  <c r="CY361" i="14"/>
  <c r="CY128" i="14"/>
  <c r="CY164" i="14"/>
  <c r="CY342" i="14"/>
  <c r="Y65" i="14"/>
  <c r="AX333" i="14"/>
  <c r="AX205" i="14"/>
  <c r="AX271" i="14"/>
  <c r="AX320" i="14"/>
  <c r="AX85" i="14"/>
  <c r="AX122" i="14"/>
  <c r="AX71" i="14"/>
  <c r="AX194" i="14"/>
  <c r="AX249" i="14"/>
  <c r="AX281" i="14"/>
  <c r="AX319" i="14"/>
  <c r="AX355" i="14"/>
  <c r="E157" i="14"/>
  <c r="E128" i="14"/>
  <c r="E361" i="14"/>
  <c r="E351" i="14"/>
  <c r="E307" i="14"/>
  <c r="E341" i="14"/>
  <c r="E89" i="14"/>
  <c r="E109" i="14"/>
  <c r="E203" i="14"/>
  <c r="E258" i="14"/>
  <c r="E100" i="14"/>
  <c r="E181" i="14"/>
  <c r="E350" i="14"/>
  <c r="AO130" i="14"/>
  <c r="AO162" i="14"/>
  <c r="AO196" i="14"/>
  <c r="AO270" i="14"/>
  <c r="AO326" i="14"/>
  <c r="AO117" i="14"/>
  <c r="AO208" i="14"/>
  <c r="AO246" i="14"/>
  <c r="AO268" i="14"/>
  <c r="AO302" i="14"/>
  <c r="AO336" i="14"/>
  <c r="AO158" i="14"/>
  <c r="AO287" i="14"/>
  <c r="AO155" i="14"/>
  <c r="AO168" i="14"/>
  <c r="AO213" i="14"/>
  <c r="AO281" i="14"/>
  <c r="AO313" i="14"/>
  <c r="AO347" i="14"/>
  <c r="N188" i="14"/>
  <c r="N156" i="14"/>
  <c r="N216" i="14"/>
  <c r="N349" i="14"/>
  <c r="N89" i="14"/>
  <c r="N194" i="14"/>
  <c r="N275" i="14"/>
  <c r="N306" i="14"/>
  <c r="N73" i="14"/>
  <c r="N254" i="14"/>
  <c r="N356" i="14"/>
  <c r="N76" i="14"/>
  <c r="N118" i="14"/>
  <c r="N178" i="14"/>
  <c r="N301" i="14"/>
  <c r="N181" i="14"/>
  <c r="N296" i="14"/>
  <c r="N329" i="14"/>
  <c r="CY356" i="14"/>
  <c r="CG288" i="14"/>
  <c r="CG360" i="14"/>
  <c r="CG90" i="14"/>
  <c r="CG102" i="14"/>
  <c r="CG294" i="14"/>
  <c r="CG92" i="14"/>
  <c r="CG213" i="14"/>
  <c r="CG232" i="14"/>
  <c r="CG135" i="14"/>
  <c r="CG157" i="14"/>
  <c r="CG212" i="14"/>
  <c r="CG283" i="14"/>
  <c r="CG318" i="14"/>
  <c r="CG334" i="14"/>
  <c r="CG77" i="14"/>
  <c r="CG202" i="14"/>
  <c r="CG222" i="14"/>
  <c r="CG238" i="14"/>
  <c r="CG253" i="14"/>
  <c r="CG322" i="14"/>
  <c r="CG345" i="14"/>
  <c r="CG342" i="14"/>
  <c r="CY76" i="14"/>
  <c r="CY112" i="14"/>
  <c r="CY228" i="14"/>
  <c r="CY311" i="14"/>
  <c r="CY91" i="14"/>
  <c r="CY249" i="14"/>
  <c r="CY102" i="14"/>
  <c r="CY282" i="14"/>
  <c r="CY345" i="14"/>
  <c r="CY223" i="14"/>
  <c r="CY261" i="14"/>
  <c r="CY317" i="14"/>
  <c r="CY153" i="14"/>
  <c r="CY221" i="14"/>
  <c r="AX212" i="14"/>
  <c r="AX219" i="14"/>
  <c r="AX144" i="14"/>
  <c r="AX270" i="14"/>
  <c r="AX83" i="14"/>
  <c r="AX229" i="14"/>
  <c r="AX348" i="14"/>
  <c r="AX165" i="14"/>
  <c r="AX312" i="14"/>
  <c r="AX92" i="14"/>
  <c r="AX266" i="14"/>
  <c r="E66" i="14"/>
  <c r="E333" i="14"/>
  <c r="E104" i="14"/>
  <c r="E185" i="14"/>
  <c r="E272" i="14"/>
  <c r="E298" i="14"/>
  <c r="E332" i="14"/>
  <c r="E81" i="14"/>
  <c r="E105" i="14"/>
  <c r="E199" i="14"/>
  <c r="E233" i="14"/>
  <c r="E261" i="14"/>
  <c r="E344" i="14"/>
  <c r="E178" i="14"/>
  <c r="E355" i="14"/>
  <c r="E88" i="14"/>
  <c r="E285" i="14"/>
  <c r="E319" i="14"/>
  <c r="E349" i="14"/>
  <c r="AO65" i="14"/>
  <c r="AP65" i="14"/>
  <c r="AP66" i="14"/>
  <c r="AP67" i="14"/>
  <c r="AP68" i="14"/>
  <c r="AP69" i="14"/>
  <c r="AP70" i="14"/>
  <c r="AP71" i="14"/>
  <c r="AP72" i="14"/>
  <c r="AP73" i="14"/>
  <c r="AP74" i="14"/>
  <c r="AP75" i="14"/>
  <c r="AP76" i="14"/>
  <c r="AP77" i="14"/>
  <c r="AP78" i="14"/>
  <c r="AP79" i="14"/>
  <c r="AP80" i="14"/>
  <c r="AP81" i="14"/>
  <c r="AP82" i="14"/>
  <c r="AP83" i="14"/>
  <c r="AP84" i="14"/>
  <c r="AP85" i="14"/>
  <c r="AP86" i="14"/>
  <c r="AP87" i="14"/>
  <c r="AP88" i="14"/>
  <c r="AP89" i="14"/>
  <c r="AP90" i="14"/>
  <c r="AP91" i="14"/>
  <c r="AP92" i="14"/>
  <c r="AP93" i="14"/>
  <c r="AP94" i="14"/>
  <c r="AP95" i="14"/>
  <c r="AP96" i="14"/>
  <c r="AP97" i="14"/>
  <c r="AP98" i="14"/>
  <c r="AP99" i="14"/>
  <c r="AP100" i="14"/>
  <c r="AP101" i="14"/>
  <c r="AP102" i="14"/>
  <c r="AP103" i="14"/>
  <c r="AP104" i="14"/>
  <c r="AP105" i="14"/>
  <c r="AP106" i="14"/>
  <c r="AP107" i="14"/>
  <c r="AP108" i="14"/>
  <c r="AP109" i="14"/>
  <c r="AP110" i="14"/>
  <c r="AP111" i="14"/>
  <c r="AP112" i="14"/>
  <c r="AP113" i="14"/>
  <c r="AP114" i="14"/>
  <c r="AP115" i="14"/>
  <c r="AP116" i="14"/>
  <c r="AP117" i="14"/>
  <c r="AP118" i="14"/>
  <c r="AP119" i="14"/>
  <c r="AP120" i="14"/>
  <c r="AP121" i="14"/>
  <c r="AP122" i="14"/>
  <c r="AP123" i="14"/>
  <c r="AP124" i="14"/>
  <c r="AP125" i="14"/>
  <c r="AP126" i="14"/>
  <c r="AP127" i="14"/>
  <c r="AP128" i="14"/>
  <c r="AP129" i="14"/>
  <c r="AP130" i="14"/>
  <c r="AP131" i="14"/>
  <c r="AP132" i="14"/>
  <c r="AP133" i="14"/>
  <c r="AP134" i="14"/>
  <c r="AP135" i="14"/>
  <c r="AP136" i="14"/>
  <c r="AP137" i="14"/>
  <c r="AP138" i="14"/>
  <c r="AP139" i="14"/>
  <c r="AP140" i="14"/>
  <c r="AP141" i="14"/>
  <c r="AP142" i="14"/>
  <c r="AP143" i="14"/>
  <c r="AP144" i="14"/>
  <c r="AP145" i="14"/>
  <c r="AP146" i="14"/>
  <c r="AP147" i="14"/>
  <c r="AP148" i="14"/>
  <c r="AP149" i="14"/>
  <c r="AP150" i="14"/>
  <c r="AP151" i="14"/>
  <c r="AP152" i="14"/>
  <c r="AP153" i="14"/>
  <c r="AP154" i="14"/>
  <c r="AP155" i="14"/>
  <c r="AP156" i="14"/>
  <c r="AP157" i="14"/>
  <c r="AP158" i="14"/>
  <c r="AP159" i="14"/>
  <c r="AP160" i="14"/>
  <c r="AP161" i="14"/>
  <c r="AP162" i="14"/>
  <c r="AP163" i="14"/>
  <c r="AP164" i="14"/>
  <c r="AP165" i="14"/>
  <c r="AP166" i="14"/>
  <c r="AP167" i="14"/>
  <c r="AP168" i="14"/>
  <c r="AP169" i="14"/>
  <c r="AP170" i="14"/>
  <c r="AP171" i="14"/>
  <c r="AP172" i="14"/>
  <c r="AP173" i="14"/>
  <c r="AP174" i="14"/>
  <c r="AP175" i="14"/>
  <c r="AP176" i="14"/>
  <c r="AP177" i="14"/>
  <c r="AP178" i="14"/>
  <c r="AP179" i="14"/>
  <c r="AP180" i="14"/>
  <c r="AP181" i="14"/>
  <c r="AP182" i="14"/>
  <c r="AP183" i="14"/>
  <c r="AP184" i="14"/>
  <c r="AP185" i="14"/>
  <c r="AP186" i="14"/>
  <c r="AP187" i="14"/>
  <c r="AP188" i="14"/>
  <c r="AP189" i="14"/>
  <c r="AP190" i="14"/>
  <c r="AP191" i="14"/>
  <c r="AP192" i="14"/>
  <c r="AP193" i="14"/>
  <c r="AP194" i="14"/>
  <c r="AP195" i="14"/>
  <c r="AP196" i="14"/>
  <c r="AP197" i="14"/>
  <c r="AP198" i="14"/>
  <c r="AP199" i="14"/>
  <c r="AP200" i="14"/>
  <c r="AP201" i="14"/>
  <c r="AP202" i="14"/>
  <c r="AP203" i="14"/>
  <c r="AP204" i="14"/>
  <c r="AP205" i="14"/>
  <c r="AP206" i="14"/>
  <c r="AP207" i="14"/>
  <c r="AP208" i="14"/>
  <c r="AP209" i="14"/>
  <c r="AP210" i="14"/>
  <c r="AP211" i="14"/>
  <c r="AP212" i="14"/>
  <c r="AP213" i="14"/>
  <c r="AP214" i="14"/>
  <c r="AP215" i="14"/>
  <c r="AP216" i="14"/>
  <c r="AP217" i="14"/>
  <c r="AP218" i="14"/>
  <c r="AP219" i="14"/>
  <c r="AP220" i="14"/>
  <c r="AP221" i="14"/>
  <c r="AP222" i="14"/>
  <c r="AP223" i="14"/>
  <c r="AP224" i="14"/>
  <c r="AP225" i="14"/>
  <c r="AP226" i="14"/>
  <c r="AP227" i="14"/>
  <c r="AP228" i="14"/>
  <c r="AP229" i="14"/>
  <c r="AP230" i="14"/>
  <c r="AP231" i="14"/>
  <c r="AP232" i="14"/>
  <c r="AP233" i="14"/>
  <c r="AP234" i="14"/>
  <c r="AP235" i="14"/>
  <c r="AP236" i="14"/>
  <c r="AP237" i="14"/>
  <c r="AP238" i="14"/>
  <c r="AP239" i="14"/>
  <c r="AP240" i="14"/>
  <c r="AP241" i="14"/>
  <c r="AP242" i="14"/>
  <c r="AP243" i="14"/>
  <c r="AP244" i="14"/>
  <c r="AP245" i="14"/>
  <c r="AP246" i="14"/>
  <c r="AP247" i="14"/>
  <c r="AP248" i="14"/>
  <c r="AP249" i="14"/>
  <c r="AP250" i="14"/>
  <c r="AP251" i="14"/>
  <c r="AP252" i="14"/>
  <c r="AP253" i="14"/>
  <c r="AP254" i="14"/>
  <c r="AP255" i="14"/>
  <c r="AP256" i="14"/>
  <c r="AP257" i="14"/>
  <c r="AP258" i="14"/>
  <c r="AP259" i="14"/>
  <c r="AP260" i="14"/>
  <c r="AP261" i="14"/>
  <c r="AP262" i="14"/>
  <c r="AP263" i="14"/>
  <c r="AP264" i="14"/>
  <c r="AP265" i="14"/>
  <c r="AP266" i="14"/>
  <c r="AP267" i="14"/>
  <c r="AP268" i="14"/>
  <c r="AP269" i="14"/>
  <c r="AP270" i="14"/>
  <c r="AP271" i="14"/>
  <c r="AP272" i="14"/>
  <c r="AP273" i="14"/>
  <c r="AP274" i="14"/>
  <c r="AP275" i="14"/>
  <c r="AP276" i="14"/>
  <c r="AP277" i="14"/>
  <c r="AP278" i="14"/>
  <c r="AP279" i="14"/>
  <c r="AP280" i="14"/>
  <c r="AP281" i="14"/>
  <c r="AP282" i="14"/>
  <c r="AP283" i="14"/>
  <c r="AP284" i="14"/>
  <c r="AP285" i="14"/>
  <c r="AP286" i="14"/>
  <c r="AP287" i="14"/>
  <c r="AP288" i="14"/>
  <c r="AP289" i="14"/>
  <c r="AP290" i="14"/>
  <c r="AP291" i="14"/>
  <c r="AP292" i="14"/>
  <c r="AP293" i="14"/>
  <c r="AP294" i="14"/>
  <c r="AP295" i="14"/>
  <c r="AP296" i="14"/>
  <c r="AP297" i="14"/>
  <c r="AP298" i="14"/>
  <c r="AP299" i="14"/>
  <c r="AP300" i="14"/>
  <c r="AP301" i="14"/>
  <c r="AP302" i="14"/>
  <c r="AP303" i="14"/>
  <c r="AP304" i="14"/>
  <c r="AP305" i="14"/>
  <c r="AP306" i="14"/>
  <c r="AP307" i="14"/>
  <c r="AP308" i="14"/>
  <c r="AP309" i="14"/>
  <c r="AP310" i="14"/>
  <c r="AP311" i="14"/>
  <c r="AP312" i="14"/>
  <c r="AP313" i="14"/>
  <c r="AP314" i="14"/>
  <c r="AP315" i="14"/>
  <c r="AP316" i="14"/>
  <c r="AP317" i="14"/>
  <c r="AP318" i="14"/>
  <c r="AP319" i="14"/>
  <c r="AP320" i="14"/>
  <c r="AP321" i="14"/>
  <c r="AP322" i="14"/>
  <c r="AP323" i="14"/>
  <c r="AP324" i="14"/>
  <c r="AP325" i="14"/>
  <c r="AP326" i="14"/>
  <c r="AP327" i="14"/>
  <c r="AP328" i="14"/>
  <c r="AP329" i="14"/>
  <c r="AP330" i="14"/>
  <c r="AP331" i="14"/>
  <c r="AP332" i="14"/>
  <c r="AP333" i="14"/>
  <c r="AP334" i="14"/>
  <c r="AP335" i="14"/>
  <c r="AP336" i="14"/>
  <c r="AP337" i="14"/>
  <c r="AP338" i="14"/>
  <c r="AP339" i="14"/>
  <c r="AP340" i="14"/>
  <c r="AP341" i="14"/>
  <c r="AP342" i="14"/>
  <c r="AP343" i="14"/>
  <c r="AP344" i="14"/>
  <c r="AP345" i="14"/>
  <c r="AP346" i="14"/>
  <c r="AP347" i="14"/>
  <c r="AP348" i="14"/>
  <c r="AP349" i="14"/>
  <c r="AP350" i="14"/>
  <c r="AP351" i="14"/>
  <c r="AP352" i="14"/>
  <c r="AP353" i="14"/>
  <c r="AP354" i="14"/>
  <c r="AP355" i="14"/>
  <c r="AP356" i="14"/>
  <c r="AP357" i="14"/>
  <c r="AP358" i="14"/>
  <c r="AP359" i="14"/>
  <c r="AP360" i="14"/>
  <c r="AP361" i="14"/>
  <c r="AP362" i="14"/>
  <c r="AP363" i="14"/>
  <c r="AP364" i="14"/>
  <c r="AO305" i="14"/>
  <c r="AO82" i="14"/>
  <c r="AO103" i="14"/>
  <c r="AO292" i="14"/>
  <c r="AO176" i="14"/>
  <c r="AO320" i="14"/>
  <c r="AO119" i="14"/>
  <c r="AO145" i="14"/>
  <c r="AO178" i="14"/>
  <c r="AO273" i="14"/>
  <c r="AO205" i="14"/>
  <c r="AO286" i="14"/>
  <c r="AO331" i="14"/>
  <c r="AO188" i="14"/>
  <c r="AO231" i="14"/>
  <c r="N182" i="14"/>
  <c r="N305" i="14"/>
  <c r="N264" i="14"/>
  <c r="N331" i="14"/>
  <c r="N142" i="14"/>
  <c r="N297" i="14"/>
  <c r="N163" i="14"/>
  <c r="N271" i="14"/>
  <c r="N292" i="14"/>
  <c r="N105" i="14"/>
  <c r="N251" i="14"/>
  <c r="N282" i="14"/>
  <c r="N324" i="14"/>
  <c r="N345" i="14"/>
  <c r="N139" i="14"/>
  <c r="N175" i="14"/>
  <c r="N225" i="14"/>
  <c r="CG81" i="14"/>
  <c r="CG246" i="14"/>
  <c r="CG295" i="14"/>
  <c r="CG154" i="14"/>
  <c r="CG243" i="14"/>
  <c r="CG278" i="14"/>
  <c r="CG89" i="14"/>
  <c r="CG108" i="14"/>
  <c r="CG118" i="14"/>
  <c r="CG171" i="14"/>
  <c r="CG195" i="14"/>
  <c r="CG250" i="14"/>
  <c r="CG247" i="14"/>
  <c r="CG271" i="14"/>
  <c r="CG308" i="14"/>
  <c r="CG358" i="14"/>
  <c r="CG346" i="14"/>
  <c r="CG333" i="14"/>
  <c r="CY109" i="14"/>
  <c r="CY169" i="14"/>
  <c r="CY257" i="14"/>
  <c r="CY125" i="14"/>
  <c r="CY187" i="14"/>
  <c r="CY300" i="14"/>
  <c r="CY331" i="14"/>
  <c r="CY115" i="14"/>
  <c r="CY144" i="14"/>
  <c r="CY126" i="14"/>
  <c r="CY114" i="14"/>
  <c r="CY268" i="14"/>
  <c r="CY291" i="14"/>
  <c r="CY358" i="14"/>
  <c r="CY117" i="14"/>
  <c r="CY165" i="14"/>
  <c r="CY215" i="14"/>
  <c r="CY285" i="14"/>
  <c r="CY78" i="14"/>
  <c r="CY131" i="14"/>
  <c r="CY207" i="14"/>
  <c r="CY297" i="14"/>
  <c r="CY337" i="14"/>
  <c r="CY82" i="14"/>
  <c r="CY108" i="14"/>
  <c r="CY120" i="14"/>
  <c r="CY202" i="14"/>
  <c r="CY258" i="14"/>
  <c r="CY324" i="14"/>
  <c r="CY359" i="14"/>
  <c r="AX140" i="14"/>
  <c r="AX239" i="14"/>
  <c r="AX360" i="14"/>
  <c r="AX156" i="14"/>
  <c r="AX75" i="14"/>
  <c r="AX104" i="14"/>
  <c r="AX161" i="14"/>
  <c r="AX225" i="14"/>
  <c r="AX258" i="14"/>
  <c r="AX285" i="14"/>
  <c r="AX101" i="14"/>
  <c r="AX160" i="14"/>
  <c r="AX169" i="14"/>
  <c r="AX278" i="14"/>
  <c r="AX310" i="14"/>
  <c r="AX256" i="14"/>
  <c r="AX301" i="14"/>
  <c r="AX67" i="14"/>
  <c r="AX97" i="14"/>
  <c r="AX153" i="14"/>
  <c r="AX188" i="14"/>
  <c r="AX233" i="14"/>
  <c r="AX277" i="14"/>
  <c r="AX363" i="14"/>
  <c r="AX82" i="14"/>
  <c r="AX152" i="14"/>
  <c r="AX176" i="14"/>
  <c r="AX215" i="14"/>
  <c r="AX336" i="14"/>
  <c r="AX131" i="14"/>
  <c r="AX238" i="14"/>
  <c r="AX302" i="14"/>
  <c r="E103" i="14"/>
  <c r="E182" i="14"/>
  <c r="E248" i="14"/>
  <c r="E124" i="14"/>
  <c r="E329" i="14"/>
  <c r="E69" i="14"/>
  <c r="E130" i="14"/>
  <c r="E208" i="14"/>
  <c r="E133" i="14"/>
  <c r="E168" i="14"/>
  <c r="E246" i="14"/>
  <c r="E334" i="14"/>
  <c r="E364" i="14"/>
  <c r="E80" i="14"/>
  <c r="E240" i="14"/>
  <c r="E247" i="14"/>
  <c r="E294" i="14"/>
  <c r="E343" i="14"/>
  <c r="E82" i="14"/>
  <c r="E142" i="14"/>
  <c r="E171" i="14"/>
  <c r="E234" i="14"/>
  <c r="E262" i="14"/>
  <c r="E326" i="14"/>
  <c r="E70" i="14"/>
  <c r="E97" i="14"/>
  <c r="E152" i="14"/>
  <c r="E189" i="14"/>
  <c r="E228" i="14"/>
  <c r="E280" i="14"/>
  <c r="E323" i="14"/>
  <c r="E357" i="14"/>
  <c r="AO310" i="14"/>
  <c r="AO251" i="14"/>
  <c r="AO115" i="14"/>
  <c r="AO92" i="14"/>
  <c r="AO67" i="14"/>
  <c r="AO102" i="14"/>
  <c r="AO78" i="14"/>
  <c r="AO167" i="14"/>
  <c r="AO250" i="14"/>
  <c r="AO349" i="14"/>
  <c r="AO116" i="14"/>
  <c r="AO180" i="14"/>
  <c r="AO206" i="14"/>
  <c r="AO240" i="14"/>
  <c r="AO300" i="14"/>
  <c r="AO100" i="14"/>
  <c r="AO161" i="14"/>
  <c r="AO174" i="14"/>
  <c r="AO214" i="14"/>
  <c r="AO291" i="14"/>
  <c r="AO140" i="14"/>
  <c r="AO223" i="14"/>
  <c r="AO299" i="14"/>
  <c r="AO329" i="14"/>
  <c r="AO360" i="14"/>
  <c r="AO146" i="14"/>
  <c r="AO184" i="14"/>
  <c r="AO249" i="14"/>
  <c r="AO316" i="14"/>
  <c r="AO356" i="14"/>
  <c r="N121" i="14"/>
  <c r="N204" i="14"/>
  <c r="N152" i="14"/>
  <c r="N291" i="14"/>
  <c r="N123" i="14"/>
  <c r="N302" i="14"/>
  <c r="N95" i="14"/>
  <c r="N183" i="14"/>
  <c r="N287" i="14"/>
  <c r="N158" i="14"/>
  <c r="N278" i="14"/>
  <c r="N351" i="14"/>
  <c r="N131" i="14"/>
  <c r="N214" i="14"/>
  <c r="N316" i="14"/>
  <c r="N364" i="14"/>
  <c r="N166" i="14"/>
  <c r="N191" i="14"/>
  <c r="N260" i="14"/>
  <c r="N289" i="14"/>
  <c r="N332" i="14"/>
  <c r="N346" i="14"/>
  <c r="N207" i="14"/>
  <c r="N245" i="14"/>
  <c r="N318" i="14"/>
  <c r="N341" i="14"/>
  <c r="CG272" i="14"/>
  <c r="CG224" i="14"/>
  <c r="CG297" i="14"/>
  <c r="CG323" i="14"/>
  <c r="CG256" i="14"/>
  <c r="CG127" i="14"/>
  <c r="CG153" i="14"/>
  <c r="CG312" i="14"/>
  <c r="CG193" i="14"/>
  <c r="CG198" i="14"/>
  <c r="CG128" i="14"/>
  <c r="CG105" i="14"/>
  <c r="CG233" i="14"/>
  <c r="CG315" i="14"/>
  <c r="CG95" i="14"/>
  <c r="CG215" i="14"/>
  <c r="CG287" i="14"/>
  <c r="CG336" i="14"/>
  <c r="CY248" i="14"/>
  <c r="CY313" i="14"/>
  <c r="CY83" i="14"/>
  <c r="CY197" i="14"/>
  <c r="CY281" i="14"/>
  <c r="CY352" i="14"/>
  <c r="CY278" i="14"/>
  <c r="CY308" i="14"/>
  <c r="CY306" i="14"/>
  <c r="CY72" i="14"/>
  <c r="CY184" i="14"/>
  <c r="CY276" i="14"/>
  <c r="CY138" i="14"/>
  <c r="CY121" i="14"/>
  <c r="CY179" i="14"/>
  <c r="CY327" i="14"/>
  <c r="CY351" i="14"/>
  <c r="AX96" i="14"/>
  <c r="AX149" i="14"/>
  <c r="AX151" i="14"/>
  <c r="AX213" i="14"/>
  <c r="AX216" i="14"/>
  <c r="AX250" i="14"/>
  <c r="AX322" i="14"/>
  <c r="AX84" i="14"/>
  <c r="AX206" i="14"/>
  <c r="AX236" i="14"/>
  <c r="AX262" i="14"/>
  <c r="AX180" i="14"/>
  <c r="AX89" i="14"/>
  <c r="AX184" i="14"/>
  <c r="AX199" i="14"/>
  <c r="AX308" i="14"/>
  <c r="E309" i="14"/>
  <c r="E65" i="14"/>
  <c r="F65" i="14"/>
  <c r="F66" i="14"/>
  <c r="F67" i="14"/>
  <c r="F68" i="14"/>
  <c r="F69" i="14"/>
  <c r="F70" i="14"/>
  <c r="F71" i="14"/>
  <c r="F72" i="14"/>
  <c r="F73" i="14"/>
  <c r="F74" i="14"/>
  <c r="F75" i="14"/>
  <c r="F76" i="14"/>
  <c r="F77" i="14"/>
  <c r="F78" i="14"/>
  <c r="F79" i="14"/>
  <c r="F80" i="14"/>
  <c r="F81" i="14"/>
  <c r="F82" i="14"/>
  <c r="F83" i="14"/>
  <c r="F84" i="14"/>
  <c r="F85" i="14"/>
  <c r="F86" i="14"/>
  <c r="F87" i="14"/>
  <c r="F88" i="14"/>
  <c r="F89" i="14"/>
  <c r="F90" i="14"/>
  <c r="F91" i="14"/>
  <c r="F92" i="14"/>
  <c r="F93" i="14"/>
  <c r="F94" i="14"/>
  <c r="F95" i="14"/>
  <c r="F96" i="14"/>
  <c r="F97" i="14"/>
  <c r="F98" i="14"/>
  <c r="F99" i="14"/>
  <c r="F100" i="14"/>
  <c r="F101" i="14"/>
  <c r="F102" i="14"/>
  <c r="F103" i="14"/>
  <c r="F104" i="14"/>
  <c r="F105" i="14"/>
  <c r="F106" i="14"/>
  <c r="F107" i="14"/>
  <c r="F108" i="14"/>
  <c r="F109" i="14"/>
  <c r="F110" i="14"/>
  <c r="F111" i="14"/>
  <c r="F112" i="14"/>
  <c r="F113" i="14"/>
  <c r="F114" i="14"/>
  <c r="F115" i="14"/>
  <c r="F116" i="14"/>
  <c r="F117" i="14"/>
  <c r="F118" i="14"/>
  <c r="F119" i="14"/>
  <c r="F120" i="14"/>
  <c r="F121" i="14"/>
  <c r="F122" i="14"/>
  <c r="F123" i="14"/>
  <c r="F124" i="14"/>
  <c r="F125" i="14"/>
  <c r="F126" i="14"/>
  <c r="F127" i="14"/>
  <c r="F128" i="14"/>
  <c r="F129" i="14"/>
  <c r="F130" i="14"/>
  <c r="F131" i="14"/>
  <c r="F132" i="14"/>
  <c r="F133" i="14"/>
  <c r="F134" i="14"/>
  <c r="F135" i="14"/>
  <c r="F136" i="14"/>
  <c r="F137" i="14"/>
  <c r="F138" i="14"/>
  <c r="F139" i="14"/>
  <c r="F140" i="14"/>
  <c r="F141" i="14"/>
  <c r="F142" i="14"/>
  <c r="F143" i="14"/>
  <c r="F144" i="14"/>
  <c r="F145" i="14"/>
  <c r="F146" i="14"/>
  <c r="F147" i="14"/>
  <c r="F148" i="14"/>
  <c r="F149" i="14"/>
  <c r="F150" i="14"/>
  <c r="F151" i="14"/>
  <c r="F152" i="14"/>
  <c r="F153" i="14"/>
  <c r="F154" i="14"/>
  <c r="F155" i="14"/>
  <c r="F156" i="14"/>
  <c r="F157" i="14"/>
  <c r="F158" i="14"/>
  <c r="F159" i="14"/>
  <c r="F160" i="14"/>
  <c r="F161" i="14"/>
  <c r="F162" i="14"/>
  <c r="F163" i="14"/>
  <c r="F164" i="14"/>
  <c r="F165" i="14"/>
  <c r="F166" i="14"/>
  <c r="F167" i="14"/>
  <c r="F168" i="14"/>
  <c r="F169" i="14"/>
  <c r="F170" i="14"/>
  <c r="F171" i="14"/>
  <c r="F172" i="14"/>
  <c r="F173" i="14"/>
  <c r="F174" i="14"/>
  <c r="F175" i="14"/>
  <c r="F176" i="14"/>
  <c r="F177" i="14"/>
  <c r="F178" i="14"/>
  <c r="F179" i="14"/>
  <c r="F180" i="14"/>
  <c r="F181" i="14"/>
  <c r="F182" i="14"/>
  <c r="F183" i="14"/>
  <c r="F184" i="14"/>
  <c r="F185" i="14"/>
  <c r="F186" i="14"/>
  <c r="F187" i="14"/>
  <c r="F188" i="14"/>
  <c r="F189" i="14"/>
  <c r="F190" i="14"/>
  <c r="F191" i="14"/>
  <c r="F192" i="14"/>
  <c r="F193" i="14"/>
  <c r="F194" i="14"/>
  <c r="F195" i="14"/>
  <c r="F196" i="14"/>
  <c r="F197" i="14"/>
  <c r="F198" i="14"/>
  <c r="F199" i="14"/>
  <c r="F200" i="14"/>
  <c r="F201" i="14"/>
  <c r="F202" i="14"/>
  <c r="F203" i="14"/>
  <c r="F204" i="14"/>
  <c r="F205" i="14"/>
  <c r="F206" i="14"/>
  <c r="F207" i="14"/>
  <c r="F208" i="14"/>
  <c r="F209" i="14"/>
  <c r="F210" i="14"/>
  <c r="F211" i="14"/>
  <c r="F212" i="14"/>
  <c r="F213" i="14"/>
  <c r="F214" i="14"/>
  <c r="F215" i="14"/>
  <c r="F216" i="14"/>
  <c r="F217" i="14"/>
  <c r="F218" i="14"/>
  <c r="F219" i="14"/>
  <c r="F220" i="14"/>
  <c r="F221" i="14"/>
  <c r="F222" i="14"/>
  <c r="F223" i="14"/>
  <c r="F224" i="14"/>
  <c r="F225" i="14"/>
  <c r="F226" i="14"/>
  <c r="F227" i="14"/>
  <c r="F228" i="14"/>
  <c r="F229" i="14"/>
  <c r="F230" i="14"/>
  <c r="F231" i="14"/>
  <c r="F232" i="14"/>
  <c r="F233" i="14"/>
  <c r="F234" i="14"/>
  <c r="F235" i="14"/>
  <c r="F236" i="14"/>
  <c r="F237" i="14"/>
  <c r="F238" i="14"/>
  <c r="F239" i="14"/>
  <c r="F240" i="14"/>
  <c r="F241" i="14"/>
  <c r="F242" i="14"/>
  <c r="F243" i="14"/>
  <c r="F244" i="14"/>
  <c r="F245" i="14"/>
  <c r="F246" i="14"/>
  <c r="F247" i="14"/>
  <c r="F248" i="14"/>
  <c r="F249" i="14"/>
  <c r="F250" i="14"/>
  <c r="F251" i="14"/>
  <c r="F252" i="14"/>
  <c r="F253" i="14"/>
  <c r="F254" i="14"/>
  <c r="F255" i="14"/>
  <c r="F256" i="14"/>
  <c r="F257" i="14"/>
  <c r="F258" i="14"/>
  <c r="F259" i="14"/>
  <c r="F260" i="14"/>
  <c r="F261" i="14"/>
  <c r="F262" i="14"/>
  <c r="F263" i="14"/>
  <c r="F264" i="14"/>
  <c r="F265" i="14"/>
  <c r="F266" i="14"/>
  <c r="F267" i="14"/>
  <c r="F268" i="14"/>
  <c r="F269" i="14"/>
  <c r="F270" i="14"/>
  <c r="F271" i="14"/>
  <c r="F272" i="14"/>
  <c r="F273" i="14"/>
  <c r="F274" i="14"/>
  <c r="F275" i="14"/>
  <c r="F276" i="14"/>
  <c r="F277" i="14"/>
  <c r="F278" i="14"/>
  <c r="F279" i="14"/>
  <c r="F280" i="14"/>
  <c r="F281" i="14"/>
  <c r="F282" i="14"/>
  <c r="F283" i="14"/>
  <c r="F284" i="14"/>
  <c r="F285" i="14"/>
  <c r="F286" i="14"/>
  <c r="F287" i="14"/>
  <c r="F288" i="14"/>
  <c r="F289" i="14"/>
  <c r="F290" i="14"/>
  <c r="F291" i="14"/>
  <c r="F292" i="14"/>
  <c r="F293" i="14"/>
  <c r="F294" i="14"/>
  <c r="F295" i="14"/>
  <c r="F296" i="14"/>
  <c r="F297" i="14"/>
  <c r="F298" i="14"/>
  <c r="F299" i="14"/>
  <c r="F300" i="14"/>
  <c r="F301" i="14"/>
  <c r="F302" i="14"/>
  <c r="F303" i="14"/>
  <c r="F304" i="14"/>
  <c r="F305" i="14"/>
  <c r="F306" i="14"/>
  <c r="F307" i="14"/>
  <c r="F308" i="14"/>
  <c r="F309" i="14"/>
  <c r="F310" i="14"/>
  <c r="F311" i="14"/>
  <c r="F312" i="14"/>
  <c r="F313" i="14"/>
  <c r="F314" i="14"/>
  <c r="F315" i="14"/>
  <c r="F316" i="14"/>
  <c r="F317" i="14"/>
  <c r="F318" i="14"/>
  <c r="F319" i="14"/>
  <c r="F320" i="14"/>
  <c r="F321" i="14"/>
  <c r="F322" i="14"/>
  <c r="F323" i="14"/>
  <c r="F324" i="14"/>
  <c r="F325" i="14"/>
  <c r="F326" i="14"/>
  <c r="F327" i="14"/>
  <c r="F328" i="14"/>
  <c r="F329" i="14"/>
  <c r="F330" i="14"/>
  <c r="F331" i="14"/>
  <c r="F332" i="14"/>
  <c r="F333" i="14"/>
  <c r="F334" i="14"/>
  <c r="F335" i="14"/>
  <c r="F336" i="14"/>
  <c r="F337" i="14"/>
  <c r="F338" i="14"/>
  <c r="F339" i="14"/>
  <c r="F340" i="14"/>
  <c r="F341" i="14"/>
  <c r="F342" i="14"/>
  <c r="F343" i="14"/>
  <c r="F344" i="14"/>
  <c r="F345" i="14"/>
  <c r="F346" i="14"/>
  <c r="F347" i="14"/>
  <c r="F348" i="14"/>
  <c r="F349" i="14"/>
  <c r="F350" i="14"/>
  <c r="F351" i="14"/>
  <c r="F352" i="14"/>
  <c r="F353" i="14"/>
  <c r="F354" i="14"/>
  <c r="F355" i="14"/>
  <c r="F356" i="14"/>
  <c r="F357" i="14"/>
  <c r="F358" i="14"/>
  <c r="F359" i="14"/>
  <c r="F360" i="14"/>
  <c r="F361" i="14"/>
  <c r="F362" i="14"/>
  <c r="F363" i="14"/>
  <c r="F364" i="14"/>
  <c r="E136" i="14"/>
  <c r="E223" i="14"/>
  <c r="E273" i="14"/>
  <c r="E322" i="14"/>
  <c r="E167" i="14"/>
  <c r="E236" i="14"/>
  <c r="E93" i="14"/>
  <c r="E111" i="14"/>
  <c r="E205" i="14"/>
  <c r="E224" i="14"/>
  <c r="E330" i="14"/>
  <c r="E352" i="14"/>
  <c r="AO134" i="14"/>
  <c r="AO141" i="14"/>
  <c r="AO121" i="14"/>
  <c r="AO261" i="14"/>
  <c r="AO321" i="14"/>
  <c r="AO143" i="14"/>
  <c r="AO235" i="14"/>
  <c r="AO345" i="14"/>
  <c r="AO136" i="14"/>
  <c r="AO219" i="14"/>
  <c r="AO306" i="14"/>
  <c r="AO165" i="14"/>
  <c r="AO224" i="14"/>
  <c r="AO256" i="14"/>
  <c r="AO295" i="14"/>
  <c r="AO314" i="14"/>
  <c r="N171" i="14"/>
  <c r="N330" i="14"/>
  <c r="N218" i="14"/>
  <c r="N267" i="14"/>
  <c r="N192" i="14"/>
  <c r="N223" i="14"/>
  <c r="N184" i="14"/>
  <c r="N241" i="14"/>
  <c r="N320" i="14"/>
  <c r="N350" i="14"/>
  <c r="N93" i="14"/>
  <c r="N231" i="14"/>
  <c r="N96" i="14"/>
  <c r="N153" i="14"/>
  <c r="N240" i="14"/>
  <c r="N277" i="14"/>
  <c r="N78" i="14"/>
  <c r="N148" i="14"/>
  <c r="N303" i="14"/>
  <c r="BO86" i="14"/>
  <c r="BO123" i="14"/>
  <c r="AF138" i="14"/>
  <c r="BO157" i="14"/>
  <c r="BO156" i="14"/>
  <c r="BO245" i="14"/>
  <c r="BO294" i="14"/>
  <c r="AF126" i="14"/>
  <c r="BO333" i="14"/>
  <c r="BO280" i="14"/>
  <c r="BO242" i="14"/>
  <c r="BO331" i="14"/>
  <c r="BO88" i="14"/>
  <c r="BO345" i="14"/>
  <c r="BO286" i="14"/>
  <c r="BO321" i="14"/>
  <c r="BO228" i="14"/>
  <c r="BO359" i="14"/>
  <c r="BO241" i="14"/>
  <c r="BO226" i="14"/>
  <c r="BX297" i="14"/>
  <c r="BX332" i="14"/>
  <c r="BX230" i="14"/>
  <c r="BX173" i="14"/>
  <c r="BX105" i="14"/>
  <c r="BX156" i="14"/>
  <c r="BX253" i="14"/>
  <c r="BO229" i="14"/>
  <c r="BO263" i="14"/>
  <c r="BO165" i="14"/>
  <c r="BO131" i="14"/>
  <c r="BO272" i="14"/>
  <c r="BO360" i="14"/>
  <c r="BO244" i="14"/>
  <c r="BO197" i="14"/>
  <c r="BO251" i="14"/>
  <c r="BO297" i="14"/>
  <c r="BX94" i="14"/>
  <c r="BX123" i="14"/>
  <c r="BO169" i="14"/>
  <c r="BO119" i="14"/>
  <c r="BO178" i="14"/>
  <c r="BX291" i="14"/>
  <c r="BX163" i="14"/>
  <c r="BO153" i="14"/>
  <c r="BX137" i="14"/>
  <c r="BO211" i="14"/>
  <c r="BX96" i="14"/>
  <c r="BX102" i="14"/>
  <c r="BO101" i="14"/>
  <c r="BO142" i="14"/>
  <c r="BO109" i="14"/>
  <c r="BO306" i="14"/>
  <c r="BO158" i="14"/>
  <c r="BO171" i="14"/>
  <c r="BO364" i="14"/>
  <c r="BO190" i="14"/>
  <c r="BX82" i="14"/>
  <c r="BX88" i="14"/>
  <c r="BX289" i="14"/>
  <c r="BO266" i="14"/>
  <c r="BO256" i="14"/>
  <c r="BO316" i="14"/>
  <c r="BO358" i="14"/>
  <c r="BO265" i="14"/>
  <c r="BO80" i="14"/>
  <c r="BO253" i="14"/>
  <c r="BO257" i="14"/>
  <c r="BO151" i="14"/>
  <c r="BO135" i="14"/>
  <c r="BO276" i="14"/>
  <c r="BO304" i="14"/>
  <c r="BO199" i="14"/>
  <c r="BO136" i="14"/>
  <c r="BO290" i="14"/>
  <c r="BO317" i="14"/>
  <c r="BO78" i="14"/>
  <c r="BO363" i="14"/>
  <c r="BO362" i="14"/>
  <c r="BO179" i="14"/>
  <c r="BX308" i="14"/>
  <c r="BX363" i="14"/>
  <c r="BO104" i="14"/>
  <c r="BO126" i="14"/>
  <c r="BO232" i="14"/>
  <c r="BO281" i="14"/>
  <c r="BO174" i="14"/>
  <c r="BO111" i="14"/>
  <c r="BO175" i="14"/>
  <c r="BO285" i="14"/>
  <c r="BO150" i="14"/>
  <c r="BO187" i="14"/>
  <c r="AF157" i="14"/>
  <c r="AF222" i="14"/>
  <c r="AF139" i="14"/>
  <c r="AF147" i="14"/>
  <c r="AF305" i="14"/>
  <c r="AF332" i="14"/>
  <c r="AF80" i="14"/>
  <c r="AF338" i="14"/>
  <c r="AF70" i="14"/>
  <c r="AF67" i="14"/>
  <c r="AF109" i="14"/>
  <c r="AF258" i="14"/>
  <c r="AF99" i="14"/>
  <c r="AF256" i="14"/>
  <c r="AF321" i="14"/>
  <c r="AF364" i="14"/>
  <c r="BO223" i="14"/>
  <c r="BO278" i="14"/>
  <c r="BO77" i="14"/>
  <c r="BO83" i="14"/>
  <c r="BO189" i="14"/>
  <c r="BO209" i="14"/>
  <c r="BO275" i="14"/>
  <c r="BO138" i="14"/>
  <c r="BO324" i="14"/>
  <c r="BO184" i="14"/>
  <c r="BO122" i="14"/>
  <c r="BO343" i="14"/>
  <c r="BO132" i="14"/>
  <c r="BO148" i="14"/>
  <c r="BO193" i="14"/>
  <c r="BO314" i="14"/>
  <c r="BO168" i="14"/>
  <c r="BO329" i="14"/>
  <c r="BO149" i="14"/>
  <c r="BO258" i="14"/>
  <c r="BO198" i="14"/>
  <c r="BO288" i="14"/>
  <c r="BO208" i="14"/>
  <c r="AF220" i="14"/>
  <c r="BO93" i="14"/>
  <c r="BO147" i="14"/>
  <c r="BO185" i="14"/>
  <c r="BO277" i="14"/>
  <c r="BO319" i="14"/>
  <c r="BO188" i="14"/>
  <c r="BO271" i="14"/>
  <c r="BO305" i="14"/>
  <c r="BO337" i="14"/>
  <c r="BO206" i="14"/>
  <c r="BO250" i="14"/>
  <c r="BO75" i="14"/>
  <c r="BO166" i="14"/>
  <c r="BO68" i="14"/>
  <c r="BO212" i="14"/>
  <c r="BX261" i="14"/>
  <c r="BO291" i="14"/>
  <c r="BO246" i="14"/>
  <c r="BX106" i="14"/>
  <c r="AF180" i="14"/>
  <c r="AF84" i="14"/>
  <c r="AF316" i="14"/>
  <c r="BO218" i="14"/>
  <c r="BO322" i="14"/>
  <c r="BO325" i="14"/>
  <c r="AF279" i="14"/>
  <c r="BX301" i="14"/>
  <c r="BO207" i="14"/>
  <c r="BO338" i="14"/>
  <c r="BO73" i="14"/>
  <c r="BO196" i="14"/>
  <c r="BO273" i="14"/>
  <c r="BO107" i="14"/>
  <c r="BO303" i="14"/>
  <c r="BO350" i="14"/>
  <c r="BO204" i="14"/>
  <c r="BO141" i="14"/>
  <c r="BX250" i="14"/>
  <c r="AF83" i="14"/>
  <c r="AF69" i="14"/>
  <c r="BO118" i="14"/>
  <c r="BO249" i="14"/>
  <c r="BO332" i="14"/>
  <c r="BO195" i="14"/>
  <c r="BO139" i="14"/>
  <c r="AF142" i="14"/>
  <c r="BX322" i="14"/>
  <c r="BX131" i="14"/>
  <c r="BX91" i="14"/>
  <c r="BX157" i="14"/>
  <c r="BX312" i="14"/>
  <c r="AF272" i="14"/>
  <c r="AF173" i="14"/>
  <c r="BO154" i="14"/>
  <c r="BO162" i="14"/>
  <c r="BO113" i="14"/>
  <c r="BO219" i="14"/>
  <c r="BO248" i="14"/>
  <c r="AF177" i="14"/>
  <c r="AF264" i="14"/>
  <c r="AF289" i="14"/>
  <c r="AF314" i="14"/>
  <c r="AF275" i="14"/>
  <c r="AF302" i="14"/>
  <c r="AF246" i="14"/>
  <c r="AF322" i="14"/>
  <c r="AF81" i="14"/>
  <c r="AF294" i="14"/>
  <c r="AF271" i="14"/>
  <c r="AF303" i="14"/>
  <c r="AF291" i="14"/>
  <c r="AF212" i="14"/>
  <c r="AF128" i="14"/>
  <c r="AF203" i="14"/>
  <c r="AF94" i="14"/>
  <c r="AF75" i="14"/>
  <c r="AF335" i="14"/>
  <c r="BX276" i="14"/>
  <c r="BX212" i="14"/>
  <c r="BX158" i="14"/>
  <c r="BX281" i="14"/>
  <c r="AF252" i="14"/>
  <c r="AF149" i="14"/>
  <c r="AF152" i="14"/>
  <c r="AF330" i="14"/>
  <c r="AF346" i="14"/>
  <c r="AF143" i="14"/>
  <c r="AF265" i="14"/>
  <c r="AF277" i="14"/>
  <c r="BX116" i="14"/>
  <c r="BX227" i="14"/>
  <c r="AF155" i="14"/>
  <c r="AF135" i="14"/>
  <c r="AF115" i="14"/>
  <c r="AF187" i="14"/>
  <c r="AF363" i="14"/>
  <c r="AF331" i="14"/>
  <c r="AF214" i="14"/>
  <c r="BX242" i="14"/>
  <c r="BX186" i="14"/>
  <c r="BX112" i="14"/>
  <c r="AF298" i="14"/>
  <c r="AF68" i="14"/>
  <c r="BX292" i="14"/>
  <c r="BX134" i="14"/>
  <c r="BX195" i="14"/>
  <c r="BX133" i="14"/>
  <c r="AF116" i="14"/>
  <c r="AF160" i="14"/>
  <c r="AF192" i="14"/>
  <c r="AF150" i="14"/>
  <c r="BX222" i="14"/>
  <c r="BX275" i="14"/>
  <c r="AF97" i="14"/>
  <c r="AF282" i="14"/>
  <c r="AF66" i="14"/>
  <c r="AF219" i="14"/>
  <c r="AF224" i="14"/>
  <c r="AF284" i="14"/>
  <c r="BX331" i="14"/>
  <c r="AF166" i="14"/>
  <c r="AF183" i="14"/>
  <c r="AF210" i="14"/>
  <c r="AF122" i="14"/>
  <c r="AF231" i="14"/>
  <c r="BX320" i="14"/>
  <c r="BX146" i="14"/>
  <c r="BX68" i="14"/>
  <c r="AF144" i="14"/>
  <c r="AF182" i="14"/>
  <c r="AF108" i="14"/>
  <c r="AF200" i="14"/>
  <c r="AF344" i="14"/>
  <c r="AF355" i="14"/>
  <c r="BX239" i="14"/>
  <c r="BX182" i="14"/>
  <c r="BX143" i="14"/>
  <c r="AF340" i="14"/>
  <c r="BX70" i="14"/>
  <c r="BX67" i="14"/>
  <c r="BX109" i="14"/>
  <c r="BX362" i="14"/>
  <c r="BX93" i="14"/>
  <c r="BX207" i="14"/>
  <c r="BX330" i="14"/>
  <c r="BX285" i="14"/>
  <c r="BX154" i="14"/>
  <c r="AF209" i="14"/>
  <c r="AF245" i="14"/>
  <c r="AF118" i="14"/>
  <c r="AF218" i="14"/>
  <c r="AF199" i="14"/>
  <c r="BX217" i="14"/>
  <c r="AF124" i="14"/>
  <c r="BX97" i="14"/>
  <c r="AF250" i="14"/>
  <c r="BX218" i="14"/>
  <c r="AF158" i="14"/>
  <c r="AF188" i="14"/>
  <c r="AF89" i="14"/>
  <c r="AF148" i="14"/>
  <c r="BX99" i="14"/>
  <c r="BX335" i="14"/>
  <c r="BX279" i="14"/>
  <c r="BX136" i="14"/>
  <c r="AF112" i="14"/>
  <c r="AF102" i="14"/>
  <c r="BX245" i="14"/>
  <c r="AF356" i="14"/>
  <c r="AF309" i="14"/>
  <c r="BX177" i="14"/>
  <c r="BX341" i="14"/>
  <c r="BX298" i="14"/>
  <c r="AF179" i="14"/>
  <c r="AF211" i="14"/>
  <c r="BX269" i="14"/>
  <c r="BX198" i="14"/>
  <c r="AF307" i="14"/>
  <c r="BX300" i="14"/>
  <c r="BX161" i="14"/>
  <c r="AF237" i="14"/>
  <c r="AF114" i="14"/>
  <c r="AF104" i="14"/>
  <c r="BX231" i="14"/>
  <c r="BX270" i="14"/>
  <c r="BX216" i="14"/>
  <c r="AF156" i="14"/>
  <c r="AF85" i="14"/>
  <c r="BX274" i="14"/>
  <c r="BX349" i="14"/>
  <c r="BX360" i="14"/>
  <c r="BX293" i="14"/>
  <c r="BX167" i="14"/>
  <c r="AF178" i="14"/>
  <c r="BX166" i="14"/>
  <c r="BX282" i="14"/>
  <c r="BX183" i="14"/>
  <c r="BX83" i="14"/>
  <c r="BX153" i="14"/>
  <c r="BX213" i="14"/>
  <c r="BX342" i="14"/>
  <c r="BX66" i="14"/>
  <c r="BX211" i="14"/>
  <c r="AF247" i="14"/>
  <c r="BX69" i="14"/>
  <c r="BX172" i="14"/>
  <c r="BX272" i="14"/>
  <c r="AF253" i="14"/>
  <c r="AF145" i="14"/>
  <c r="AF276" i="14"/>
  <c r="AF352" i="14"/>
  <c r="AF189" i="14"/>
  <c r="AF201" i="14"/>
  <c r="BX108" i="14"/>
  <c r="BX128" i="14"/>
  <c r="BX180" i="14"/>
  <c r="BX228" i="14"/>
  <c r="BX76" i="14"/>
  <c r="BX355" i="14"/>
  <c r="BX79" i="14"/>
  <c r="BX232" i="14"/>
  <c r="BX294" i="14"/>
  <c r="AF262" i="14"/>
  <c r="AF95" i="14"/>
  <c r="AF162" i="14"/>
  <c r="AF260" i="14"/>
  <c r="BX126" i="14"/>
  <c r="BX265" i="14"/>
  <c r="BX323" i="14"/>
  <c r="BX351" i="14"/>
  <c r="BX333" i="14"/>
  <c r="BX192" i="14"/>
  <c r="BX249" i="14"/>
  <c r="BX314" i="14"/>
  <c r="BX225" i="14"/>
  <c r="BX101" i="14"/>
  <c r="BX280" i="14"/>
  <c r="AF234" i="14"/>
  <c r="AF300" i="14"/>
  <c r="AF107" i="14"/>
  <c r="AF244" i="14"/>
  <c r="BX117" i="14"/>
  <c r="BX194" i="14"/>
  <c r="BX132" i="14"/>
  <c r="AF169" i="14"/>
  <c r="AF273" i="14"/>
  <c r="AF100" i="14"/>
  <c r="AF190" i="14"/>
  <c r="AF92" i="14"/>
  <c r="AF306" i="14"/>
  <c r="BX307" i="14"/>
  <c r="BX356" i="14"/>
  <c r="BX77" i="14"/>
  <c r="BX151" i="14"/>
  <c r="AF301" i="14"/>
  <c r="AF208" i="14"/>
  <c r="AF198" i="14"/>
  <c r="BX204" i="14"/>
  <c r="BX129" i="14"/>
  <c r="BX219" i="14"/>
  <c r="BX254" i="14"/>
  <c r="BX196" i="14"/>
  <c r="AF125" i="14"/>
  <c r="AF243" i="14"/>
  <c r="AF312" i="14"/>
  <c r="AF72" i="14"/>
  <c r="AF164" i="14"/>
  <c r="AF295" i="14"/>
  <c r="AF326" i="14"/>
  <c r="AF349" i="14"/>
  <c r="AF167" i="14"/>
  <c r="AF297" i="14"/>
  <c r="BX348" i="14"/>
  <c r="BX206" i="14"/>
  <c r="BX278" i="14"/>
  <c r="BX139" i="14"/>
  <c r="BX316" i="14"/>
  <c r="AF90" i="14"/>
  <c r="AF228" i="14"/>
  <c r="AF73" i="14"/>
  <c r="AF320" i="14"/>
  <c r="BX80" i="14"/>
  <c r="BX190" i="14"/>
  <c r="BX150" i="14"/>
  <c r="BX187" i="14"/>
  <c r="AF233" i="14"/>
  <c r="AF254" i="14"/>
  <c r="AF342" i="14"/>
  <c r="AF207" i="14"/>
  <c r="AF354" i="14"/>
  <c r="AF165" i="14"/>
  <c r="AF191" i="14"/>
  <c r="AF197" i="14"/>
  <c r="BX240" i="14"/>
  <c r="BX354" i="14"/>
  <c r="BX142" i="14"/>
  <c r="BX184" i="14"/>
  <c r="BX81" i="14"/>
  <c r="BX201" i="14"/>
  <c r="BX327" i="14"/>
  <c r="BX75" i="14"/>
  <c r="BX149" i="14"/>
  <c r="BX237" i="14"/>
  <c r="BX357" i="14"/>
  <c r="BX165" i="14"/>
  <c r="BX283" i="14"/>
  <c r="BX95" i="14"/>
  <c r="BX98" i="14"/>
  <c r="BX159" i="14"/>
  <c r="BX256" i="14"/>
  <c r="BX347" i="14"/>
  <c r="BX65" i="14"/>
  <c r="BY65" i="14"/>
  <c r="BY66" i="14"/>
  <c r="BY67" i="14"/>
  <c r="BY68" i="14"/>
  <c r="BY69" i="14"/>
  <c r="BY70" i="14"/>
  <c r="BY71" i="14"/>
  <c r="BY72" i="14"/>
  <c r="BY73" i="14"/>
  <c r="BY74" i="14"/>
  <c r="BY75" i="14"/>
  <c r="BY76" i="14"/>
  <c r="BY77" i="14"/>
  <c r="BY78" i="14"/>
  <c r="BY79" i="14"/>
  <c r="BY80" i="14"/>
  <c r="BY81" i="14"/>
  <c r="BY82" i="14"/>
  <c r="BY83" i="14"/>
  <c r="BY84" i="14"/>
  <c r="BY85" i="14"/>
  <c r="BY86" i="14"/>
  <c r="BY87" i="14"/>
  <c r="BY88" i="14"/>
  <c r="BY89" i="14"/>
  <c r="BY90" i="14"/>
  <c r="BY91" i="14"/>
  <c r="BY92" i="14"/>
  <c r="BY93" i="14"/>
  <c r="BY94" i="14"/>
  <c r="BY95" i="14"/>
  <c r="BY96" i="14"/>
  <c r="BY97" i="14"/>
  <c r="BY98" i="14"/>
  <c r="BY99" i="14"/>
  <c r="BY100" i="14"/>
  <c r="BY101" i="14"/>
  <c r="BY102" i="14"/>
  <c r="BY103" i="14"/>
  <c r="BY104" i="14"/>
  <c r="BY105" i="14"/>
  <c r="BY106" i="14"/>
  <c r="BY107" i="14"/>
  <c r="BY108" i="14"/>
  <c r="BY109" i="14"/>
  <c r="BY110" i="14"/>
  <c r="BY111" i="14"/>
  <c r="BY112" i="14"/>
  <c r="BY113" i="14"/>
  <c r="BY114" i="14"/>
  <c r="BY115" i="14"/>
  <c r="BY116" i="14"/>
  <c r="BY117" i="14"/>
  <c r="BY118" i="14"/>
  <c r="BY119" i="14"/>
  <c r="BY120" i="14"/>
  <c r="BY121" i="14"/>
  <c r="BY122" i="14"/>
  <c r="BY123" i="14"/>
  <c r="BY124" i="14"/>
  <c r="BY125" i="14"/>
  <c r="BY126" i="14"/>
  <c r="BY127" i="14"/>
  <c r="BY128" i="14"/>
  <c r="BY129" i="14"/>
  <c r="BY130" i="14"/>
  <c r="BY131" i="14"/>
  <c r="BY132" i="14"/>
  <c r="BY133" i="14"/>
  <c r="BY134" i="14"/>
  <c r="BY135" i="14"/>
  <c r="BY136" i="14"/>
  <c r="BY137" i="14"/>
  <c r="BY138" i="14"/>
  <c r="BY139" i="14"/>
  <c r="BY140" i="14"/>
  <c r="BY141" i="14"/>
  <c r="BY142" i="14"/>
  <c r="BY143" i="14"/>
  <c r="BY144" i="14"/>
  <c r="BY145" i="14"/>
  <c r="BY146" i="14"/>
  <c r="BY147" i="14"/>
  <c r="BY148" i="14"/>
  <c r="BY149" i="14"/>
  <c r="BY150" i="14"/>
  <c r="BY151" i="14"/>
  <c r="BY152" i="14"/>
  <c r="BY153" i="14"/>
  <c r="BY154" i="14"/>
  <c r="BY155" i="14"/>
  <c r="BY156" i="14"/>
  <c r="BY157" i="14"/>
  <c r="BY158" i="14"/>
  <c r="BY159" i="14"/>
  <c r="BY160" i="14"/>
  <c r="BY161" i="14"/>
  <c r="BY162" i="14"/>
  <c r="BY163" i="14"/>
  <c r="BY164" i="14"/>
  <c r="BY165" i="14"/>
  <c r="BY166" i="14"/>
  <c r="BY167" i="14"/>
  <c r="BY168" i="14"/>
  <c r="BY169" i="14"/>
  <c r="BY170" i="14"/>
  <c r="BY171" i="14"/>
  <c r="BY172" i="14"/>
  <c r="BY173" i="14"/>
  <c r="BY174" i="14"/>
  <c r="BY175" i="14"/>
  <c r="BY176" i="14"/>
  <c r="BY177" i="14"/>
  <c r="BY178" i="14"/>
  <c r="BY179" i="14"/>
  <c r="BY180" i="14"/>
  <c r="BY181" i="14"/>
  <c r="BY182" i="14"/>
  <c r="BY183" i="14"/>
  <c r="BY184" i="14"/>
  <c r="BY185" i="14"/>
  <c r="BY186" i="14"/>
  <c r="BY187" i="14"/>
  <c r="BY188" i="14"/>
  <c r="BY189" i="14"/>
  <c r="BY190" i="14"/>
  <c r="BY191" i="14"/>
  <c r="BY192" i="14"/>
  <c r="BY193" i="14"/>
  <c r="BY194" i="14"/>
  <c r="BY195" i="14"/>
  <c r="BY196" i="14"/>
  <c r="BY197" i="14"/>
  <c r="BY198" i="14"/>
  <c r="BY199" i="14"/>
  <c r="BY200" i="14"/>
  <c r="BY201" i="14"/>
  <c r="BY202" i="14"/>
  <c r="BY203" i="14"/>
  <c r="BY204" i="14"/>
  <c r="BY205" i="14"/>
  <c r="BY206" i="14"/>
  <c r="BY207" i="14"/>
  <c r="BY208" i="14"/>
  <c r="BY209" i="14"/>
  <c r="BY210" i="14"/>
  <c r="BY211" i="14"/>
  <c r="BY212" i="14"/>
  <c r="BY213" i="14"/>
  <c r="BY214" i="14"/>
  <c r="BY215" i="14"/>
  <c r="BY216" i="14"/>
  <c r="BY217" i="14"/>
  <c r="BY218" i="14"/>
  <c r="BY219" i="14"/>
  <c r="BY220" i="14"/>
  <c r="BY221" i="14"/>
  <c r="BY222" i="14"/>
  <c r="BY223" i="14"/>
  <c r="BY224" i="14"/>
  <c r="BY225" i="14"/>
  <c r="BY226" i="14"/>
  <c r="BY227" i="14"/>
  <c r="BY228" i="14"/>
  <c r="BY229" i="14"/>
  <c r="BY230" i="14"/>
  <c r="BY231" i="14"/>
  <c r="BY232" i="14"/>
  <c r="BY233" i="14"/>
  <c r="BY234" i="14"/>
  <c r="BY235" i="14"/>
  <c r="BY236" i="14"/>
  <c r="BY237" i="14"/>
  <c r="BY238" i="14"/>
  <c r="BY239" i="14"/>
  <c r="BY240" i="14"/>
  <c r="BY241" i="14"/>
  <c r="BY242" i="14"/>
  <c r="BY243" i="14"/>
  <c r="BY244" i="14"/>
  <c r="BY245" i="14"/>
  <c r="BY246" i="14"/>
  <c r="BY247" i="14"/>
  <c r="BY248" i="14"/>
  <c r="BY249" i="14"/>
  <c r="BY250" i="14"/>
  <c r="BY251" i="14"/>
  <c r="BY252" i="14"/>
  <c r="BY253" i="14"/>
  <c r="BY254" i="14"/>
  <c r="BY255" i="14"/>
  <c r="BY256" i="14"/>
  <c r="BY257" i="14"/>
  <c r="BY258" i="14"/>
  <c r="BY259" i="14"/>
  <c r="BY260" i="14"/>
  <c r="BY261" i="14"/>
  <c r="BY262" i="14"/>
  <c r="BY263" i="14"/>
  <c r="BY264" i="14"/>
  <c r="BY265" i="14"/>
  <c r="BY266" i="14"/>
  <c r="BY267" i="14"/>
  <c r="BY268" i="14"/>
  <c r="BY269" i="14"/>
  <c r="BY270" i="14"/>
  <c r="BY271" i="14"/>
  <c r="BY272" i="14"/>
  <c r="BY273" i="14"/>
  <c r="BY274" i="14"/>
  <c r="BY275" i="14"/>
  <c r="BY276" i="14"/>
  <c r="BY277" i="14"/>
  <c r="BY278" i="14"/>
  <c r="BY279" i="14"/>
  <c r="BY280" i="14"/>
  <c r="BY281" i="14"/>
  <c r="BY282" i="14"/>
  <c r="BY283" i="14"/>
  <c r="BY284" i="14"/>
  <c r="BY285" i="14"/>
  <c r="BY286" i="14"/>
  <c r="BY287" i="14"/>
  <c r="BY288" i="14"/>
  <c r="BY289" i="14"/>
  <c r="BY290" i="14"/>
  <c r="BY291" i="14"/>
  <c r="BY292" i="14"/>
  <c r="BY293" i="14"/>
  <c r="BY294" i="14"/>
  <c r="BY295" i="14"/>
  <c r="BY296" i="14"/>
  <c r="BY297" i="14"/>
  <c r="BY298" i="14"/>
  <c r="BY299" i="14"/>
  <c r="BY300" i="14"/>
  <c r="BY301" i="14"/>
  <c r="BY302" i="14"/>
  <c r="BY303" i="14"/>
  <c r="BY304" i="14"/>
  <c r="BY305" i="14"/>
  <c r="BY306" i="14"/>
  <c r="BY307" i="14"/>
  <c r="BY308" i="14"/>
  <c r="BY309" i="14"/>
  <c r="BY310" i="14"/>
  <c r="BY311" i="14"/>
  <c r="BY312" i="14"/>
  <c r="BY313" i="14"/>
  <c r="BY314" i="14"/>
  <c r="BY315" i="14"/>
  <c r="BY316" i="14"/>
  <c r="BY317" i="14"/>
  <c r="BY318" i="14"/>
  <c r="BY319" i="14"/>
  <c r="BY320" i="14"/>
  <c r="BY321" i="14"/>
  <c r="BY322" i="14"/>
  <c r="BY323" i="14"/>
  <c r="BY324" i="14"/>
  <c r="BY325" i="14"/>
  <c r="BY326" i="14"/>
  <c r="BY327" i="14"/>
  <c r="BY328" i="14"/>
  <c r="BY329" i="14"/>
  <c r="BY330" i="14"/>
  <c r="BY331" i="14"/>
  <c r="BY332" i="14"/>
  <c r="BY333" i="14"/>
  <c r="BY334" i="14"/>
  <c r="BY335" i="14"/>
  <c r="BY336" i="14"/>
  <c r="BY337" i="14"/>
  <c r="BY338" i="14"/>
  <c r="BY339" i="14"/>
  <c r="BY340" i="14"/>
  <c r="BY341" i="14"/>
  <c r="BY342" i="14"/>
  <c r="BY343" i="14"/>
  <c r="BY344" i="14"/>
  <c r="BY345" i="14"/>
  <c r="BY346" i="14"/>
  <c r="BY347" i="14"/>
  <c r="BY348" i="14"/>
  <c r="BY349" i="14"/>
  <c r="BY350" i="14"/>
  <c r="BY351" i="14"/>
  <c r="BY352" i="14"/>
  <c r="BY353" i="14"/>
  <c r="BY354" i="14"/>
  <c r="BY355" i="14"/>
  <c r="BY356" i="14"/>
  <c r="BY357" i="14"/>
  <c r="BY358" i="14"/>
  <c r="BY359" i="14"/>
  <c r="BY360" i="14"/>
  <c r="BY361" i="14"/>
  <c r="BY362" i="14"/>
  <c r="BY363" i="14"/>
  <c r="BY364" i="14"/>
  <c r="BX169" i="14"/>
  <c r="BX313" i="14"/>
  <c r="BX334" i="14"/>
  <c r="BX84" i="14"/>
  <c r="BX127" i="14"/>
  <c r="BX164" i="14"/>
  <c r="BX286" i="14"/>
  <c r="BX329" i="14"/>
  <c r="BX138" i="14"/>
  <c r="BX346" i="14"/>
  <c r="AF204" i="14"/>
  <c r="AF171" i="14"/>
  <c r="AF91" i="14"/>
  <c r="AF213" i="14"/>
  <c r="AF236" i="14"/>
  <c r="AF136" i="14"/>
  <c r="AF161" i="14"/>
  <c r="AF292" i="14"/>
  <c r="AF361" i="14"/>
  <c r="AF96" i="14"/>
  <c r="AF280" i="14"/>
  <c r="AF345" i="14"/>
  <c r="AF137" i="14"/>
  <c r="AF170" i="14"/>
  <c r="AF221" i="14"/>
  <c r="AF263" i="14"/>
  <c r="AF151" i="14"/>
  <c r="AF232" i="14"/>
  <c r="AF296" i="14"/>
  <c r="AF78" i="14"/>
  <c r="AF127" i="14"/>
  <c r="AF154" i="14"/>
  <c r="AF184" i="14"/>
  <c r="AF308" i="14"/>
  <c r="AF336" i="14"/>
  <c r="BO121" i="14"/>
  <c r="BO279" i="14"/>
  <c r="BO160" i="14"/>
  <c r="BO173" i="14"/>
  <c r="BO215" i="14"/>
  <c r="BO292" i="14"/>
  <c r="BO310" i="14"/>
  <c r="BO91" i="14"/>
  <c r="BO129" i="14"/>
  <c r="BO182" i="14"/>
  <c r="BO254" i="14"/>
  <c r="BO240" i="14"/>
  <c r="BO311" i="14"/>
  <c r="BO354" i="14"/>
  <c r="BO74" i="14"/>
  <c r="BO176" i="14"/>
  <c r="BO233" i="14"/>
  <c r="BO339" i="14"/>
  <c r="BO94" i="14"/>
  <c r="BO114" i="14"/>
  <c r="BO231" i="14"/>
  <c r="BO264" i="14"/>
  <c r="BO296" i="14"/>
  <c r="BO341" i="14"/>
  <c r="BX248" i="14"/>
  <c r="BX287" i="14"/>
  <c r="BX284" i="14"/>
  <c r="BX210" i="14"/>
  <c r="BX114" i="14"/>
  <c r="BX188" i="14"/>
  <c r="BX247" i="14"/>
  <c r="BX202" i="14"/>
  <c r="BX336" i="14"/>
  <c r="BX235" i="14"/>
  <c r="BX251" i="14"/>
  <c r="BX353" i="14"/>
  <c r="BX87" i="14"/>
  <c r="BX140" i="14"/>
  <c r="BX155" i="14"/>
  <c r="BX174" i="14"/>
  <c r="BX309" i="14"/>
  <c r="BX344" i="14"/>
  <c r="AF105" i="14"/>
  <c r="AF249" i="14"/>
  <c r="AF242" i="14"/>
  <c r="AF117" i="14"/>
  <c r="AF266" i="14"/>
  <c r="AF287" i="14"/>
  <c r="AF315" i="14"/>
  <c r="AF119" i="14"/>
  <c r="AF227" i="14"/>
  <c r="AF82" i="14"/>
  <c r="AF123" i="14"/>
  <c r="AF194" i="14"/>
  <c r="AF217" i="14"/>
  <c r="AF288" i="14"/>
  <c r="AF351" i="14"/>
  <c r="BO66" i="14"/>
  <c r="BO235" i="14"/>
  <c r="BO349" i="14"/>
  <c r="BO70" i="14"/>
  <c r="BO213" i="14"/>
  <c r="BO110" i="14"/>
  <c r="BO65" i="14"/>
  <c r="BP65" i="14"/>
  <c r="BP66" i="14"/>
  <c r="BP67" i="14"/>
  <c r="BP68" i="14"/>
  <c r="BP69" i="14"/>
  <c r="BP70" i="14"/>
  <c r="BP71" i="14"/>
  <c r="BP72" i="14"/>
  <c r="BP73" i="14"/>
  <c r="BP74" i="14"/>
  <c r="BP75" i="14"/>
  <c r="BP76" i="14"/>
  <c r="BP77" i="14"/>
  <c r="BP78" i="14"/>
  <c r="BP79" i="14"/>
  <c r="BP80" i="14"/>
  <c r="BP81" i="14"/>
  <c r="BP82" i="14"/>
  <c r="BP83" i="14"/>
  <c r="BP84" i="14"/>
  <c r="BP85" i="14"/>
  <c r="BP86" i="14"/>
  <c r="BP87" i="14"/>
  <c r="BP88" i="14"/>
  <c r="BP89" i="14"/>
  <c r="BP90" i="14"/>
  <c r="BP91" i="14"/>
  <c r="BP92" i="14"/>
  <c r="BP93" i="14"/>
  <c r="BP94" i="14"/>
  <c r="BP95" i="14"/>
  <c r="BP96" i="14"/>
  <c r="BP97" i="14"/>
  <c r="BP98" i="14"/>
  <c r="BP99" i="14"/>
  <c r="BP100" i="14"/>
  <c r="BP101" i="14"/>
  <c r="BP102" i="14"/>
  <c r="BP103" i="14"/>
  <c r="BP104" i="14"/>
  <c r="BP105" i="14"/>
  <c r="BP106" i="14"/>
  <c r="BP107" i="14"/>
  <c r="BP108" i="14"/>
  <c r="BP109" i="14"/>
  <c r="BP110" i="14"/>
  <c r="BP111" i="14"/>
  <c r="BP112" i="14"/>
  <c r="BP113" i="14"/>
  <c r="BP114" i="14"/>
  <c r="BP115" i="14"/>
  <c r="BP116" i="14"/>
  <c r="BP117" i="14"/>
  <c r="BP118" i="14"/>
  <c r="BP119" i="14"/>
  <c r="BP120" i="14"/>
  <c r="BP121" i="14"/>
  <c r="BP122" i="14"/>
  <c r="BP123" i="14"/>
  <c r="BP124" i="14"/>
  <c r="BP125" i="14"/>
  <c r="BP126" i="14"/>
  <c r="BP127" i="14"/>
  <c r="BP128" i="14"/>
  <c r="BP129" i="14"/>
  <c r="BP130" i="14"/>
  <c r="BP131" i="14"/>
  <c r="BP132" i="14"/>
  <c r="BP133" i="14"/>
  <c r="BP134" i="14"/>
  <c r="BP135" i="14"/>
  <c r="BP136" i="14"/>
  <c r="BP137" i="14"/>
  <c r="BP138" i="14"/>
  <c r="BP139" i="14"/>
  <c r="BP140" i="14"/>
  <c r="BP141" i="14"/>
  <c r="BP142" i="14"/>
  <c r="BP143" i="14"/>
  <c r="BP144" i="14"/>
  <c r="BP145" i="14"/>
  <c r="BP146" i="14"/>
  <c r="BP147" i="14"/>
  <c r="BP148" i="14"/>
  <c r="BP149" i="14"/>
  <c r="BP150" i="14"/>
  <c r="BP151" i="14"/>
  <c r="BP152" i="14"/>
  <c r="BP153" i="14"/>
  <c r="BP154" i="14"/>
  <c r="BP155" i="14"/>
  <c r="BP156" i="14"/>
  <c r="BP157" i="14"/>
  <c r="BP158" i="14"/>
  <c r="BP159" i="14"/>
  <c r="BP160" i="14"/>
  <c r="BP161" i="14"/>
  <c r="BP162" i="14"/>
  <c r="BP163" i="14"/>
  <c r="BP164" i="14"/>
  <c r="BP165" i="14"/>
  <c r="BP166" i="14"/>
  <c r="BP167" i="14"/>
  <c r="BP168" i="14"/>
  <c r="BP169" i="14"/>
  <c r="BP170" i="14"/>
  <c r="BP171" i="14"/>
  <c r="BP172" i="14"/>
  <c r="BP173" i="14"/>
  <c r="BP174" i="14"/>
  <c r="BP175" i="14"/>
  <c r="BP176" i="14"/>
  <c r="BP177" i="14"/>
  <c r="BP178" i="14"/>
  <c r="BP179" i="14"/>
  <c r="BP180" i="14"/>
  <c r="BP181" i="14"/>
  <c r="BP182" i="14"/>
  <c r="BP183" i="14"/>
  <c r="BP184" i="14"/>
  <c r="BP185" i="14"/>
  <c r="BP186" i="14"/>
  <c r="BP187" i="14"/>
  <c r="BP188" i="14"/>
  <c r="BP189" i="14"/>
  <c r="BP190" i="14"/>
  <c r="BP191" i="14"/>
  <c r="BP192" i="14"/>
  <c r="BP193" i="14"/>
  <c r="BP194" i="14"/>
  <c r="BP195" i="14"/>
  <c r="BP196" i="14"/>
  <c r="BP197" i="14"/>
  <c r="BP198" i="14"/>
  <c r="BP199" i="14"/>
  <c r="BP200" i="14"/>
  <c r="BP201" i="14"/>
  <c r="BP202" i="14"/>
  <c r="BP203" i="14"/>
  <c r="BP204" i="14"/>
  <c r="BP205" i="14"/>
  <c r="BP206" i="14"/>
  <c r="BP207" i="14"/>
  <c r="BP208" i="14"/>
  <c r="BP209" i="14"/>
  <c r="BP210" i="14"/>
  <c r="BP211" i="14"/>
  <c r="BP212" i="14"/>
  <c r="BP213" i="14"/>
  <c r="BP214" i="14"/>
  <c r="BP215" i="14"/>
  <c r="BP216" i="14"/>
  <c r="BP217" i="14"/>
  <c r="BP218" i="14"/>
  <c r="BP219" i="14"/>
  <c r="BP220" i="14"/>
  <c r="BP221" i="14"/>
  <c r="BP222" i="14"/>
  <c r="BP223" i="14"/>
  <c r="BP224" i="14"/>
  <c r="BP225" i="14"/>
  <c r="BP226" i="14"/>
  <c r="BP227" i="14"/>
  <c r="BP228" i="14"/>
  <c r="BP229" i="14"/>
  <c r="BP230" i="14"/>
  <c r="BP231" i="14"/>
  <c r="BP232" i="14"/>
  <c r="BP233" i="14"/>
  <c r="BP234" i="14"/>
  <c r="BP235" i="14"/>
  <c r="BP236" i="14"/>
  <c r="BP237" i="14"/>
  <c r="BP238" i="14"/>
  <c r="BP239" i="14"/>
  <c r="BP240" i="14"/>
  <c r="BP241" i="14"/>
  <c r="BP242" i="14"/>
  <c r="BP243" i="14"/>
  <c r="BP244" i="14"/>
  <c r="BP245" i="14"/>
  <c r="BP246" i="14"/>
  <c r="BP247" i="14"/>
  <c r="BP248" i="14"/>
  <c r="BP249" i="14"/>
  <c r="BP250" i="14"/>
  <c r="BP251" i="14"/>
  <c r="BP252" i="14"/>
  <c r="BP253" i="14"/>
  <c r="BP254" i="14"/>
  <c r="BP255" i="14"/>
  <c r="BP256" i="14"/>
  <c r="BP257" i="14"/>
  <c r="BP258" i="14"/>
  <c r="BP259" i="14"/>
  <c r="BP260" i="14"/>
  <c r="BP261" i="14"/>
  <c r="BP262" i="14"/>
  <c r="BP263" i="14"/>
  <c r="BP264" i="14"/>
  <c r="BP265" i="14"/>
  <c r="BP266" i="14"/>
  <c r="BP267" i="14"/>
  <c r="BP268" i="14"/>
  <c r="BP269" i="14"/>
  <c r="BP270" i="14"/>
  <c r="BP271" i="14"/>
  <c r="BP272" i="14"/>
  <c r="BP273" i="14"/>
  <c r="BP274" i="14"/>
  <c r="BP275" i="14"/>
  <c r="BP276" i="14"/>
  <c r="BP277" i="14"/>
  <c r="BP278" i="14"/>
  <c r="BP279" i="14"/>
  <c r="BP280" i="14"/>
  <c r="BP281" i="14"/>
  <c r="BP282" i="14"/>
  <c r="BP283" i="14"/>
  <c r="BP284" i="14"/>
  <c r="BP285" i="14"/>
  <c r="BP286" i="14"/>
  <c r="BP287" i="14"/>
  <c r="BP288" i="14"/>
  <c r="BP289" i="14"/>
  <c r="BP290" i="14"/>
  <c r="BP291" i="14"/>
  <c r="BP292" i="14"/>
  <c r="BP293" i="14"/>
  <c r="BP294" i="14"/>
  <c r="BP295" i="14"/>
  <c r="BP296" i="14"/>
  <c r="BP297" i="14"/>
  <c r="BP298" i="14"/>
  <c r="BP299" i="14"/>
  <c r="BP300" i="14"/>
  <c r="BP301" i="14"/>
  <c r="BP302" i="14"/>
  <c r="BP303" i="14"/>
  <c r="BP304" i="14"/>
  <c r="BP305" i="14"/>
  <c r="BP306" i="14"/>
  <c r="BP307" i="14"/>
  <c r="BP308" i="14"/>
  <c r="BP309" i="14"/>
  <c r="BP310" i="14"/>
  <c r="BP311" i="14"/>
  <c r="BP312" i="14"/>
  <c r="BP313" i="14"/>
  <c r="BP314" i="14"/>
  <c r="BP315" i="14"/>
  <c r="BP316" i="14"/>
  <c r="BP317" i="14"/>
  <c r="BP318" i="14"/>
  <c r="BP319" i="14"/>
  <c r="BP320" i="14"/>
  <c r="BP321" i="14"/>
  <c r="BP322" i="14"/>
  <c r="BP323" i="14"/>
  <c r="BP324" i="14"/>
  <c r="BP325" i="14"/>
  <c r="BP326" i="14"/>
  <c r="BP327" i="14"/>
  <c r="BP328" i="14"/>
  <c r="BP329" i="14"/>
  <c r="BP330" i="14"/>
  <c r="BP331" i="14"/>
  <c r="BP332" i="14"/>
  <c r="BP333" i="14"/>
  <c r="BP334" i="14"/>
  <c r="BP335" i="14"/>
  <c r="BP336" i="14"/>
  <c r="BP337" i="14"/>
  <c r="BP338" i="14"/>
  <c r="BP339" i="14"/>
  <c r="BP340" i="14"/>
  <c r="BP341" i="14"/>
  <c r="BP342" i="14"/>
  <c r="BP343" i="14"/>
  <c r="BP344" i="14"/>
  <c r="BP345" i="14"/>
  <c r="BP346" i="14"/>
  <c r="BP347" i="14"/>
  <c r="BP348" i="14"/>
  <c r="BP349" i="14"/>
  <c r="BP350" i="14"/>
  <c r="BP351" i="14"/>
  <c r="BP352" i="14"/>
  <c r="BP353" i="14"/>
  <c r="BP354" i="14"/>
  <c r="BP355" i="14"/>
  <c r="BP356" i="14"/>
  <c r="BP357" i="14"/>
  <c r="BP358" i="14"/>
  <c r="BP359" i="14"/>
  <c r="BP360" i="14"/>
  <c r="BP361" i="14"/>
  <c r="BP362" i="14"/>
  <c r="BP363" i="14"/>
  <c r="BP364" i="14"/>
  <c r="BO293" i="14"/>
  <c r="BO336" i="14"/>
  <c r="BO243" i="14"/>
  <c r="BO302" i="14"/>
  <c r="BO330" i="14"/>
  <c r="BX234" i="14"/>
  <c r="BX74" i="14"/>
  <c r="BX73" i="14"/>
  <c r="BX147" i="14"/>
  <c r="BX111" i="14"/>
  <c r="BX359" i="14"/>
  <c r="BX162" i="14"/>
  <c r="BX223" i="14"/>
  <c r="BX317" i="14"/>
  <c r="BX352" i="14"/>
  <c r="BX71" i="14"/>
  <c r="BX115" i="14"/>
  <c r="BX145" i="14"/>
  <c r="BX277" i="14"/>
  <c r="BX340" i="14"/>
  <c r="BX89" i="14"/>
  <c r="BX113" i="14"/>
  <c r="BX205" i="14"/>
  <c r="BX236" i="14"/>
  <c r="BX263" i="14"/>
  <c r="BX325" i="14"/>
  <c r="BX110" i="14"/>
  <c r="BX181" i="14"/>
  <c r="BX246" i="14"/>
  <c r="BX243" i="14"/>
  <c r="BX296" i="14"/>
  <c r="AF269" i="14"/>
  <c r="AF327" i="14"/>
  <c r="AF98" i="14"/>
  <c r="AF281" i="14"/>
  <c r="AF358" i="14"/>
  <c r="AF88" i="14"/>
  <c r="AF347" i="14"/>
  <c r="AF129" i="14"/>
  <c r="AF274" i="14"/>
  <c r="AF304" i="14"/>
  <c r="AF334" i="14"/>
  <c r="AF360" i="14"/>
  <c r="AF93" i="14"/>
  <c r="AF111" i="14"/>
  <c r="AF181" i="14"/>
  <c r="AF293" i="14"/>
  <c r="AF313" i="14"/>
  <c r="AF74" i="14"/>
  <c r="AF121" i="14"/>
  <c r="AF270" i="14"/>
  <c r="AF341" i="14"/>
  <c r="AF130" i="14"/>
  <c r="AF290" i="14"/>
  <c r="AF101" i="14"/>
  <c r="AF193" i="14"/>
  <c r="AF226" i="14"/>
  <c r="AF248" i="14"/>
  <c r="AF286" i="14"/>
  <c r="AF324" i="14"/>
  <c r="BO134" i="14"/>
  <c r="BO130" i="14"/>
  <c r="BO268" i="14"/>
  <c r="BO172" i="14"/>
  <c r="BO128" i="14"/>
  <c r="BO237" i="14"/>
  <c r="BO283" i="14"/>
  <c r="BO92" i="14"/>
  <c r="BO183" i="14"/>
  <c r="BO224" i="14"/>
  <c r="BO298" i="14"/>
  <c r="BO353" i="14"/>
  <c r="BO186" i="14"/>
  <c r="BO260" i="14"/>
  <c r="BO326" i="14"/>
  <c r="BO116" i="14"/>
  <c r="BO205" i="14"/>
  <c r="BO261" i="14"/>
  <c r="BO307" i="14"/>
  <c r="BX178" i="14"/>
  <c r="BX315" i="14"/>
  <c r="BX310" i="14"/>
  <c r="BX295" i="14"/>
  <c r="BX144" i="14"/>
  <c r="BX197" i="14"/>
  <c r="BX100" i="14"/>
  <c r="BX321" i="14"/>
  <c r="BX350" i="14"/>
  <c r="BX299" i="14"/>
  <c r="BX92" i="14"/>
  <c r="BX135" i="14"/>
  <c r="AF299" i="14"/>
  <c r="AF206" i="14"/>
  <c r="AF240" i="14"/>
  <c r="AF186" i="14"/>
  <c r="AF196" i="14"/>
  <c r="AF318" i="14"/>
  <c r="AF172" i="14"/>
  <c r="AF323" i="14"/>
  <c r="AF153" i="14"/>
  <c r="AF241" i="14"/>
  <c r="BO170" i="14"/>
  <c r="BO181" i="14"/>
  <c r="BO247" i="14"/>
  <c r="BO267" i="14"/>
  <c r="BO299" i="14"/>
  <c r="BO106" i="14"/>
  <c r="BO200" i="14"/>
  <c r="BO284" i="14"/>
  <c r="BO252" i="14"/>
  <c r="BO313" i="14"/>
  <c r="BO348" i="14"/>
  <c r="BO95" i="14"/>
  <c r="BO133" i="14"/>
  <c r="BO201" i="14"/>
  <c r="BO217" i="14"/>
  <c r="BO270" i="14"/>
  <c r="BO327" i="14"/>
  <c r="BO85" i="14"/>
  <c r="BO167" i="14"/>
  <c r="BO177" i="14"/>
  <c r="BO289" i="14"/>
  <c r="BO346" i="14"/>
  <c r="BO76" i="14"/>
  <c r="BO117" i="14"/>
  <c r="BO163" i="14"/>
  <c r="BO180" i="14"/>
  <c r="BO234" i="14"/>
  <c r="BO320" i="14"/>
  <c r="BO340" i="14"/>
  <c r="BX302" i="14"/>
  <c r="BX229" i="14"/>
  <c r="BX118" i="14"/>
  <c r="BX220" i="14"/>
  <c r="BX168" i="14"/>
  <c r="BX255" i="14"/>
  <c r="BX125" i="14"/>
  <c r="BX343" i="14"/>
  <c r="BX86" i="14"/>
  <c r="BX175" i="14"/>
  <c r="BX214" i="14"/>
  <c r="BX266" i="14"/>
  <c r="BX324" i="14"/>
  <c r="BX72" i="14"/>
  <c r="BX193" i="14"/>
  <c r="BX259" i="14"/>
  <c r="AF131" i="14"/>
  <c r="AF357" i="14"/>
  <c r="AF216" i="14"/>
  <c r="AF311" i="14"/>
  <c r="AF185" i="14"/>
  <c r="AF339" i="14"/>
  <c r="AF268" i="14"/>
  <c r="AF120" i="14"/>
  <c r="AF230" i="14"/>
  <c r="AF317" i="14"/>
  <c r="AF333" i="14"/>
  <c r="AF86" i="14"/>
  <c r="AF110" i="14"/>
  <c r="AF202" i="14"/>
  <c r="AF225" i="14"/>
  <c r="AF259" i="14"/>
  <c r="AF328" i="14"/>
  <c r="BO192" i="14"/>
  <c r="BO124" i="14"/>
  <c r="BO79" i="14"/>
  <c r="BO236" i="14"/>
  <c r="BO342" i="14"/>
  <c r="BO72" i="14"/>
  <c r="BO164" i="14"/>
  <c r="BO194" i="14"/>
  <c r="BO67" i="14"/>
  <c r="BO143" i="14"/>
  <c r="BO159" i="14"/>
  <c r="BO355" i="14"/>
  <c r="BO152" i="14"/>
  <c r="DF361" i="14"/>
  <c r="DF357" i="14"/>
  <c r="DG354" i="14"/>
  <c r="DG343" i="14"/>
  <c r="DF346" i="14"/>
  <c r="DF347" i="14"/>
  <c r="DF338" i="14"/>
  <c r="DG333" i="14"/>
  <c r="DF324" i="14"/>
  <c r="DF330" i="14"/>
  <c r="DF318" i="14"/>
  <c r="DG310" i="14"/>
  <c r="DG322" i="14"/>
  <c r="DG314" i="14"/>
  <c r="DF305" i="14"/>
  <c r="DF306" i="14"/>
  <c r="DG297" i="14"/>
  <c r="DF294" i="14"/>
  <c r="DG288" i="14"/>
  <c r="DF288" i="14"/>
  <c r="DG281" i="14"/>
  <c r="DF279" i="14"/>
  <c r="DG275" i="14"/>
  <c r="DF268" i="14"/>
  <c r="DG272" i="14"/>
  <c r="DF267" i="14"/>
  <c r="DF255" i="14"/>
  <c r="DG258" i="14"/>
  <c r="DF258" i="14"/>
  <c r="DG248" i="14"/>
  <c r="DG232" i="14"/>
  <c r="DF239" i="14"/>
  <c r="DF236" i="14"/>
  <c r="DF234" i="14"/>
  <c r="DF241" i="14"/>
  <c r="DG226" i="14"/>
  <c r="DF242" i="14"/>
  <c r="DF213" i="14"/>
  <c r="DG200" i="14"/>
  <c r="DF200" i="14"/>
  <c r="DG211" i="14"/>
  <c r="DG193" i="14"/>
  <c r="DF195" i="14"/>
  <c r="DG185" i="14"/>
  <c r="DF192" i="14"/>
  <c r="DF170" i="14"/>
  <c r="DF187" i="14"/>
  <c r="DG173" i="14"/>
  <c r="DF169" i="14"/>
  <c r="DG158" i="14"/>
  <c r="DF165" i="14"/>
  <c r="DF146" i="14"/>
  <c r="DG155" i="14"/>
  <c r="DF157" i="14"/>
  <c r="DF141" i="14"/>
  <c r="DF119" i="14"/>
  <c r="DF117" i="14"/>
  <c r="DF115" i="14"/>
  <c r="DG98" i="14"/>
  <c r="DF110" i="14"/>
  <c r="DG138" i="14"/>
  <c r="DF134" i="14"/>
  <c r="DF140" i="14"/>
  <c r="DG120" i="14"/>
  <c r="DG99" i="14"/>
  <c r="DF120" i="14"/>
  <c r="DF103" i="14"/>
  <c r="DG78" i="14"/>
  <c r="DF78" i="14"/>
  <c r="DG75" i="14"/>
  <c r="DF83" i="14"/>
  <c r="DG94" i="14"/>
  <c r="DG93" i="14"/>
  <c r="DG68" i="14"/>
  <c r="DF70" i="14"/>
  <c r="DF130" i="14"/>
  <c r="DG97" i="14"/>
  <c r="DF101" i="14"/>
  <c r="DF65" i="14"/>
  <c r="DF79" i="14"/>
  <c r="DG89" i="14"/>
  <c r="DF68" i="14"/>
  <c r="DF82" i="14"/>
  <c r="DF359" i="14"/>
  <c r="DG356" i="14"/>
  <c r="DG353" i="14"/>
  <c r="DG341" i="14"/>
  <c r="DF362" i="14"/>
  <c r="DF344" i="14"/>
  <c r="DF340" i="14"/>
  <c r="DF333" i="14"/>
  <c r="DF322" i="14"/>
  <c r="DG325" i="14"/>
  <c r="DF317" i="14"/>
  <c r="DG308" i="14"/>
  <c r="DG312" i="14"/>
  <c r="DG305" i="14"/>
  <c r="DF304" i="14"/>
  <c r="DF307" i="14"/>
  <c r="DF303" i="14"/>
  <c r="DG287" i="14"/>
  <c r="DF287" i="14"/>
  <c r="DG295" i="14"/>
  <c r="DG279" i="14"/>
  <c r="DF277" i="14"/>
  <c r="DG268" i="14"/>
  <c r="DF266" i="14"/>
  <c r="DF271" i="14"/>
  <c r="DF265" i="14"/>
  <c r="DG257" i="14"/>
  <c r="DF257" i="14"/>
  <c r="DG251" i="14"/>
  <c r="DG246" i="14"/>
  <c r="DG254" i="14"/>
  <c r="DG237" i="14"/>
  <c r="DG235" i="14"/>
  <c r="DG233" i="14"/>
  <c r="DF238" i="14"/>
  <c r="DF219" i="14"/>
  <c r="DG230" i="14"/>
  <c r="DG209" i="14"/>
  <c r="DG198" i="14"/>
  <c r="DF198" i="14"/>
  <c r="DG207" i="14"/>
  <c r="DF211" i="14"/>
  <c r="DF189" i="14"/>
  <c r="DF184" i="14"/>
  <c r="DF188" i="14"/>
  <c r="DF168" i="14"/>
  <c r="DG180" i="14"/>
  <c r="DG171" i="14"/>
  <c r="DG189" i="14"/>
  <c r="DG156" i="14"/>
  <c r="DF160" i="14"/>
  <c r="DF144" i="14"/>
  <c r="DG153" i="14"/>
  <c r="DF155" i="14"/>
  <c r="DG163" i="14"/>
  <c r="DF118" i="14"/>
  <c r="DF116" i="14"/>
  <c r="DG112" i="14"/>
  <c r="DG96" i="14"/>
  <c r="DF108" i="14"/>
  <c r="DG134" i="14"/>
  <c r="DG137" i="14"/>
  <c r="DG113" i="14"/>
  <c r="DG119" i="14"/>
  <c r="DF66" i="14"/>
  <c r="DG73" i="14"/>
  <c r="DG90" i="14"/>
  <c r="DF93" i="14"/>
  <c r="DG66" i="14"/>
  <c r="DG70" i="14"/>
  <c r="DG358" i="14"/>
  <c r="DG355" i="14"/>
  <c r="DF354" i="14"/>
  <c r="DF350" i="14"/>
  <c r="DF348" i="14"/>
  <c r="DF342" i="14"/>
  <c r="DG336" i="14"/>
  <c r="DG332" i="14"/>
  <c r="DF320" i="14"/>
  <c r="DG323" i="14"/>
  <c r="DG315" i="14"/>
  <c r="DF325" i="14"/>
  <c r="DH325" i="14"/>
  <c r="DG309" i="14"/>
  <c r="DG304" i="14"/>
  <c r="DF302" i="14"/>
  <c r="DF319" i="14"/>
  <c r="DF301" i="14"/>
  <c r="DF286" i="14"/>
  <c r="DF285" i="14"/>
  <c r="DG290" i="14"/>
  <c r="DG277" i="14"/>
  <c r="DG293" i="14"/>
  <c r="DG266" i="14"/>
  <c r="DF264" i="14"/>
  <c r="DG267" i="14"/>
  <c r="DF263" i="14"/>
  <c r="DF256" i="14"/>
  <c r="DG250" i="14"/>
  <c r="DF250" i="14"/>
  <c r="DG244" i="14"/>
  <c r="DF248" i="14"/>
  <c r="DF227" i="14"/>
  <c r="DG231" i="14"/>
  <c r="DF231" i="14"/>
  <c r="DF233" i="14"/>
  <c r="DF216" i="14"/>
  <c r="DF223" i="14"/>
  <c r="DG210" i="14"/>
  <c r="DG196" i="14"/>
  <c r="DF196" i="14"/>
  <c r="DG205" i="14"/>
  <c r="DF207" i="14"/>
  <c r="DG184" i="14"/>
  <c r="DG177" i="14"/>
  <c r="DG186" i="14"/>
  <c r="DG191" i="14"/>
  <c r="DF179" i="14"/>
  <c r="DG169" i="14"/>
  <c r="DG183" i="14"/>
  <c r="DG154" i="14"/>
  <c r="DF158" i="14"/>
  <c r="DG167" i="14"/>
  <c r="DG151" i="14"/>
  <c r="DF153" i="14"/>
  <c r="DF162" i="14"/>
  <c r="DG117" i="14"/>
  <c r="DG115" i="14"/>
  <c r="DG110" i="14"/>
  <c r="DG143" i="14"/>
  <c r="DF106" i="14"/>
  <c r="DG130" i="14"/>
  <c r="DF126" i="14"/>
  <c r="DG133" i="14"/>
  <c r="DG111" i="14"/>
  <c r="DF142" i="14"/>
  <c r="DG118" i="14"/>
  <c r="DF99" i="14"/>
  <c r="DG65" i="14"/>
  <c r="DG95" i="14"/>
  <c r="DG71" i="14"/>
  <c r="DF77" i="14"/>
  <c r="DG86" i="14"/>
  <c r="DG85" i="14"/>
  <c r="DF89" i="14"/>
  <c r="DF87" i="14"/>
  <c r="DG364" i="14"/>
  <c r="DG357" i="14"/>
  <c r="DF352" i="14"/>
  <c r="DF353" i="14"/>
  <c r="DG346" i="14"/>
  <c r="DG347" i="14"/>
  <c r="DF349" i="14"/>
  <c r="DG337" i="14"/>
  <c r="DF332" i="14"/>
  <c r="DF331" i="14"/>
  <c r="DG321" i="14"/>
  <c r="DF314" i="14"/>
  <c r="DF316" i="14"/>
  <c r="DG324" i="14"/>
  <c r="DG302" i="14"/>
  <c r="DF300" i="14"/>
  <c r="DG318" i="14"/>
  <c r="DF299" i="14"/>
  <c r="DG285" i="14"/>
  <c r="DF282" i="14"/>
  <c r="DF289" i="14"/>
  <c r="DG292" i="14"/>
  <c r="DF292" i="14"/>
  <c r="DG264" i="14"/>
  <c r="DF262" i="14"/>
  <c r="DG265" i="14"/>
  <c r="DF261" i="14"/>
  <c r="DG249" i="14"/>
  <c r="DF249" i="14"/>
  <c r="DF259" i="14"/>
  <c r="DG242" i="14"/>
  <c r="DG239" i="14"/>
  <c r="DF224" i="14"/>
  <c r="DG228" i="14"/>
  <c r="DF228" i="14"/>
  <c r="DF225" i="14"/>
  <c r="DF232" i="14"/>
  <c r="DF220" i="14"/>
  <c r="DF209" i="14"/>
  <c r="DF210" i="14"/>
  <c r="DF194" i="14"/>
  <c r="DG203" i="14"/>
  <c r="DF205" i="14"/>
  <c r="DF183" i="14"/>
  <c r="DG176" i="14"/>
  <c r="DF185" i="14"/>
  <c r="DG187" i="14"/>
  <c r="DG174" i="14"/>
  <c r="DF190" i="14"/>
  <c r="DF182" i="14"/>
  <c r="DG152" i="14"/>
  <c r="DF156" i="14"/>
  <c r="DF166" i="14"/>
  <c r="DG149" i="14"/>
  <c r="DF151" i="14"/>
  <c r="DG164" i="14"/>
  <c r="DG116" i="14"/>
  <c r="DG141" i="14"/>
  <c r="DG108" i="14"/>
  <c r="DF139" i="14"/>
  <c r="DF104" i="14"/>
  <c r="DG126" i="14"/>
  <c r="DF124" i="14"/>
  <c r="DG129" i="14"/>
  <c r="DG109" i="14"/>
  <c r="DF137" i="14"/>
  <c r="DF113" i="14"/>
  <c r="DF97" i="14"/>
  <c r="DF96" i="14"/>
  <c r="DG91" i="14"/>
  <c r="DG69" i="14"/>
  <c r="DF75" i="14"/>
  <c r="DG82" i="14"/>
  <c r="DG81" i="14"/>
  <c r="DF85" i="14"/>
  <c r="DF81" i="14"/>
  <c r="DG157" i="14"/>
  <c r="DG145" i="14"/>
  <c r="DG121" i="14"/>
  <c r="DF105" i="14"/>
  <c r="DF67" i="14"/>
  <c r="DG362" i="14"/>
  <c r="DG352" i="14"/>
  <c r="DG350" i="14"/>
  <c r="DF360" i="14"/>
  <c r="DF345" i="14"/>
  <c r="DG344" i="14"/>
  <c r="DG339" i="14"/>
  <c r="DF336" i="14"/>
  <c r="DG331" i="14"/>
  <c r="DG329" i="14"/>
  <c r="DG319" i="14"/>
  <c r="DF311" i="14"/>
  <c r="DF310" i="14"/>
  <c r="DG313" i="14"/>
  <c r="DG300" i="14"/>
  <c r="DF298" i="14"/>
  <c r="DG317" i="14"/>
  <c r="DF297" i="14"/>
  <c r="DG282" i="14"/>
  <c r="DF280" i="14"/>
  <c r="DF295" i="14"/>
  <c r="DF291" i="14"/>
  <c r="DF284" i="14"/>
  <c r="DG262" i="14"/>
  <c r="DG270" i="14"/>
  <c r="DG263" i="14"/>
  <c r="DF260" i="14"/>
  <c r="DG247" i="14"/>
  <c r="DF247" i="14"/>
  <c r="DG252" i="14"/>
  <c r="DG240" i="14"/>
  <c r="DF230" i="14"/>
  <c r="DG221" i="14"/>
  <c r="DF221" i="14"/>
  <c r="DG225" i="14"/>
  <c r="DF222" i="14"/>
  <c r="DF229" i="14"/>
  <c r="DG217" i="14"/>
  <c r="DG208" i="14"/>
  <c r="DF208" i="14"/>
  <c r="DF217" i="14"/>
  <c r="DG201" i="14"/>
  <c r="DF203" i="14"/>
  <c r="DF175" i="14"/>
  <c r="DG172" i="14"/>
  <c r="DG178" i="14"/>
  <c r="DF186" i="14"/>
  <c r="DG190" i="14"/>
  <c r="DG182" i="14"/>
  <c r="DG175" i="14"/>
  <c r="DG150" i="14"/>
  <c r="DF154" i="14"/>
  <c r="DF167" i="14"/>
  <c r="DG147" i="14"/>
  <c r="DF149" i="14"/>
  <c r="DF163" i="14"/>
  <c r="DG144" i="14"/>
  <c r="DG139" i="14"/>
  <c r="DG106" i="14"/>
  <c r="DF135" i="14"/>
  <c r="DF102" i="14"/>
  <c r="DG124" i="14"/>
  <c r="DG123" i="14"/>
  <c r="DG125" i="14"/>
  <c r="DG107" i="14"/>
  <c r="DF133" i="14"/>
  <c r="DF111" i="14"/>
  <c r="DG92" i="14"/>
  <c r="DF92" i="14"/>
  <c r="DG87" i="14"/>
  <c r="DG67" i="14"/>
  <c r="DF73" i="14"/>
  <c r="DH73" i="14"/>
  <c r="DF94" i="14"/>
  <c r="DG76" i="14"/>
  <c r="DG127" i="14"/>
  <c r="DG80" i="14"/>
  <c r="DG360" i="14"/>
  <c r="DG361" i="14"/>
  <c r="DG363" i="14"/>
  <c r="DG351" i="14"/>
  <c r="DF343" i="14"/>
  <c r="DG342" i="14"/>
  <c r="DG338" i="14"/>
  <c r="DG334" i="14"/>
  <c r="DG328" i="14"/>
  <c r="DF328" i="14"/>
  <c r="DF334" i="14"/>
  <c r="DF323" i="14"/>
  <c r="DF308" i="14"/>
  <c r="DF312" i="14"/>
  <c r="DG298" i="14"/>
  <c r="DF296" i="14"/>
  <c r="DG303" i="14"/>
  <c r="DG294" i="14"/>
  <c r="DG280" i="14"/>
  <c r="DF278" i="14"/>
  <c r="DG291" i="14"/>
  <c r="DG284" i="14"/>
  <c r="DG274" i="14"/>
  <c r="DG260" i="14"/>
  <c r="DF269" i="14"/>
  <c r="DG261" i="14"/>
  <c r="DG255" i="14"/>
  <c r="DG245" i="14"/>
  <c r="DF245" i="14"/>
  <c r="DF251" i="14"/>
  <c r="DG238" i="14"/>
  <c r="DG227" i="14"/>
  <c r="DG218" i="14"/>
  <c r="DF218" i="14"/>
  <c r="DG222" i="14"/>
  <c r="DF253" i="14"/>
  <c r="DF226" i="14"/>
  <c r="DG216" i="14"/>
  <c r="DG206" i="14"/>
  <c r="DF206" i="14"/>
  <c r="DG212" i="14"/>
  <c r="DG199" i="14"/>
  <c r="DF201" i="14"/>
  <c r="DF193" i="14"/>
  <c r="DG170" i="14"/>
  <c r="DF177" i="14"/>
  <c r="DG179" i="14"/>
  <c r="DG181" i="14"/>
  <c r="DF181" i="14"/>
  <c r="DG165" i="14"/>
  <c r="DG148" i="14"/>
  <c r="DF152" i="14"/>
  <c r="DG161" i="14"/>
  <c r="DG162" i="14"/>
  <c r="DF147" i="14"/>
  <c r="DG136" i="14"/>
  <c r="DF136" i="14"/>
  <c r="DG135" i="14"/>
  <c r="DG104" i="14"/>
  <c r="DF131" i="14"/>
  <c r="DF100" i="14"/>
  <c r="DG114" i="14"/>
  <c r="DG122" i="14"/>
  <c r="DF123" i="14"/>
  <c r="DG105" i="14"/>
  <c r="DF129" i="14"/>
  <c r="DF109" i="14"/>
  <c r="DG88" i="14"/>
  <c r="DF88" i="14"/>
  <c r="DG83" i="14"/>
  <c r="DF95" i="14"/>
  <c r="DF71" i="14"/>
  <c r="DF90" i="14"/>
  <c r="DG74" i="14"/>
  <c r="DF76" i="14"/>
  <c r="DF358" i="14"/>
  <c r="DG345" i="14"/>
  <c r="DF351" i="14"/>
  <c r="DG335" i="14"/>
  <c r="DF329" i="14"/>
  <c r="DG327" i="14"/>
  <c r="DG306" i="14"/>
  <c r="DG299" i="14"/>
  <c r="DG276" i="14"/>
  <c r="DG283" i="14"/>
  <c r="DF274" i="14"/>
  <c r="DF270" i="14"/>
  <c r="DG256" i="14"/>
  <c r="DG259" i="14"/>
  <c r="DG234" i="14"/>
  <c r="DF237" i="14"/>
  <c r="DG214" i="14"/>
  <c r="DG220" i="14"/>
  <c r="DG202" i="14"/>
  <c r="DF212" i="14"/>
  <c r="DF197" i="14"/>
  <c r="DG194" i="14"/>
  <c r="DF191" i="14"/>
  <c r="DF171" i="14"/>
  <c r="DG166" i="14"/>
  <c r="DF159" i="14"/>
  <c r="DG128" i="14"/>
  <c r="DG100" i="14"/>
  <c r="DF138" i="14"/>
  <c r="DF121" i="14"/>
  <c r="DG77" i="14"/>
  <c r="DF364" i="14"/>
  <c r="DG359" i="14"/>
  <c r="DF356" i="14"/>
  <c r="DG349" i="14"/>
  <c r="DF341" i="14"/>
  <c r="DG340" i="14"/>
  <c r="DF335" i="14"/>
  <c r="DF337" i="14"/>
  <c r="DF327" i="14"/>
  <c r="DG330" i="14"/>
  <c r="DG326" i="14"/>
  <c r="DG316" i="14"/>
  <c r="DG320" i="14"/>
  <c r="DF309" i="14"/>
  <c r="DG296" i="14"/>
  <c r="DF313" i="14"/>
  <c r="DH313" i="14"/>
  <c r="DG301" i="14"/>
  <c r="DF293" i="14"/>
  <c r="DG278" i="14"/>
  <c r="DF276" i="14"/>
  <c r="DF290" i="14"/>
  <c r="DF283" i="14"/>
  <c r="DF273" i="14"/>
  <c r="DF275" i="14"/>
  <c r="DG271" i="14"/>
  <c r="DG273" i="14"/>
  <c r="DF254" i="14"/>
  <c r="DG243" i="14"/>
  <c r="DF243" i="14"/>
  <c r="DG253" i="14"/>
  <c r="DG236" i="14"/>
  <c r="DG224" i="14"/>
  <c r="DF244" i="14"/>
  <c r="DG215" i="14"/>
  <c r="DF215" i="14"/>
  <c r="DF246" i="14"/>
  <c r="DG223" i="14"/>
  <c r="DF214" i="14"/>
  <c r="DG204" i="14"/>
  <c r="DF204" i="14"/>
  <c r="DG219" i="14"/>
  <c r="DG197" i="14"/>
  <c r="DF199" i="14"/>
  <c r="DG192" i="14"/>
  <c r="DG168" i="14"/>
  <c r="DF176" i="14"/>
  <c r="DH176" i="14"/>
  <c r="DF178" i="14"/>
  <c r="DF180" i="14"/>
  <c r="DF173" i="14"/>
  <c r="DF164" i="14"/>
  <c r="DG146" i="14"/>
  <c r="DF150" i="14"/>
  <c r="DG159" i="14"/>
  <c r="DF161" i="14"/>
  <c r="DF145" i="14"/>
  <c r="DH145" i="14"/>
  <c r="DG132" i="14"/>
  <c r="DF132" i="14"/>
  <c r="DG131" i="14"/>
  <c r="DG102" i="14"/>
  <c r="DF127" i="14"/>
  <c r="DF98" i="14"/>
  <c r="DG140" i="14"/>
  <c r="DF114" i="14"/>
  <c r="DF122" i="14"/>
  <c r="DG103" i="14"/>
  <c r="DF125" i="14"/>
  <c r="DH125" i="14"/>
  <c r="DF107" i="14"/>
  <c r="DG84" i="14"/>
  <c r="DF84" i="14"/>
  <c r="DG79" i="14"/>
  <c r="DF91" i="14"/>
  <c r="DH91" i="14"/>
  <c r="DF69" i="14"/>
  <c r="DH69" i="14"/>
  <c r="DF86" i="14"/>
  <c r="DG72" i="14"/>
  <c r="DF74" i="14"/>
  <c r="DF363" i="14"/>
  <c r="DF355" i="14"/>
  <c r="DG348" i="14"/>
  <c r="DF339" i="14"/>
  <c r="DF326" i="14"/>
  <c r="DF321" i="14"/>
  <c r="DF315" i="14"/>
  <c r="DG311" i="14"/>
  <c r="DG307" i="14"/>
  <c r="DG286" i="14"/>
  <c r="DG289" i="14"/>
  <c r="DF281" i="14"/>
  <c r="DG269" i="14"/>
  <c r="DF272" i="14"/>
  <c r="DG241" i="14"/>
  <c r="DF252" i="14"/>
  <c r="DF240" i="14"/>
  <c r="DF235" i="14"/>
  <c r="DG229" i="14"/>
  <c r="DG213" i="14"/>
  <c r="DF202" i="14"/>
  <c r="DG195" i="14"/>
  <c r="DG188" i="14"/>
  <c r="DF172" i="14"/>
  <c r="DF174" i="14"/>
  <c r="DG160" i="14"/>
  <c r="DF148" i="14"/>
  <c r="DF143" i="14"/>
  <c r="DF128" i="14"/>
  <c r="DF112" i="14"/>
  <c r="DG142" i="14"/>
  <c r="DG101" i="14"/>
  <c r="DF80" i="14"/>
  <c r="DF72" i="14"/>
  <c r="BX189" i="14"/>
  <c r="BX141" i="14"/>
  <c r="V359" i="14"/>
  <c r="V356" i="14"/>
  <c r="U352" i="14"/>
  <c r="V343" i="14"/>
  <c r="V342" i="14"/>
  <c r="U340" i="14"/>
  <c r="V334" i="14"/>
  <c r="V330" i="14"/>
  <c r="V331" i="14"/>
  <c r="U341" i="14"/>
  <c r="U318" i="14"/>
  <c r="V322" i="14"/>
  <c r="V326" i="14"/>
  <c r="V305" i="14"/>
  <c r="V298" i="14"/>
  <c r="U308" i="14"/>
  <c r="U299" i="14"/>
  <c r="V280" i="14"/>
  <c r="U278" i="14"/>
  <c r="U292" i="14"/>
  <c r="U293" i="14"/>
  <c r="V287" i="14"/>
  <c r="V262" i="14"/>
  <c r="V272" i="14"/>
  <c r="V265" i="14"/>
  <c r="V261" i="14"/>
  <c r="V251" i="14"/>
  <c r="V252" i="14"/>
  <c r="U252" i="14"/>
  <c r="V244" i="14"/>
  <c r="U232" i="14"/>
  <c r="V256" i="14"/>
  <c r="U237" i="14"/>
  <c r="U235" i="14"/>
  <c r="V228" i="14"/>
  <c r="V222" i="14"/>
  <c r="V216" i="14"/>
  <c r="U211" i="14"/>
  <c r="U214" i="14"/>
  <c r="U215" i="14"/>
  <c r="V199" i="14"/>
  <c r="U205" i="14"/>
  <c r="U185" i="14"/>
  <c r="V174" i="14"/>
  <c r="V175" i="14"/>
  <c r="U175" i="14"/>
  <c r="V192" i="14"/>
  <c r="U192" i="14"/>
  <c r="V185" i="14"/>
  <c r="V154" i="14"/>
  <c r="U154" i="14"/>
  <c r="U162" i="14"/>
  <c r="V147" i="14"/>
  <c r="U151" i="14"/>
  <c r="V166" i="14"/>
  <c r="V119" i="14"/>
  <c r="U119" i="14"/>
  <c r="U117" i="14"/>
  <c r="V102" i="14"/>
  <c r="U112" i="14"/>
  <c r="V140" i="14"/>
  <c r="U132" i="14"/>
  <c r="V135" i="14"/>
  <c r="V111" i="14"/>
  <c r="U139" i="14"/>
  <c r="U113" i="14"/>
  <c r="V94" i="14"/>
  <c r="U82" i="14"/>
  <c r="V73" i="14"/>
  <c r="U85" i="14"/>
  <c r="U65" i="14"/>
  <c r="U96" i="14"/>
  <c r="V83" i="14"/>
  <c r="U91" i="14"/>
  <c r="U70" i="14"/>
  <c r="V131" i="14"/>
  <c r="V90" i="14"/>
  <c r="V71" i="14"/>
  <c r="U81" i="14"/>
  <c r="U92" i="14"/>
  <c r="U87" i="14"/>
  <c r="U68" i="14"/>
  <c r="U107" i="14"/>
  <c r="V74" i="14"/>
  <c r="V354" i="14"/>
  <c r="U348" i="14"/>
  <c r="U322" i="14"/>
  <c r="U328" i="14"/>
  <c r="U306" i="14"/>
  <c r="U291" i="14"/>
  <c r="V270" i="14"/>
  <c r="V258" i="14"/>
  <c r="V236" i="14"/>
  <c r="V227" i="14"/>
  <c r="V202" i="14"/>
  <c r="V187" i="14"/>
  <c r="V193" i="14"/>
  <c r="U166" i="14"/>
  <c r="U143" i="14"/>
  <c r="V143" i="14"/>
  <c r="U115" i="14"/>
  <c r="V103" i="14"/>
  <c r="V85" i="14"/>
  <c r="V88" i="14"/>
  <c r="V361" i="14"/>
  <c r="V319" i="14"/>
  <c r="V293" i="14"/>
  <c r="U263" i="14"/>
  <c r="U239" i="14"/>
  <c r="V219" i="14"/>
  <c r="U178" i="14"/>
  <c r="V191" i="14"/>
  <c r="U164" i="14"/>
  <c r="U136" i="14"/>
  <c r="V75" i="14"/>
  <c r="V87" i="14"/>
  <c r="V363" i="14"/>
  <c r="V355" i="14"/>
  <c r="U362" i="14"/>
  <c r="V341" i="14"/>
  <c r="U349" i="14"/>
  <c r="V339" i="14"/>
  <c r="V353" i="14"/>
  <c r="U329" i="14"/>
  <c r="U330" i="14"/>
  <c r="U323" i="14"/>
  <c r="U317" i="14"/>
  <c r="V313" i="14"/>
  <c r="V315" i="14"/>
  <c r="V306" i="14"/>
  <c r="V296" i="14"/>
  <c r="V320" i="14"/>
  <c r="U295" i="14"/>
  <c r="V278" i="14"/>
  <c r="V291" i="14"/>
  <c r="U285" i="14"/>
  <c r="V286" i="14"/>
  <c r="U286" i="14"/>
  <c r="U276" i="14"/>
  <c r="U271" i="14"/>
  <c r="V263" i="14"/>
  <c r="V257" i="14"/>
  <c r="V249" i="14"/>
  <c r="U251" i="14"/>
  <c r="V254" i="14"/>
  <c r="V242" i="14"/>
  <c r="V229" i="14"/>
  <c r="U246" i="14"/>
  <c r="U236" i="14"/>
  <c r="W236" i="14"/>
  <c r="U234" i="14"/>
  <c r="U221" i="14"/>
  <c r="U255" i="14"/>
  <c r="V215" i="14"/>
  <c r="V208" i="14"/>
  <c r="U208" i="14"/>
  <c r="V213" i="14"/>
  <c r="V197" i="14"/>
  <c r="U203" i="14"/>
  <c r="V178" i="14"/>
  <c r="V172" i="14"/>
  <c r="U174" i="14"/>
  <c r="V194" i="14"/>
  <c r="V188" i="14"/>
  <c r="U188" i="14"/>
  <c r="U184" i="14"/>
  <c r="V152" i="14"/>
  <c r="U152" i="14"/>
  <c r="V161" i="14"/>
  <c r="V164" i="14"/>
  <c r="U149" i="14"/>
  <c r="U165" i="14"/>
  <c r="V118" i="14"/>
  <c r="U118" i="14"/>
  <c r="U116" i="14"/>
  <c r="V100" i="14"/>
  <c r="U110" i="14"/>
  <c r="V136" i="14"/>
  <c r="U128" i="14"/>
  <c r="V109" i="14"/>
  <c r="U135" i="14"/>
  <c r="U111" i="14"/>
  <c r="V66" i="14"/>
  <c r="V97" i="14"/>
  <c r="V78" i="14"/>
  <c r="V82" i="14"/>
  <c r="V79" i="14"/>
  <c r="V357" i="14"/>
  <c r="V338" i="14"/>
  <c r="V317" i="14"/>
  <c r="V301" i="14"/>
  <c r="U279" i="14"/>
  <c r="U254" i="14"/>
  <c r="U233" i="14"/>
  <c r="U213" i="14"/>
  <c r="U176" i="14"/>
  <c r="U159" i="14"/>
  <c r="U104" i="14"/>
  <c r="U79" i="14"/>
  <c r="U80" i="14"/>
  <c r="U315" i="14"/>
  <c r="V267" i="14"/>
  <c r="V220" i="14"/>
  <c r="U207" i="14"/>
  <c r="V156" i="14"/>
  <c r="V129" i="14"/>
  <c r="V120" i="14"/>
  <c r="U72" i="14"/>
  <c r="V364" i="14"/>
  <c r="U359" i="14"/>
  <c r="W359" i="14"/>
  <c r="U356" i="14"/>
  <c r="W356" i="14"/>
  <c r="V351" i="14"/>
  <c r="U347" i="14"/>
  <c r="U344" i="14"/>
  <c r="V337" i="14"/>
  <c r="U336" i="14"/>
  <c r="U326" i="14"/>
  <c r="U334" i="14"/>
  <c r="U319" i="14"/>
  <c r="W319" i="14"/>
  <c r="V310" i="14"/>
  <c r="V324" i="14"/>
  <c r="U314" i="14"/>
  <c r="U305" i="14"/>
  <c r="W305" i="14"/>
  <c r="U307" i="14"/>
  <c r="V316" i="14"/>
  <c r="V288" i="14"/>
  <c r="V276" i="14"/>
  <c r="U290" i="14"/>
  <c r="V283" i="14"/>
  <c r="U283" i="14"/>
  <c r="U275" i="14"/>
  <c r="V271" i="14"/>
  <c r="V273" i="14"/>
  <c r="V275" i="14"/>
  <c r="U256" i="14"/>
  <c r="V247" i="14"/>
  <c r="U249" i="14"/>
  <c r="U253" i="14"/>
  <c r="V240" i="14"/>
  <c r="V226" i="14"/>
  <c r="U238" i="14"/>
  <c r="V235" i="14"/>
  <c r="U227" i="14"/>
  <c r="U218" i="14"/>
  <c r="U244" i="14"/>
  <c r="V210" i="14"/>
  <c r="V206" i="14"/>
  <c r="U206" i="14"/>
  <c r="V212" i="14"/>
  <c r="V195" i="14"/>
  <c r="U201" i="14"/>
  <c r="U177" i="14"/>
  <c r="V170" i="14"/>
  <c r="U172" i="14"/>
  <c r="U193" i="14"/>
  <c r="V183" i="14"/>
  <c r="V184" i="14"/>
  <c r="V177" i="14"/>
  <c r="V150" i="14"/>
  <c r="U150" i="14"/>
  <c r="V159" i="14"/>
  <c r="U163" i="14"/>
  <c r="U147" i="14"/>
  <c r="V138" i="14"/>
  <c r="V146" i="14"/>
  <c r="V117" i="14"/>
  <c r="V114" i="14"/>
  <c r="V98" i="14"/>
  <c r="U108" i="14"/>
  <c r="V132" i="14"/>
  <c r="V125" i="14"/>
  <c r="V127" i="14"/>
  <c r="V107" i="14"/>
  <c r="U131" i="14"/>
  <c r="U109" i="14"/>
  <c r="V86" i="14"/>
  <c r="V93" i="14"/>
  <c r="V69" i="14"/>
  <c r="U77" i="14"/>
  <c r="V96" i="14"/>
  <c r="U88" i="14"/>
  <c r="W88" i="14"/>
  <c r="V76" i="14"/>
  <c r="U83" i="14"/>
  <c r="U281" i="14"/>
  <c r="U247" i="14"/>
  <c r="V238" i="14"/>
  <c r="V237" i="14"/>
  <c r="U224" i="14"/>
  <c r="U241" i="14"/>
  <c r="U216" i="14"/>
  <c r="V204" i="14"/>
  <c r="V209" i="14"/>
  <c r="U219" i="14"/>
  <c r="V190" i="14"/>
  <c r="U170" i="14"/>
  <c r="U189" i="14"/>
  <c r="U183" i="14"/>
  <c r="V167" i="14"/>
  <c r="U148" i="14"/>
  <c r="U161" i="14"/>
  <c r="U145" i="14"/>
  <c r="V141" i="14"/>
  <c r="V112" i="14"/>
  <c r="U137" i="14"/>
  <c r="V128" i="14"/>
  <c r="U125" i="14"/>
  <c r="U127" i="14"/>
  <c r="V67" i="14"/>
  <c r="U75" i="14"/>
  <c r="U84" i="14"/>
  <c r="V360" i="14"/>
  <c r="U343" i="14"/>
  <c r="V327" i="14"/>
  <c r="U313" i="14"/>
  <c r="U302" i="14"/>
  <c r="V279" i="14"/>
  <c r="V274" i="14"/>
  <c r="V243" i="14"/>
  <c r="V230" i="14"/>
  <c r="V211" i="14"/>
  <c r="U197" i="14"/>
  <c r="U190" i="14"/>
  <c r="U167" i="14"/>
  <c r="V130" i="14"/>
  <c r="V110" i="14"/>
  <c r="V145" i="14"/>
  <c r="U123" i="14"/>
  <c r="U66" i="14"/>
  <c r="U78" i="14"/>
  <c r="U354" i="14"/>
  <c r="V300" i="14"/>
  <c r="V294" i="14"/>
  <c r="V253" i="14"/>
  <c r="V225" i="14"/>
  <c r="V201" i="14"/>
  <c r="U194" i="14"/>
  <c r="V149" i="14"/>
  <c r="U120" i="14"/>
  <c r="V139" i="14"/>
  <c r="U89" i="14"/>
  <c r="U95" i="14"/>
  <c r="V362" i="14"/>
  <c r="V358" i="14"/>
  <c r="U355" i="14"/>
  <c r="U353" i="14"/>
  <c r="U345" i="14"/>
  <c r="U342" i="14"/>
  <c r="U339" i="14"/>
  <c r="V348" i="14"/>
  <c r="U324" i="14"/>
  <c r="U331" i="14"/>
  <c r="V318" i="14"/>
  <c r="V308" i="14"/>
  <c r="V314" i="14"/>
  <c r="U312" i="14"/>
  <c r="V307" i="14"/>
  <c r="U304" i="14"/>
  <c r="V303" i="14"/>
  <c r="U287" i="14"/>
  <c r="W287" i="14"/>
  <c r="V290" i="14"/>
  <c r="V292" i="14"/>
  <c r="V281" i="14"/>
  <c r="U277" i="14"/>
  <c r="U270" i="14"/>
  <c r="W270" i="14"/>
  <c r="U272" i="14"/>
  <c r="U274" i="14"/>
  <c r="U261" i="14"/>
  <c r="V245" i="14"/>
  <c r="V255" i="14"/>
  <c r="U242" i="14"/>
  <c r="U230" i="14"/>
  <c r="V239" i="14"/>
  <c r="U204" i="14"/>
  <c r="U199" i="14"/>
  <c r="V168" i="14"/>
  <c r="U182" i="14"/>
  <c r="V148" i="14"/>
  <c r="V157" i="14"/>
  <c r="V134" i="14"/>
  <c r="V116" i="14"/>
  <c r="U106" i="14"/>
  <c r="V124" i="14"/>
  <c r="V105" i="14"/>
  <c r="V89" i="14"/>
  <c r="V92" i="14"/>
  <c r="U364" i="14"/>
  <c r="V335" i="14"/>
  <c r="U311" i="14"/>
  <c r="U289" i="14"/>
  <c r="U268" i="14"/>
  <c r="U245" i="14"/>
  <c r="V221" i="14"/>
  <c r="U202" i="14"/>
  <c r="U173" i="14"/>
  <c r="V155" i="14"/>
  <c r="U133" i="14"/>
  <c r="U105" i="14"/>
  <c r="V72" i="14"/>
  <c r="V309" i="14"/>
  <c r="U262" i="14"/>
  <c r="W262" i="14"/>
  <c r="V217" i="14"/>
  <c r="V186" i="14"/>
  <c r="U156" i="14"/>
  <c r="V104" i="14"/>
  <c r="U99" i="14"/>
  <c r="V289" i="14"/>
  <c r="U269" i="14"/>
  <c r="U229" i="14"/>
  <c r="V232" i="14"/>
  <c r="V207" i="14"/>
  <c r="V182" i="14"/>
  <c r="U146" i="14"/>
  <c r="U138" i="14"/>
  <c r="U124" i="14"/>
  <c r="U73" i="14"/>
  <c r="V345" i="14"/>
  <c r="U280" i="14"/>
  <c r="U258" i="14"/>
  <c r="U240" i="14"/>
  <c r="U196" i="14"/>
  <c r="U179" i="14"/>
  <c r="U153" i="14"/>
  <c r="U98" i="14"/>
  <c r="U144" i="14"/>
  <c r="U97" i="14"/>
  <c r="U363" i="14"/>
  <c r="V350" i="14"/>
  <c r="V352" i="14"/>
  <c r="V347" i="14"/>
  <c r="U350" i="14"/>
  <c r="V346" i="14"/>
  <c r="U337" i="14"/>
  <c r="U351" i="14"/>
  <c r="U320" i="14"/>
  <c r="V325" i="14"/>
  <c r="U316" i="14"/>
  <c r="U327" i="14"/>
  <c r="V312" i="14"/>
  <c r="U309" i="14"/>
  <c r="V304" i="14"/>
  <c r="U300" i="14"/>
  <c r="V299" i="14"/>
  <c r="U288" i="14"/>
  <c r="U284" i="14"/>
  <c r="V285" i="14"/>
  <c r="V277" i="14"/>
  <c r="U297" i="14"/>
  <c r="V268" i="14"/>
  <c r="U266" i="14"/>
  <c r="U273" i="14"/>
  <c r="U267" i="14"/>
  <c r="U257" i="14"/>
  <c r="V241" i="14"/>
  <c r="U243" i="14"/>
  <c r="W243" i="14"/>
  <c r="V250" i="14"/>
  <c r="V234" i="14"/>
  <c r="U226" i="14"/>
  <c r="U223" i="14"/>
  <c r="V224" i="14"/>
  <c r="U248" i="14"/>
  <c r="U231" i="14"/>
  <c r="U225" i="14"/>
  <c r="W225" i="14"/>
  <c r="U210" i="14"/>
  <c r="V200" i="14"/>
  <c r="U200" i="14"/>
  <c r="V205" i="14"/>
  <c r="U212" i="14"/>
  <c r="U195" i="14"/>
  <c r="U186" i="14"/>
  <c r="U187" i="14"/>
  <c r="V189" i="14"/>
  <c r="U181" i="14"/>
  <c r="V173" i="14"/>
  <c r="U171" i="14"/>
  <c r="V160" i="14"/>
  <c r="U160" i="14"/>
  <c r="V162" i="14"/>
  <c r="V153" i="14"/>
  <c r="U157" i="14"/>
  <c r="U141" i="14"/>
  <c r="V126" i="14"/>
  <c r="U134" i="14"/>
  <c r="V137" i="14"/>
  <c r="V108" i="14"/>
  <c r="U129" i="14"/>
  <c r="U102" i="14"/>
  <c r="V142" i="14"/>
  <c r="V144" i="14"/>
  <c r="V123" i="14"/>
  <c r="V101" i="14"/>
  <c r="U122" i="14"/>
  <c r="U103" i="14"/>
  <c r="U94" i="14"/>
  <c r="V81" i="14"/>
  <c r="V65" i="14"/>
  <c r="U71" i="14"/>
  <c r="V84" i="14"/>
  <c r="V95" i="14"/>
  <c r="V70" i="14"/>
  <c r="U76" i="14"/>
  <c r="U357" i="14"/>
  <c r="U335" i="14"/>
  <c r="V336" i="14"/>
  <c r="U332" i="14"/>
  <c r="U325" i="14"/>
  <c r="V282" i="14"/>
  <c r="U294" i="14"/>
  <c r="U259" i="14"/>
  <c r="V231" i="14"/>
  <c r="V196" i="14"/>
  <c r="U180" i="14"/>
  <c r="V163" i="14"/>
  <c r="U114" i="14"/>
  <c r="V113" i="14"/>
  <c r="U67" i="14"/>
  <c r="U361" i="14"/>
  <c r="U358" i="14"/>
  <c r="U360" i="14"/>
  <c r="U346" i="14"/>
  <c r="V349" i="14"/>
  <c r="V340" i="14"/>
  <c r="U338" i="14"/>
  <c r="V333" i="14"/>
  <c r="U333" i="14"/>
  <c r="V323" i="14"/>
  <c r="V328" i="14"/>
  <c r="U310" i="14"/>
  <c r="V311" i="14"/>
  <c r="U321" i="14"/>
  <c r="V302" i="14"/>
  <c r="U298" i="14"/>
  <c r="U303" i="14"/>
  <c r="V284" i="14"/>
  <c r="U282" i="14"/>
  <c r="U296" i="14"/>
  <c r="V297" i="14"/>
  <c r="V295" i="14"/>
  <c r="V266" i="14"/>
  <c r="U264" i="14"/>
  <c r="V269" i="14"/>
  <c r="U265" i="14"/>
  <c r="V259" i="14"/>
  <c r="V260" i="14"/>
  <c r="U260" i="14"/>
  <c r="V248" i="14"/>
  <c r="U250" i="14"/>
  <c r="V223" i="14"/>
  <c r="U220" i="14"/>
  <c r="U217" i="14"/>
  <c r="V233" i="14"/>
  <c r="U228" i="14"/>
  <c r="U222" i="14"/>
  <c r="V218" i="14"/>
  <c r="V198" i="14"/>
  <c r="U198" i="14"/>
  <c r="V203" i="14"/>
  <c r="U209" i="14"/>
  <c r="U191" i="14"/>
  <c r="V179" i="14"/>
  <c r="V180" i="14"/>
  <c r="V181" i="14"/>
  <c r="V176" i="14"/>
  <c r="V171" i="14"/>
  <c r="U169" i="14"/>
  <c r="V158" i="14"/>
  <c r="U158" i="14"/>
  <c r="U168" i="14"/>
  <c r="W168" i="14"/>
  <c r="V151" i="14"/>
  <c r="U155" i="14"/>
  <c r="V165" i="14"/>
  <c r="U121" i="14"/>
  <c r="U130" i="14"/>
  <c r="W130" i="14"/>
  <c r="V133" i="14"/>
  <c r="V106" i="14"/>
  <c r="V115" i="14"/>
  <c r="U100" i="14"/>
  <c r="W100" i="14"/>
  <c r="U140" i="14"/>
  <c r="U142" i="14"/>
  <c r="V122" i="14"/>
  <c r="V99" i="14"/>
  <c r="V121" i="14"/>
  <c r="U101" i="14"/>
  <c r="U90" i="14"/>
  <c r="V77" i="14"/>
  <c r="U93" i="14"/>
  <c r="U69" i="14"/>
  <c r="V80" i="14"/>
  <c r="V91" i="14"/>
  <c r="V68" i="14"/>
  <c r="U74" i="14"/>
  <c r="V344" i="14"/>
  <c r="V332" i="14"/>
  <c r="V321" i="14"/>
  <c r="V329" i="14"/>
  <c r="U301" i="14"/>
  <c r="V264" i="14"/>
  <c r="V246" i="14"/>
  <c r="V214" i="14"/>
  <c r="V169" i="14"/>
  <c r="U126" i="14"/>
  <c r="U86" i="14"/>
  <c r="CN353" i="14"/>
  <c r="CP353" i="14"/>
  <c r="CN345" i="14"/>
  <c r="CP345" i="14"/>
  <c r="CN348" i="14"/>
  <c r="CP348" i="14"/>
  <c r="CN334" i="14"/>
  <c r="CP334" i="14"/>
  <c r="CN333" i="14"/>
  <c r="CP333" i="14"/>
  <c r="CN312" i="14"/>
  <c r="CP312" i="14"/>
  <c r="CN305" i="14"/>
  <c r="CP305" i="14"/>
  <c r="CN298" i="14"/>
  <c r="CP298" i="14"/>
  <c r="CN288" i="14"/>
  <c r="CP288" i="14"/>
  <c r="CN290" i="14"/>
  <c r="CP290" i="14"/>
  <c r="CN277" i="14"/>
  <c r="CP277" i="14"/>
  <c r="CN264" i="14"/>
  <c r="CP264" i="14"/>
  <c r="CN263" i="14"/>
  <c r="CP263" i="14"/>
  <c r="CN249" i="14"/>
  <c r="CP249" i="14"/>
  <c r="CN235" i="14"/>
  <c r="CP235" i="14"/>
  <c r="CN218" i="14"/>
  <c r="CP218" i="14"/>
  <c r="CN255" i="14"/>
  <c r="CP255" i="14"/>
  <c r="CN220" i="14"/>
  <c r="CP220" i="14"/>
  <c r="CN210" i="14"/>
  <c r="CP210" i="14"/>
  <c r="CN200" i="14"/>
  <c r="CP200" i="14"/>
  <c r="CN203" i="14"/>
  <c r="CP203" i="14"/>
  <c r="CN186" i="14"/>
  <c r="CP186" i="14"/>
  <c r="CN168" i="14"/>
  <c r="CP168" i="14"/>
  <c r="CN188" i="14"/>
  <c r="CP188" i="14"/>
  <c r="CN167" i="14"/>
  <c r="CP167" i="14"/>
  <c r="CN146" i="14"/>
  <c r="CP146" i="14"/>
  <c r="CN153" i="14"/>
  <c r="CP153" i="14"/>
  <c r="CN165" i="14"/>
  <c r="CP165" i="14"/>
  <c r="CN137" i="14"/>
  <c r="CP137" i="14"/>
  <c r="CN108" i="14"/>
  <c r="CP108" i="14"/>
  <c r="CN114" i="14"/>
  <c r="CP114" i="14"/>
  <c r="CN139" i="14"/>
  <c r="CP139" i="14"/>
  <c r="CN107" i="14"/>
  <c r="CP107" i="14"/>
  <c r="CN86" i="14"/>
  <c r="CP86" i="14"/>
  <c r="CN77" i="14"/>
  <c r="CP77" i="14"/>
  <c r="CN92" i="14"/>
  <c r="CP92" i="14"/>
  <c r="CN78" i="14"/>
  <c r="CP78" i="14"/>
  <c r="CN169" i="14"/>
  <c r="CP169" i="14"/>
  <c r="CN352" i="14"/>
  <c r="CP352" i="14"/>
  <c r="CN343" i="14"/>
  <c r="CP343" i="14"/>
  <c r="CN335" i="14"/>
  <c r="CP335" i="14"/>
  <c r="CN329" i="14"/>
  <c r="CP329" i="14"/>
  <c r="CN332" i="14"/>
  <c r="CP332" i="14"/>
  <c r="CN325" i="14"/>
  <c r="CP325" i="14"/>
  <c r="CN315" i="14"/>
  <c r="CP315" i="14"/>
  <c r="CN321" i="14"/>
  <c r="CP321" i="14"/>
  <c r="CN285" i="14"/>
  <c r="CP285" i="14"/>
  <c r="CN291" i="14"/>
  <c r="CP291" i="14"/>
  <c r="CN294" i="14"/>
  <c r="CP294" i="14"/>
  <c r="CN262" i="14"/>
  <c r="CP262" i="14"/>
  <c r="CN261" i="14"/>
  <c r="CP261" i="14"/>
  <c r="CN247" i="14"/>
  <c r="CP247" i="14"/>
  <c r="CN234" i="14"/>
  <c r="CP234" i="14"/>
  <c r="CN231" i="14"/>
  <c r="CP231" i="14"/>
  <c r="CN239" i="14"/>
  <c r="CP239" i="14"/>
  <c r="CN238" i="14"/>
  <c r="CP238" i="14"/>
  <c r="CN216" i="14"/>
  <c r="CP216" i="14"/>
  <c r="CN198" i="14"/>
  <c r="CP198" i="14"/>
  <c r="CN201" i="14"/>
  <c r="CP201" i="14"/>
  <c r="CN178" i="14"/>
  <c r="CP178" i="14"/>
  <c r="CN180" i="14"/>
  <c r="CP180" i="14"/>
  <c r="CN183" i="14"/>
  <c r="CP183" i="14"/>
  <c r="CN160" i="14"/>
  <c r="CP160" i="14"/>
  <c r="CN144" i="14"/>
  <c r="CP144" i="14"/>
  <c r="CN151" i="14"/>
  <c r="CP151" i="14"/>
  <c r="CN140" i="14"/>
  <c r="CP140" i="14"/>
  <c r="CN133" i="14"/>
  <c r="CP133" i="14"/>
  <c r="CN106" i="14"/>
  <c r="CP106" i="14"/>
  <c r="CN136" i="14"/>
  <c r="CP136" i="14"/>
  <c r="CN135" i="14"/>
  <c r="CP135" i="14"/>
  <c r="CN105" i="14"/>
  <c r="CP105" i="14"/>
  <c r="CN82" i="14"/>
  <c r="CP82" i="14"/>
  <c r="CN75" i="14"/>
  <c r="CP75" i="14"/>
  <c r="CN88" i="14"/>
  <c r="CP88" i="14"/>
  <c r="CN76" i="14"/>
  <c r="CP76" i="14"/>
  <c r="CN154" i="14"/>
  <c r="CP154" i="14"/>
  <c r="CN70" i="14"/>
  <c r="CP70" i="14"/>
  <c r="CN364" i="14"/>
  <c r="CP364" i="14"/>
  <c r="CN362" i="14"/>
  <c r="CP362" i="14"/>
  <c r="CN341" i="14"/>
  <c r="CP341" i="14"/>
  <c r="CN336" i="14"/>
  <c r="CP336" i="14"/>
  <c r="CN326" i="14"/>
  <c r="CP326" i="14"/>
  <c r="CN327" i="14"/>
  <c r="CP327" i="14"/>
  <c r="CN318" i="14"/>
  <c r="CP318" i="14"/>
  <c r="CN311" i="14"/>
  <c r="CP311" i="14"/>
  <c r="CN303" i="14"/>
  <c r="CP303" i="14"/>
  <c r="CN295" i="14"/>
  <c r="CP295" i="14"/>
  <c r="CN292" i="14"/>
  <c r="CP292" i="14"/>
  <c r="CN286" i="14"/>
  <c r="CP286" i="14"/>
  <c r="CN271" i="14"/>
  <c r="CP271" i="14"/>
  <c r="CN256" i="14"/>
  <c r="CP256" i="14"/>
  <c r="CN245" i="14"/>
  <c r="CP245" i="14"/>
  <c r="CN227" i="14"/>
  <c r="CP227" i="14"/>
  <c r="CN228" i="14"/>
  <c r="CP228" i="14"/>
  <c r="CN232" i="14"/>
  <c r="CP232" i="14"/>
  <c r="CN237" i="14"/>
  <c r="CP237" i="14"/>
  <c r="CN214" i="14"/>
  <c r="CP214" i="14"/>
  <c r="CN196" i="14"/>
  <c r="CP196" i="14"/>
  <c r="CN199" i="14"/>
  <c r="CP199" i="14"/>
  <c r="CN176" i="14"/>
  <c r="CP176" i="14"/>
  <c r="CN193" i="14"/>
  <c r="CP193" i="14"/>
  <c r="CN173" i="14"/>
  <c r="CP173" i="14"/>
  <c r="CN158" i="14"/>
  <c r="CP158" i="14"/>
  <c r="CN162" i="14"/>
  <c r="CP162" i="14"/>
  <c r="CN149" i="14"/>
  <c r="CP149" i="14"/>
  <c r="CN138" i="14"/>
  <c r="CP138" i="14"/>
  <c r="CN129" i="14"/>
  <c r="CP129" i="14"/>
  <c r="CN104" i="14"/>
  <c r="CP104" i="14"/>
  <c r="CN132" i="14"/>
  <c r="CP132" i="14"/>
  <c r="CN131" i="14"/>
  <c r="CP131" i="14"/>
  <c r="CN103" i="14"/>
  <c r="CP103" i="14"/>
  <c r="CN97" i="14"/>
  <c r="CP97" i="14"/>
  <c r="CN73" i="14"/>
  <c r="CP73" i="14"/>
  <c r="CN84" i="14"/>
  <c r="CP84" i="14"/>
  <c r="CN74" i="14"/>
  <c r="CP74" i="14"/>
  <c r="CN130" i="14"/>
  <c r="CP130" i="14"/>
  <c r="CN363" i="14"/>
  <c r="CP363" i="14"/>
  <c r="CN356" i="14"/>
  <c r="CP356" i="14"/>
  <c r="CN357" i="14"/>
  <c r="CP357" i="14"/>
  <c r="CN337" i="14"/>
  <c r="CP337" i="14"/>
  <c r="CN324" i="14"/>
  <c r="CP324" i="14"/>
  <c r="CN316" i="14"/>
  <c r="CP316" i="14"/>
  <c r="CN317" i="14"/>
  <c r="CP317" i="14"/>
  <c r="CN306" i="14"/>
  <c r="CP306" i="14"/>
  <c r="CN301" i="14"/>
  <c r="CP301" i="14"/>
  <c r="CN289" i="14"/>
  <c r="CP289" i="14"/>
  <c r="CN293" i="14"/>
  <c r="CP293" i="14"/>
  <c r="CN275" i="14"/>
  <c r="CP275" i="14"/>
  <c r="CN272" i="14"/>
  <c r="CP272" i="14"/>
  <c r="CN257" i="14"/>
  <c r="CP257" i="14"/>
  <c r="CN243" i="14"/>
  <c r="CP243" i="14"/>
  <c r="CN224" i="14"/>
  <c r="CP224" i="14"/>
  <c r="CN215" i="14"/>
  <c r="CP215" i="14"/>
  <c r="CN229" i="14"/>
  <c r="CP229" i="14"/>
  <c r="CN236" i="14"/>
  <c r="CP236" i="14"/>
  <c r="CN212" i="14"/>
  <c r="CP212" i="14"/>
  <c r="CN194" i="14"/>
  <c r="CP194" i="14"/>
  <c r="CN197" i="14"/>
  <c r="CP197" i="14"/>
  <c r="CN190" i="14"/>
  <c r="CP190" i="14"/>
  <c r="CN189" i="14"/>
  <c r="CP189" i="14"/>
  <c r="CN171" i="14"/>
  <c r="CP171" i="14"/>
  <c r="CN156" i="14"/>
  <c r="CP156" i="14"/>
  <c r="CN163" i="14"/>
  <c r="CP163" i="14"/>
  <c r="CN147" i="14"/>
  <c r="CP147" i="14"/>
  <c r="CN134" i="14"/>
  <c r="CP134" i="14"/>
  <c r="CN125" i="14"/>
  <c r="CP125" i="14"/>
  <c r="CN102" i="14"/>
  <c r="CP102" i="14"/>
  <c r="CN128" i="14"/>
  <c r="CP128" i="14"/>
  <c r="CN127" i="14"/>
  <c r="CP127" i="14"/>
  <c r="CN101" i="14"/>
  <c r="CP101" i="14"/>
  <c r="CN66" i="14"/>
  <c r="CP66" i="14"/>
  <c r="CN71" i="14"/>
  <c r="CP71" i="14"/>
  <c r="CN80" i="14"/>
  <c r="CP80" i="14"/>
  <c r="CN72" i="14"/>
  <c r="CP72" i="14"/>
  <c r="CN145" i="14"/>
  <c r="CP145" i="14"/>
  <c r="CN95" i="14"/>
  <c r="CP95" i="14"/>
  <c r="CN361" i="14"/>
  <c r="CP361" i="14"/>
  <c r="CN355" i="14"/>
  <c r="CP355" i="14"/>
  <c r="CN350" i="14"/>
  <c r="CP350" i="14"/>
  <c r="CN351" i="14"/>
  <c r="CP351" i="14"/>
  <c r="CN322" i="14"/>
  <c r="CP322" i="14"/>
  <c r="CN328" i="14"/>
  <c r="CP328" i="14"/>
  <c r="CN313" i="14"/>
  <c r="CP313" i="14"/>
  <c r="CN307" i="14"/>
  <c r="CP307" i="14"/>
  <c r="CN299" i="14"/>
  <c r="CP299" i="14"/>
  <c r="CN282" i="14"/>
  <c r="CP282" i="14"/>
  <c r="CN284" i="14"/>
  <c r="CP284" i="14"/>
  <c r="CN269" i="14"/>
  <c r="CP269" i="14"/>
  <c r="CN273" i="14"/>
  <c r="CP273" i="14"/>
  <c r="CN258" i="14"/>
  <c r="CP258" i="14"/>
  <c r="CN252" i="14"/>
  <c r="CP252" i="14"/>
  <c r="CN248" i="14"/>
  <c r="CP248" i="14"/>
  <c r="CN244" i="14"/>
  <c r="CP244" i="14"/>
  <c r="CN226" i="14"/>
  <c r="CP226" i="14"/>
  <c r="CN230" i="14"/>
  <c r="CP230" i="14"/>
  <c r="CN208" i="14"/>
  <c r="CP208" i="14"/>
  <c r="CN211" i="14"/>
  <c r="CP211" i="14"/>
  <c r="CN195" i="14"/>
  <c r="CP195" i="14"/>
  <c r="CN187" i="14"/>
  <c r="CP187" i="14"/>
  <c r="CN181" i="14"/>
  <c r="CP181" i="14"/>
  <c r="CN161" i="14"/>
  <c r="CP161" i="14"/>
  <c r="CN123" i="14"/>
  <c r="CP123" i="14"/>
  <c r="CN100" i="14"/>
  <c r="CP100" i="14"/>
  <c r="CN119" i="14"/>
  <c r="CP119" i="14"/>
  <c r="CN115" i="14"/>
  <c r="CP115" i="14"/>
  <c r="CN99" i="14"/>
  <c r="CP99" i="14"/>
  <c r="CN93" i="14"/>
  <c r="CP93" i="14"/>
  <c r="CN69" i="14"/>
  <c r="CP69" i="14"/>
  <c r="CN359" i="14"/>
  <c r="CP359" i="14"/>
  <c r="CN349" i="14"/>
  <c r="CP349" i="14"/>
  <c r="CN344" i="14"/>
  <c r="CP344" i="14"/>
  <c r="CN340" i="14"/>
  <c r="CP340" i="14"/>
  <c r="CN320" i="14"/>
  <c r="CP320" i="14"/>
  <c r="CN310" i="14"/>
  <c r="CP310" i="14"/>
  <c r="CN314" i="14"/>
  <c r="CP314" i="14"/>
  <c r="CN304" i="14"/>
  <c r="CP304" i="14"/>
  <c r="CN297" i="14"/>
  <c r="CP297" i="14"/>
  <c r="CN280" i="14"/>
  <c r="CP280" i="14"/>
  <c r="CN283" i="14"/>
  <c r="CP283" i="14"/>
  <c r="CN270" i="14"/>
  <c r="CP270" i="14"/>
  <c r="CN274" i="14"/>
  <c r="CP274" i="14"/>
  <c r="CN250" i="14"/>
  <c r="CP250" i="14"/>
  <c r="CN260" i="14"/>
  <c r="CP260" i="14"/>
  <c r="CN242" i="14"/>
  <c r="CP242" i="14"/>
  <c r="CN240" i="14"/>
  <c r="CP240" i="14"/>
  <c r="CN246" i="14"/>
  <c r="CP246" i="14"/>
  <c r="CN217" i="14"/>
  <c r="CP217" i="14"/>
  <c r="CN206" i="14"/>
  <c r="CP206" i="14"/>
  <c r="CN213" i="14"/>
  <c r="CP213" i="14"/>
  <c r="CN191" i="14"/>
  <c r="CP191" i="14"/>
  <c r="CN179" i="14"/>
  <c r="CP179" i="14"/>
  <c r="CN174" i="14"/>
  <c r="CP174" i="14"/>
  <c r="CN184" i="14"/>
  <c r="CP184" i="14"/>
  <c r="CN152" i="14"/>
  <c r="CP152" i="14"/>
  <c r="CN159" i="14"/>
  <c r="CP159" i="14"/>
  <c r="CN143" i="14"/>
  <c r="CP143" i="14"/>
  <c r="CN126" i="14"/>
  <c r="CP126" i="14"/>
  <c r="CN122" i="14"/>
  <c r="CP122" i="14"/>
  <c r="CN98" i="14"/>
  <c r="CP98" i="14"/>
  <c r="CN118" i="14"/>
  <c r="CP118" i="14"/>
  <c r="CN113" i="14"/>
  <c r="CP113" i="14"/>
  <c r="CN79" i="14"/>
  <c r="CP79" i="14"/>
  <c r="CN89" i="14"/>
  <c r="CP89" i="14"/>
  <c r="CN67" i="14"/>
  <c r="CP67" i="14"/>
  <c r="CN91" i="14"/>
  <c r="CP91" i="14"/>
  <c r="CN68" i="14"/>
  <c r="CP68" i="14"/>
  <c r="CN354" i="14"/>
  <c r="CP354" i="14"/>
  <c r="CN358" i="14"/>
  <c r="CP358" i="14"/>
  <c r="CN331" i="14"/>
  <c r="CP331" i="14"/>
  <c r="CN339" i="14"/>
  <c r="CP339" i="14"/>
  <c r="CN319" i="14"/>
  <c r="CP319" i="14"/>
  <c r="CN300" i="14"/>
  <c r="CP300" i="14"/>
  <c r="CN296" i="14"/>
  <c r="CP296" i="14"/>
  <c r="CN279" i="14"/>
  <c r="CP279" i="14"/>
  <c r="CN265" i="14"/>
  <c r="CP265" i="14"/>
  <c r="CN254" i="14"/>
  <c r="CP254" i="14"/>
  <c r="CN222" i="14"/>
  <c r="CP222" i="14"/>
  <c r="CN209" i="14"/>
  <c r="CP209" i="14"/>
  <c r="CN205" i="14"/>
  <c r="CP205" i="14"/>
  <c r="CN170" i="14"/>
  <c r="CP170" i="14"/>
  <c r="CN166" i="14"/>
  <c r="CP166" i="14"/>
  <c r="CN155" i="14"/>
  <c r="CP155" i="14"/>
  <c r="CN124" i="14"/>
  <c r="CP124" i="14"/>
  <c r="CN120" i="14"/>
  <c r="CP120" i="14"/>
  <c r="CN116" i="14"/>
  <c r="CP116" i="14"/>
  <c r="CN90" i="14"/>
  <c r="CP90" i="14"/>
  <c r="CN83" i="14"/>
  <c r="CP83" i="14"/>
  <c r="CN360" i="14"/>
  <c r="CP360" i="14"/>
  <c r="CN346" i="14"/>
  <c r="CP346" i="14"/>
  <c r="CN342" i="14"/>
  <c r="CP342" i="14"/>
  <c r="CN338" i="14"/>
  <c r="CP338" i="14"/>
  <c r="CN330" i="14"/>
  <c r="CP330" i="14"/>
  <c r="CN323" i="14"/>
  <c r="CP323" i="14"/>
  <c r="CN309" i="14"/>
  <c r="CP309" i="14"/>
  <c r="CN302" i="14"/>
  <c r="CP302" i="14"/>
  <c r="CN287" i="14"/>
  <c r="CP287" i="14"/>
  <c r="CN278" i="14"/>
  <c r="CP278" i="14"/>
  <c r="CN281" i="14"/>
  <c r="CP281" i="14"/>
  <c r="CN268" i="14"/>
  <c r="CP268" i="14"/>
  <c r="CN267" i="14"/>
  <c r="CP267" i="14"/>
  <c r="CN259" i="14"/>
  <c r="CP259" i="14"/>
  <c r="CN253" i="14"/>
  <c r="CP253" i="14"/>
  <c r="CN233" i="14"/>
  <c r="CP233" i="14"/>
  <c r="CN225" i="14"/>
  <c r="CP225" i="14"/>
  <c r="CN241" i="14"/>
  <c r="CP241" i="14"/>
  <c r="CN219" i="14"/>
  <c r="CP219" i="14"/>
  <c r="CN204" i="14"/>
  <c r="CP204" i="14"/>
  <c r="CN207" i="14"/>
  <c r="CP207" i="14"/>
  <c r="CN185" i="14"/>
  <c r="CP185" i="14"/>
  <c r="CN172" i="14"/>
  <c r="CP172" i="14"/>
  <c r="CN182" i="14"/>
  <c r="CP182" i="14"/>
  <c r="CN175" i="14"/>
  <c r="CP175" i="14"/>
  <c r="CN150" i="14"/>
  <c r="CP150" i="14"/>
  <c r="CN157" i="14"/>
  <c r="CP157" i="14"/>
  <c r="CN141" i="14"/>
  <c r="CP141" i="14"/>
  <c r="CN142" i="14"/>
  <c r="CP142" i="14"/>
  <c r="CN112" i="14"/>
  <c r="CP112" i="14"/>
  <c r="CN121" i="14"/>
  <c r="CP121" i="14"/>
  <c r="CN117" i="14"/>
  <c r="CP117" i="14"/>
  <c r="CN111" i="14"/>
  <c r="CP111" i="14"/>
  <c r="CN94" i="14"/>
  <c r="CP94" i="14"/>
  <c r="CN85" i="14"/>
  <c r="CP85" i="14"/>
  <c r="CN65" i="14"/>
  <c r="CN87" i="14"/>
  <c r="CP87" i="14"/>
  <c r="CN347" i="14"/>
  <c r="CP347" i="14"/>
  <c r="CN308" i="14"/>
  <c r="CP308" i="14"/>
  <c r="CN276" i="14"/>
  <c r="CP276" i="14"/>
  <c r="CN266" i="14"/>
  <c r="CP266" i="14"/>
  <c r="CN251" i="14"/>
  <c r="CP251" i="14"/>
  <c r="CN221" i="14"/>
  <c r="CP221" i="14"/>
  <c r="CN223" i="14"/>
  <c r="CP223" i="14"/>
  <c r="CN202" i="14"/>
  <c r="CP202" i="14"/>
  <c r="CN177" i="14"/>
  <c r="CP177" i="14"/>
  <c r="CN192" i="14"/>
  <c r="CP192" i="14"/>
  <c r="CN148" i="14"/>
  <c r="CP148" i="14"/>
  <c r="CN164" i="14"/>
  <c r="CP164" i="14"/>
  <c r="CN110" i="14"/>
  <c r="CP110" i="14"/>
  <c r="CN109" i="14"/>
  <c r="CP109" i="14"/>
  <c r="CN81" i="14"/>
  <c r="CP81" i="14"/>
  <c r="CN96" i="14"/>
  <c r="CP96" i="14"/>
  <c r="BX104" i="14"/>
  <c r="BX120" i="14"/>
  <c r="BX171" i="14"/>
  <c r="BX90" i="14"/>
  <c r="BX122" i="14"/>
  <c r="BX326" i="14"/>
  <c r="BX124" i="14"/>
  <c r="BX179" i="14"/>
  <c r="BX257" i="14"/>
  <c r="BX273" i="14"/>
  <c r="BX364" i="14"/>
  <c r="BX176" i="14"/>
  <c r="BX252" i="14"/>
  <c r="BX318" i="14"/>
  <c r="BX130" i="14"/>
  <c r="BX208" i="14"/>
  <c r="BX221" i="14"/>
  <c r="BX304" i="14"/>
  <c r="BX338" i="14"/>
  <c r="BX119" i="14"/>
  <c r="BX209" i="14"/>
  <c r="BX244" i="14"/>
  <c r="BX267" i="14"/>
  <c r="BX290" i="14"/>
  <c r="BX328" i="14"/>
  <c r="BX358" i="14"/>
  <c r="AF261" i="14"/>
  <c r="AF87" i="14"/>
  <c r="AF71" i="14"/>
  <c r="AF132" i="14"/>
  <c r="AF159" i="14"/>
  <c r="AF283" i="14"/>
  <c r="AF359" i="14"/>
  <c r="AF278" i="14"/>
  <c r="AF310" i="14"/>
  <c r="AF343" i="14"/>
  <c r="AF133" i="14"/>
  <c r="AF168" i="14"/>
  <c r="AF362" i="14"/>
  <c r="AF113" i="14"/>
  <c r="AF229" i="14"/>
  <c r="AF76" i="14"/>
  <c r="AF134" i="14"/>
  <c r="AF175" i="14"/>
  <c r="BO127" i="14"/>
  <c r="BO282" i="14"/>
  <c r="BO308" i="14"/>
  <c r="BO87" i="14"/>
  <c r="BO125" i="14"/>
  <c r="BO230" i="14"/>
  <c r="BO323" i="14"/>
  <c r="BO238" i="14"/>
  <c r="BO309" i="14"/>
  <c r="BO356" i="14"/>
  <c r="BO96" i="14"/>
  <c r="BO210" i="14"/>
  <c r="BO90" i="14"/>
  <c r="BO112" i="14"/>
  <c r="BO262" i="14"/>
  <c r="BO295" i="14"/>
  <c r="BO99" i="14"/>
  <c r="BX271" i="14"/>
  <c r="BX339" i="14"/>
  <c r="BX103" i="14"/>
  <c r="BX288" i="14"/>
  <c r="BX185" i="14"/>
  <c r="BX215" i="14"/>
  <c r="BX200" i="14"/>
  <c r="BX78" i="14"/>
  <c r="BX107" i="14"/>
  <c r="BX160" i="14"/>
  <c r="BX199" i="14"/>
  <c r="BX226" i="14"/>
  <c r="BX258" i="14"/>
  <c r="BX319" i="14"/>
  <c r="BX191" i="14"/>
  <c r="BX306" i="14"/>
  <c r="BX337" i="14"/>
  <c r="BX121" i="14"/>
  <c r="BX238" i="14"/>
  <c r="BX303" i="14"/>
  <c r="BX361" i="14"/>
  <c r="AF103" i="14"/>
  <c r="AF239" i="14"/>
  <c r="AF350" i="14"/>
  <c r="AF205" i="14"/>
  <c r="AF337" i="14"/>
  <c r="AF65" i="14"/>
  <c r="AG65" i="14"/>
  <c r="AG66" i="14"/>
  <c r="AG67" i="14"/>
  <c r="AG68" i="14"/>
  <c r="AG69" i="14"/>
  <c r="AG70" i="14"/>
  <c r="AG71" i="14"/>
  <c r="AG72" i="14"/>
  <c r="AG73" i="14"/>
  <c r="AG74" i="14"/>
  <c r="AG75" i="14"/>
  <c r="AG76" i="14"/>
  <c r="AG77" i="14"/>
  <c r="AG78" i="14"/>
  <c r="AG79" i="14"/>
  <c r="AG80" i="14"/>
  <c r="AG81" i="14"/>
  <c r="AG82" i="14"/>
  <c r="AG83" i="14"/>
  <c r="AG84" i="14"/>
  <c r="AG85" i="14"/>
  <c r="AG86" i="14"/>
  <c r="AG87" i="14"/>
  <c r="AG88" i="14"/>
  <c r="AG89" i="14"/>
  <c r="AG90" i="14"/>
  <c r="AG91" i="14"/>
  <c r="AG92" i="14"/>
  <c r="AG93" i="14"/>
  <c r="AG94" i="14"/>
  <c r="AG95" i="14"/>
  <c r="AG96" i="14"/>
  <c r="AG97" i="14"/>
  <c r="AG98" i="14"/>
  <c r="AG99" i="14"/>
  <c r="AG100" i="14"/>
  <c r="AG101" i="14"/>
  <c r="AG102" i="14"/>
  <c r="AG103" i="14"/>
  <c r="AG104" i="14"/>
  <c r="AG105" i="14"/>
  <c r="AG106" i="14"/>
  <c r="AG107" i="14"/>
  <c r="AG108" i="14"/>
  <c r="AG109" i="14"/>
  <c r="AG110" i="14"/>
  <c r="AG111" i="14"/>
  <c r="AG112" i="14"/>
  <c r="AG113" i="14"/>
  <c r="AG114" i="14"/>
  <c r="AG115" i="14"/>
  <c r="AG116" i="14"/>
  <c r="AG117" i="14"/>
  <c r="AG118" i="14"/>
  <c r="AG119" i="14"/>
  <c r="AG120" i="14"/>
  <c r="AG121" i="14"/>
  <c r="AG122" i="14"/>
  <c r="AG123" i="14"/>
  <c r="AG124" i="14"/>
  <c r="AG125" i="14"/>
  <c r="AG126" i="14"/>
  <c r="AG127" i="14"/>
  <c r="AG128" i="14"/>
  <c r="AG129" i="14"/>
  <c r="AG130" i="14"/>
  <c r="AG131" i="14"/>
  <c r="AG132" i="14"/>
  <c r="AG133" i="14"/>
  <c r="AG134" i="14"/>
  <c r="AG135" i="14"/>
  <c r="AG136" i="14"/>
  <c r="AG137" i="14"/>
  <c r="AG138" i="14"/>
  <c r="AG139" i="14"/>
  <c r="AG140" i="14"/>
  <c r="AG141" i="14"/>
  <c r="AG142" i="14"/>
  <c r="AG143" i="14"/>
  <c r="AG144" i="14"/>
  <c r="AG145" i="14"/>
  <c r="AG146" i="14"/>
  <c r="AG147" i="14"/>
  <c r="AG148" i="14"/>
  <c r="AG149" i="14"/>
  <c r="AG150" i="14"/>
  <c r="AG151" i="14"/>
  <c r="AG152" i="14"/>
  <c r="AG153" i="14"/>
  <c r="AG154" i="14"/>
  <c r="AG155" i="14"/>
  <c r="AG156" i="14"/>
  <c r="AG157" i="14"/>
  <c r="AG158" i="14"/>
  <c r="AG159" i="14"/>
  <c r="AG160" i="14"/>
  <c r="AG161" i="14"/>
  <c r="AG162" i="14"/>
  <c r="AG163" i="14"/>
  <c r="AG164" i="14"/>
  <c r="AG165" i="14"/>
  <c r="AG166" i="14"/>
  <c r="AG167" i="14"/>
  <c r="AG168" i="14"/>
  <c r="AG169" i="14"/>
  <c r="AG170" i="14"/>
  <c r="AG171" i="14"/>
  <c r="AG172" i="14"/>
  <c r="AG173" i="14"/>
  <c r="AG174" i="14"/>
  <c r="AG175" i="14"/>
  <c r="AG176" i="14"/>
  <c r="AG177" i="14"/>
  <c r="AG178" i="14"/>
  <c r="AG179" i="14"/>
  <c r="AG180" i="14"/>
  <c r="AG181" i="14"/>
  <c r="AG182" i="14"/>
  <c r="AG183" i="14"/>
  <c r="AG184" i="14"/>
  <c r="AG185" i="14"/>
  <c r="AG186" i="14"/>
  <c r="AG187" i="14"/>
  <c r="AG188" i="14"/>
  <c r="AG189" i="14"/>
  <c r="AG190" i="14"/>
  <c r="AG191" i="14"/>
  <c r="AG192" i="14"/>
  <c r="AG193" i="14"/>
  <c r="AG194" i="14"/>
  <c r="AG195" i="14"/>
  <c r="AG196" i="14"/>
  <c r="AG197" i="14"/>
  <c r="AG198" i="14"/>
  <c r="AG199" i="14"/>
  <c r="AG200" i="14"/>
  <c r="AG201" i="14"/>
  <c r="AG202" i="14"/>
  <c r="AG203" i="14"/>
  <c r="AG204" i="14"/>
  <c r="AG205" i="14"/>
  <c r="AG206" i="14"/>
  <c r="AG207" i="14"/>
  <c r="AG208" i="14"/>
  <c r="AG209" i="14"/>
  <c r="AG210" i="14"/>
  <c r="AG211" i="14"/>
  <c r="AG212" i="14"/>
  <c r="AG213" i="14"/>
  <c r="AG214" i="14"/>
  <c r="AG215" i="14"/>
  <c r="AG216" i="14"/>
  <c r="AG217" i="14"/>
  <c r="AG218" i="14"/>
  <c r="AG219" i="14"/>
  <c r="AG220" i="14"/>
  <c r="AG221" i="14"/>
  <c r="AG222" i="14"/>
  <c r="AG223" i="14"/>
  <c r="AG224" i="14"/>
  <c r="AG225" i="14"/>
  <c r="AG226" i="14"/>
  <c r="AG227" i="14"/>
  <c r="AG228" i="14"/>
  <c r="AG229" i="14"/>
  <c r="AG230" i="14"/>
  <c r="AG231" i="14"/>
  <c r="AG232" i="14"/>
  <c r="AG233" i="14"/>
  <c r="AG234" i="14"/>
  <c r="AG235" i="14"/>
  <c r="AG236" i="14"/>
  <c r="AG237" i="14"/>
  <c r="AG238" i="14"/>
  <c r="AG239" i="14"/>
  <c r="AG240" i="14"/>
  <c r="AG241" i="14"/>
  <c r="AG242" i="14"/>
  <c r="AG243" i="14"/>
  <c r="AG244" i="14"/>
  <c r="AG245" i="14"/>
  <c r="AG246" i="14"/>
  <c r="AG247" i="14"/>
  <c r="AG248" i="14"/>
  <c r="AG249" i="14"/>
  <c r="AG250" i="14"/>
  <c r="AG251" i="14"/>
  <c r="AG252" i="14"/>
  <c r="AG253" i="14"/>
  <c r="AG254" i="14"/>
  <c r="AG255" i="14"/>
  <c r="AG256" i="14"/>
  <c r="AG257" i="14"/>
  <c r="AG258" i="14"/>
  <c r="AG259" i="14"/>
  <c r="AG260" i="14"/>
  <c r="AG261" i="14"/>
  <c r="AG262" i="14"/>
  <c r="AG263" i="14"/>
  <c r="AG264" i="14"/>
  <c r="AG265" i="14"/>
  <c r="AG266" i="14"/>
  <c r="AG267" i="14"/>
  <c r="AG268" i="14"/>
  <c r="AG269" i="14"/>
  <c r="AG270" i="14"/>
  <c r="AG271" i="14"/>
  <c r="AG272" i="14"/>
  <c r="AG273" i="14"/>
  <c r="AG274" i="14"/>
  <c r="AG275" i="14"/>
  <c r="AG276" i="14"/>
  <c r="AG277" i="14"/>
  <c r="AG278" i="14"/>
  <c r="AG279" i="14"/>
  <c r="AG280" i="14"/>
  <c r="AG281" i="14"/>
  <c r="AG282" i="14"/>
  <c r="AG283" i="14"/>
  <c r="AG284" i="14"/>
  <c r="AG285" i="14"/>
  <c r="AG286" i="14"/>
  <c r="AG287" i="14"/>
  <c r="AG288" i="14"/>
  <c r="AG289" i="14"/>
  <c r="AG290" i="14"/>
  <c r="AG291" i="14"/>
  <c r="AG292" i="14"/>
  <c r="AG293" i="14"/>
  <c r="AG294" i="14"/>
  <c r="AG295" i="14"/>
  <c r="AG296" i="14"/>
  <c r="AG297" i="14"/>
  <c r="AG298" i="14"/>
  <c r="AG299" i="14"/>
  <c r="AG300" i="14"/>
  <c r="AG301" i="14"/>
  <c r="AG302" i="14"/>
  <c r="AG303" i="14"/>
  <c r="AG304" i="14"/>
  <c r="AG305" i="14"/>
  <c r="AG306" i="14"/>
  <c r="AG307" i="14"/>
  <c r="AG308" i="14"/>
  <c r="AG309" i="14"/>
  <c r="AG310" i="14"/>
  <c r="AG311" i="14"/>
  <c r="AG312" i="14"/>
  <c r="AG313" i="14"/>
  <c r="AG314" i="14"/>
  <c r="AG315" i="14"/>
  <c r="AG316" i="14"/>
  <c r="AG317" i="14"/>
  <c r="AG318" i="14"/>
  <c r="AG319" i="14"/>
  <c r="AG320" i="14"/>
  <c r="AG321" i="14"/>
  <c r="AG322" i="14"/>
  <c r="AG323" i="14"/>
  <c r="AG324" i="14"/>
  <c r="AG325" i="14"/>
  <c r="AG326" i="14"/>
  <c r="AG327" i="14"/>
  <c r="AG328" i="14"/>
  <c r="AG329" i="14"/>
  <c r="AG330" i="14"/>
  <c r="AG331" i="14"/>
  <c r="AG332" i="14"/>
  <c r="AG333" i="14"/>
  <c r="AG334" i="14"/>
  <c r="AG335" i="14"/>
  <c r="AG336" i="14"/>
  <c r="AG337" i="14"/>
  <c r="AG338" i="14"/>
  <c r="AG339" i="14"/>
  <c r="AG340" i="14"/>
  <c r="AG341" i="14"/>
  <c r="AG342" i="14"/>
  <c r="AG343" i="14"/>
  <c r="AG344" i="14"/>
  <c r="AG345" i="14"/>
  <c r="AG346" i="14"/>
  <c r="AG347" i="14"/>
  <c r="AG348" i="14"/>
  <c r="AG349" i="14"/>
  <c r="AG350" i="14"/>
  <c r="AG351" i="14"/>
  <c r="AG352" i="14"/>
  <c r="AG353" i="14"/>
  <c r="AG354" i="14"/>
  <c r="AG355" i="14"/>
  <c r="AG356" i="14"/>
  <c r="AG357" i="14"/>
  <c r="AG358" i="14"/>
  <c r="AG359" i="14"/>
  <c r="AG360" i="14"/>
  <c r="AG361" i="14"/>
  <c r="AG362" i="14"/>
  <c r="AG363" i="14"/>
  <c r="AG364" i="14"/>
  <c r="AF285" i="14"/>
  <c r="AF176" i="14"/>
  <c r="AF255" i="14"/>
  <c r="AF141" i="14"/>
  <c r="AF195" i="14"/>
  <c r="AF77" i="14"/>
  <c r="AF106" i="14"/>
  <c r="AF251" i="14"/>
  <c r="AF353" i="14"/>
  <c r="AF257" i="14"/>
  <c r="AF319" i="14"/>
  <c r="AF348" i="14"/>
  <c r="AF79" i="14"/>
  <c r="AF174" i="14"/>
  <c r="AF267" i="14"/>
  <c r="AF325" i="14"/>
  <c r="BO71" i="14"/>
  <c r="BO120" i="14"/>
  <c r="BO259" i="14"/>
  <c r="BO357" i="14"/>
  <c r="BO269" i="14"/>
  <c r="BO301" i="14"/>
  <c r="BO108" i="14"/>
  <c r="BO202" i="14"/>
  <c r="BO255" i="14"/>
  <c r="BO287" i="14"/>
  <c r="BO315" i="14"/>
  <c r="BO216" i="14"/>
  <c r="BO300" i="14"/>
  <c r="BO334" i="14"/>
  <c r="BO361" i="14"/>
  <c r="BO89" i="14"/>
  <c r="BO145" i="14"/>
  <c r="BO222" i="14"/>
  <c r="BO318" i="14"/>
  <c r="BO351" i="14"/>
  <c r="AF223" i="14"/>
  <c r="BO103" i="14"/>
  <c r="BO274" i="14"/>
  <c r="BO221" i="14"/>
  <c r="BO81" i="14"/>
  <c r="BO344" i="14"/>
  <c r="BO115" i="14"/>
  <c r="BO137" i="14"/>
  <c r="BO191" i="14"/>
  <c r="BO203" i="14"/>
  <c r="BO220" i="14"/>
  <c r="BO328" i="14"/>
  <c r="BO69" i="14"/>
  <c r="BO98" i="14"/>
  <c r="BO161" i="14"/>
  <c r="DH68" i="14"/>
  <c r="DH132" i="14"/>
  <c r="DH171" i="14"/>
  <c r="DH237" i="14"/>
  <c r="DH354" i="14"/>
  <c r="DH288" i="14"/>
  <c r="DH355" i="14"/>
  <c r="DH98" i="14"/>
  <c r="DH147" i="14"/>
  <c r="DH302" i="14"/>
  <c r="DH119" i="14"/>
  <c r="DH252" i="14"/>
  <c r="DH323" i="14"/>
  <c r="DH87" i="14"/>
  <c r="DH110" i="14"/>
  <c r="DH154" i="14"/>
  <c r="W309" i="14"/>
  <c r="DH290" i="14"/>
  <c r="DH178" i="14"/>
  <c r="DH121" i="14"/>
  <c r="W124" i="14"/>
  <c r="DH341" i="14"/>
  <c r="DH321" i="14"/>
  <c r="DH244" i="14"/>
  <c r="DH200" i="14"/>
  <c r="DH308" i="14"/>
  <c r="DH293" i="14"/>
  <c r="DH76" i="14"/>
  <c r="DH201" i="14"/>
  <c r="DH210" i="14"/>
  <c r="DH275" i="14"/>
  <c r="DH191" i="14"/>
  <c r="DH295" i="14"/>
  <c r="DH235" i="14"/>
  <c r="DH111" i="14"/>
  <c r="DH246" i="14"/>
  <c r="DH297" i="14"/>
  <c r="DH137" i="14"/>
  <c r="DH272" i="14"/>
  <c r="DH86" i="14"/>
  <c r="DH334" i="14"/>
  <c r="DH99" i="14"/>
  <c r="DH89" i="14"/>
  <c r="DH315" i="14"/>
  <c r="DH107" i="14"/>
  <c r="DH209" i="14"/>
  <c r="W74" i="14"/>
  <c r="DH143" i="14"/>
  <c r="DH136" i="14"/>
  <c r="DH181" i="14"/>
  <c r="DH92" i="14"/>
  <c r="DH72" i="14"/>
  <c r="DH97" i="14"/>
  <c r="DH156" i="14"/>
  <c r="DH228" i="14"/>
  <c r="DH257" i="14"/>
  <c r="DH152" i="14"/>
  <c r="DH186" i="14"/>
  <c r="DH284" i="14"/>
  <c r="DH75" i="14"/>
  <c r="DH285" i="14"/>
  <c r="DH130" i="14"/>
  <c r="DH326" i="14"/>
  <c r="DH151" i="14"/>
  <c r="W202" i="14"/>
  <c r="DH114" i="14"/>
  <c r="DH90" i="14"/>
  <c r="DH161" i="14"/>
  <c r="DH283" i="14"/>
  <c r="DH309" i="14"/>
  <c r="DH329" i="14"/>
  <c r="DH71" i="14"/>
  <c r="DH96" i="14"/>
  <c r="DH232" i="14"/>
  <c r="DH84" i="14"/>
  <c r="DH243" i="14"/>
  <c r="DH270" i="14"/>
  <c r="DH95" i="14"/>
  <c r="DH203" i="14"/>
  <c r="DH81" i="14"/>
  <c r="DH139" i="14"/>
  <c r="DH314" i="14"/>
  <c r="DH353" i="14"/>
  <c r="DH77" i="14"/>
  <c r="DH162" i="14"/>
  <c r="DH248" i="14"/>
  <c r="DH362" i="14"/>
  <c r="W78" i="14"/>
  <c r="W324" i="14"/>
  <c r="W226" i="14"/>
  <c r="W97" i="14"/>
  <c r="DH260" i="14"/>
  <c r="DH79" i="14"/>
  <c r="DH239" i="14"/>
  <c r="DH306" i="14"/>
  <c r="DH80" i="14"/>
  <c r="DH93" i="14"/>
  <c r="DH164" i="14"/>
  <c r="DH253" i="14"/>
  <c r="DH278" i="14"/>
  <c r="DH332" i="14"/>
  <c r="DH211" i="14"/>
  <c r="DH175" i="14"/>
  <c r="DH212" i="14"/>
  <c r="DH183" i="14"/>
  <c r="DH268" i="14"/>
  <c r="DH85" i="14"/>
  <c r="DH113" i="14"/>
  <c r="DH205" i="14"/>
  <c r="DH172" i="14"/>
  <c r="DH254" i="14"/>
  <c r="DH358" i="14"/>
  <c r="DH193" i="14"/>
  <c r="DH163" i="14"/>
  <c r="DH208" i="14"/>
  <c r="DH67" i="14"/>
  <c r="DH194" i="14"/>
  <c r="DH224" i="14"/>
  <c r="DH216" i="14"/>
  <c r="DH265" i="14"/>
  <c r="DH78" i="14"/>
  <c r="DH192" i="14"/>
  <c r="DH242" i="14"/>
  <c r="DH258" i="14"/>
  <c r="DH346" i="14"/>
  <c r="DH327" i="14"/>
  <c r="DH149" i="14"/>
  <c r="DH105" i="14"/>
  <c r="DH158" i="14"/>
  <c r="DH256" i="14"/>
  <c r="DH303" i="14"/>
  <c r="DH128" i="14"/>
  <c r="DH202" i="14"/>
  <c r="DH180" i="14"/>
  <c r="DH204" i="14"/>
  <c r="DH337" i="14"/>
  <c r="DH218" i="14"/>
  <c r="DH328" i="14"/>
  <c r="DH291" i="14"/>
  <c r="DH292" i="14"/>
  <c r="DH231" i="14"/>
  <c r="DH198" i="14"/>
  <c r="W121" i="14"/>
  <c r="W156" i="14"/>
  <c r="W213" i="14"/>
  <c r="W338" i="14"/>
  <c r="W320" i="14"/>
  <c r="W258" i="14"/>
  <c r="W131" i="14"/>
  <c r="W222" i="14"/>
  <c r="W343" i="14"/>
  <c r="W342" i="14"/>
  <c r="W69" i="14"/>
  <c r="W363" i="14"/>
  <c r="W354" i="14"/>
  <c r="W216" i="14"/>
  <c r="W140" i="14"/>
  <c r="W197" i="14"/>
  <c r="W326" i="14"/>
  <c r="W90" i="14"/>
  <c r="W210" i="14"/>
  <c r="W73" i="14"/>
  <c r="W147" i="14"/>
  <c r="W129" i="14"/>
  <c r="W303" i="14"/>
  <c r="W183" i="14"/>
  <c r="W280" i="14"/>
  <c r="W192" i="14"/>
  <c r="W93" i="14"/>
  <c r="W322" i="14"/>
  <c r="W261" i="14"/>
  <c r="W170" i="14"/>
  <c r="W175" i="14"/>
  <c r="W220" i="14"/>
  <c r="W259" i="14"/>
  <c r="W200" i="14"/>
  <c r="W141" i="14"/>
  <c r="W157" i="14"/>
  <c r="W331" i="14"/>
  <c r="W193" i="14"/>
  <c r="W199" i="14"/>
  <c r="W265" i="14"/>
  <c r="W361" i="14"/>
  <c r="W76" i="14"/>
  <c r="W195" i="14"/>
  <c r="W177" i="14"/>
  <c r="W185" i="14"/>
  <c r="W267" i="14"/>
  <c r="W288" i="14"/>
  <c r="W167" i="14"/>
  <c r="W83" i="14"/>
  <c r="W286" i="14"/>
  <c r="W136" i="14"/>
  <c r="W146" i="14"/>
  <c r="W161" i="14"/>
  <c r="W298" i="14"/>
  <c r="W212" i="14"/>
  <c r="W277" i="14"/>
  <c r="W312" i="14"/>
  <c r="W127" i="14"/>
  <c r="W148" i="14"/>
  <c r="W256" i="14"/>
  <c r="W128" i="14"/>
  <c r="W149" i="14"/>
  <c r="W166" i="14"/>
  <c r="W291" i="14"/>
  <c r="W341" i="14"/>
  <c r="W316" i="14"/>
  <c r="W273" i="14"/>
  <c r="W364" i="14"/>
  <c r="W190" i="14"/>
  <c r="W313" i="14"/>
  <c r="W334" i="14"/>
  <c r="W245" i="14"/>
  <c r="W191" i="14"/>
  <c r="W187" i="14"/>
  <c r="W330" i="14"/>
  <c r="W138" i="14"/>
  <c r="W272" i="14"/>
  <c r="W249" i="14"/>
  <c r="W135" i="14"/>
  <c r="W238" i="14"/>
  <c r="W228" i="14"/>
  <c r="W296" i="14"/>
  <c r="W310" i="14"/>
  <c r="W180" i="14"/>
  <c r="W297" i="14"/>
  <c r="W98" i="14"/>
  <c r="W269" i="14"/>
  <c r="W123" i="14"/>
  <c r="W77" i="14"/>
  <c r="W275" i="14"/>
  <c r="W79" i="14"/>
  <c r="W116" i="14"/>
  <c r="W203" i="14"/>
  <c r="W234" i="14"/>
  <c r="W323" i="14"/>
  <c r="W348" i="14"/>
  <c r="W85" i="14"/>
  <c r="W132" i="14"/>
  <c r="W151" i="14"/>
  <c r="W211" i="14"/>
  <c r="W340" i="14"/>
  <c r="W158" i="14"/>
  <c r="W274" i="14"/>
  <c r="W118" i="14"/>
  <c r="W252" i="14"/>
  <c r="W333" i="14"/>
  <c r="W160" i="14"/>
  <c r="W248" i="14"/>
  <c r="W284" i="14"/>
  <c r="W196" i="14"/>
  <c r="W133" i="14"/>
  <c r="W311" i="14"/>
  <c r="W339" i="14"/>
  <c r="W89" i="14"/>
  <c r="W281" i="14"/>
  <c r="W150" i="14"/>
  <c r="W218" i="14"/>
  <c r="W290" i="14"/>
  <c r="W207" i="14"/>
  <c r="W176" i="14"/>
  <c r="W165" i="14"/>
  <c r="W208" i="14"/>
  <c r="W276" i="14"/>
  <c r="W143" i="14"/>
  <c r="W107" i="14"/>
  <c r="W70" i="14"/>
  <c r="W154" i="14"/>
  <c r="W318" i="14"/>
  <c r="W346" i="14"/>
  <c r="W134" i="14"/>
  <c r="W173" i="14"/>
  <c r="W242" i="14"/>
  <c r="W345" i="14"/>
  <c r="W174" i="14"/>
  <c r="W87" i="14"/>
  <c r="W119" i="14"/>
  <c r="W155" i="14"/>
  <c r="W114" i="14"/>
  <c r="W241" i="14"/>
  <c r="W110" i="14"/>
  <c r="W101" i="14"/>
  <c r="W282" i="14"/>
  <c r="W360" i="14"/>
  <c r="W335" i="14"/>
  <c r="W102" i="14"/>
  <c r="W350" i="14"/>
  <c r="W153" i="14"/>
  <c r="W268" i="14"/>
  <c r="W84" i="14"/>
  <c r="W163" i="14"/>
  <c r="W172" i="14"/>
  <c r="W253" i="14"/>
  <c r="W283" i="14"/>
  <c r="W314" i="14"/>
  <c r="W344" i="14"/>
  <c r="W104" i="14"/>
  <c r="W111" i="14"/>
  <c r="W184" i="14"/>
  <c r="W295" i="14"/>
  <c r="W239" i="14"/>
  <c r="W115" i="14"/>
  <c r="W293" i="14"/>
  <c r="DH174" i="14"/>
  <c r="DH240" i="14"/>
  <c r="DH363" i="14"/>
  <c r="DH127" i="14"/>
  <c r="DH150" i="14"/>
  <c r="DH276" i="14"/>
  <c r="DH274" i="14"/>
  <c r="DH351" i="14"/>
  <c r="DH177" i="14"/>
  <c r="DH251" i="14"/>
  <c r="DH312" i="14"/>
  <c r="DH133" i="14"/>
  <c r="DH221" i="14"/>
  <c r="DH261" i="14"/>
  <c r="DH352" i="14"/>
  <c r="DH126" i="14"/>
  <c r="DH153" i="14"/>
  <c r="DH342" i="14"/>
  <c r="DH108" i="14"/>
  <c r="DH144" i="14"/>
  <c r="DH184" i="14"/>
  <c r="DH219" i="14"/>
  <c r="DH65" i="14"/>
  <c r="DI65" i="14"/>
  <c r="DI66" i="14"/>
  <c r="DI67" i="14"/>
  <c r="DI68" i="14"/>
  <c r="DI69" i="14"/>
  <c r="DI70" i="14"/>
  <c r="DI71" i="14"/>
  <c r="DI72" i="14"/>
  <c r="DI73" i="14"/>
  <c r="DI74" i="14"/>
  <c r="DI75" i="14"/>
  <c r="DI76" i="14"/>
  <c r="DI77" i="14"/>
  <c r="DI78" i="14"/>
  <c r="DI79" i="14"/>
  <c r="DI80" i="14"/>
  <c r="DI81" i="14"/>
  <c r="DI82" i="14"/>
  <c r="DI83" i="14"/>
  <c r="DI84" i="14"/>
  <c r="DI85" i="14"/>
  <c r="DI86" i="14"/>
  <c r="DI87" i="14"/>
  <c r="DI88" i="14"/>
  <c r="DI89" i="14"/>
  <c r="DI90" i="14"/>
  <c r="DI91" i="14"/>
  <c r="DI92" i="14"/>
  <c r="DI93" i="14"/>
  <c r="DI94" i="14"/>
  <c r="DI95" i="14"/>
  <c r="DI96" i="14"/>
  <c r="DI97" i="14"/>
  <c r="DI98" i="14"/>
  <c r="DI99" i="14"/>
  <c r="DI100" i="14"/>
  <c r="DI101" i="14"/>
  <c r="DI102" i="14"/>
  <c r="DI103" i="14"/>
  <c r="DI104" i="14"/>
  <c r="DI105" i="14"/>
  <c r="DI106" i="14"/>
  <c r="DI107" i="14"/>
  <c r="DI108" i="14"/>
  <c r="DI109" i="14"/>
  <c r="DI110" i="14"/>
  <c r="DI111" i="14"/>
  <c r="DI112" i="14"/>
  <c r="DI113" i="14"/>
  <c r="DI114" i="14"/>
  <c r="DI115" i="14"/>
  <c r="DI116" i="14"/>
  <c r="DI117" i="14"/>
  <c r="DI118" i="14"/>
  <c r="DI119" i="14"/>
  <c r="DI120" i="14"/>
  <c r="DI121" i="14"/>
  <c r="DI122" i="14"/>
  <c r="DI123" i="14"/>
  <c r="DI124" i="14"/>
  <c r="DI125" i="14"/>
  <c r="DI126" i="14"/>
  <c r="DI127" i="14"/>
  <c r="DI128" i="14"/>
  <c r="DI129" i="14"/>
  <c r="DI130" i="14"/>
  <c r="DI131" i="14"/>
  <c r="DI132" i="14"/>
  <c r="DI133" i="14"/>
  <c r="DI134" i="14"/>
  <c r="DI135" i="14"/>
  <c r="DI136" i="14"/>
  <c r="DI137" i="14"/>
  <c r="DI138" i="14"/>
  <c r="DI139" i="14"/>
  <c r="DI140" i="14"/>
  <c r="DI141" i="14"/>
  <c r="DI142" i="14"/>
  <c r="DI143" i="14"/>
  <c r="DI144" i="14"/>
  <c r="DI145" i="14"/>
  <c r="DI146" i="14"/>
  <c r="DI147" i="14"/>
  <c r="DI148" i="14"/>
  <c r="DI149" i="14"/>
  <c r="DI150" i="14"/>
  <c r="DI151" i="14"/>
  <c r="DI152" i="14"/>
  <c r="DI153" i="14"/>
  <c r="DI154" i="14"/>
  <c r="DI155" i="14"/>
  <c r="DI156" i="14"/>
  <c r="DI157" i="14"/>
  <c r="DI158" i="14"/>
  <c r="DI159" i="14"/>
  <c r="DI160" i="14"/>
  <c r="DI161" i="14"/>
  <c r="DI162" i="14"/>
  <c r="DI163" i="14"/>
  <c r="DI164" i="14"/>
  <c r="DI165" i="14"/>
  <c r="DI166" i="14"/>
  <c r="DI167" i="14"/>
  <c r="DI168" i="14"/>
  <c r="DI169" i="14"/>
  <c r="DI170" i="14"/>
  <c r="DI171" i="14"/>
  <c r="DI172" i="14"/>
  <c r="DI173" i="14"/>
  <c r="DI174" i="14"/>
  <c r="DI175" i="14"/>
  <c r="DI176" i="14"/>
  <c r="DI177" i="14"/>
  <c r="DI178" i="14"/>
  <c r="DI179" i="14"/>
  <c r="DI180" i="14"/>
  <c r="DI181" i="14"/>
  <c r="DI182" i="14"/>
  <c r="DI183" i="14"/>
  <c r="DI184" i="14"/>
  <c r="DI185" i="14"/>
  <c r="DI186" i="14"/>
  <c r="DI187" i="14"/>
  <c r="DI188" i="14"/>
  <c r="DI189" i="14"/>
  <c r="DI190" i="14"/>
  <c r="DI191" i="14"/>
  <c r="DI192" i="14"/>
  <c r="DI193" i="14"/>
  <c r="DI194" i="14"/>
  <c r="DI195" i="14"/>
  <c r="DI196" i="14"/>
  <c r="DI197" i="14"/>
  <c r="DI198" i="14"/>
  <c r="DI199" i="14"/>
  <c r="DI200" i="14"/>
  <c r="DI201" i="14"/>
  <c r="DI202" i="14"/>
  <c r="DI203" i="14"/>
  <c r="DI204" i="14"/>
  <c r="DI205" i="14"/>
  <c r="DI206" i="14"/>
  <c r="DI207" i="14"/>
  <c r="DI208" i="14"/>
  <c r="DI209" i="14"/>
  <c r="DI210" i="14"/>
  <c r="DI211" i="14"/>
  <c r="DI212" i="14"/>
  <c r="DI213" i="14"/>
  <c r="DI214" i="14"/>
  <c r="DI215" i="14"/>
  <c r="DI216" i="14"/>
  <c r="DI217" i="14"/>
  <c r="DI218" i="14"/>
  <c r="DI219" i="14"/>
  <c r="DI220" i="14"/>
  <c r="DI221" i="14"/>
  <c r="DI222" i="14"/>
  <c r="DI223" i="14"/>
  <c r="DI224" i="14"/>
  <c r="DI225" i="14"/>
  <c r="DI226" i="14"/>
  <c r="DI227" i="14"/>
  <c r="DI228" i="14"/>
  <c r="DI229" i="14"/>
  <c r="DI230" i="14"/>
  <c r="DI231" i="14"/>
  <c r="DI232" i="14"/>
  <c r="DI233" i="14"/>
  <c r="DI234" i="14"/>
  <c r="DI235" i="14"/>
  <c r="DI236" i="14"/>
  <c r="DI237" i="14"/>
  <c r="DI238" i="14"/>
  <c r="DI239" i="14"/>
  <c r="DI240" i="14"/>
  <c r="DI241" i="14"/>
  <c r="DI242" i="14"/>
  <c r="DI243" i="14"/>
  <c r="DI244" i="14"/>
  <c r="DI245" i="14"/>
  <c r="DI246" i="14"/>
  <c r="DI247" i="14"/>
  <c r="DI248" i="14"/>
  <c r="DI249" i="14"/>
  <c r="DI250" i="14"/>
  <c r="DI251" i="14"/>
  <c r="DI252" i="14"/>
  <c r="DI253" i="14"/>
  <c r="DI254" i="14"/>
  <c r="DI255" i="14"/>
  <c r="DI256" i="14"/>
  <c r="DI257" i="14"/>
  <c r="DI258" i="14"/>
  <c r="DI259" i="14"/>
  <c r="DI260" i="14"/>
  <c r="DI261" i="14"/>
  <c r="DI262" i="14"/>
  <c r="DI263" i="14"/>
  <c r="DI264" i="14"/>
  <c r="DI265" i="14"/>
  <c r="DI266" i="14"/>
  <c r="DI267" i="14"/>
  <c r="DI268" i="14"/>
  <c r="DI269" i="14"/>
  <c r="DI270" i="14"/>
  <c r="DI271" i="14"/>
  <c r="DI272" i="14"/>
  <c r="DI273" i="14"/>
  <c r="DI274" i="14"/>
  <c r="DI275" i="14"/>
  <c r="DI276" i="14"/>
  <c r="DI277" i="14"/>
  <c r="DI278" i="14"/>
  <c r="DI279" i="14"/>
  <c r="DI280" i="14"/>
  <c r="DI281" i="14"/>
  <c r="DI282" i="14"/>
  <c r="DI283" i="14"/>
  <c r="DI284" i="14"/>
  <c r="DI285" i="14"/>
  <c r="DI286" i="14"/>
  <c r="DI287" i="14"/>
  <c r="DI288" i="14"/>
  <c r="DI289" i="14"/>
  <c r="DI290" i="14"/>
  <c r="DI291" i="14"/>
  <c r="DI292" i="14"/>
  <c r="DI293" i="14"/>
  <c r="DI294" i="14"/>
  <c r="DI295" i="14"/>
  <c r="DI296" i="14"/>
  <c r="DI297" i="14"/>
  <c r="DI298" i="14"/>
  <c r="DI299" i="14"/>
  <c r="DI300" i="14"/>
  <c r="DI301" i="14"/>
  <c r="DI302" i="14"/>
  <c r="DI303" i="14"/>
  <c r="DI304" i="14"/>
  <c r="DI305" i="14"/>
  <c r="DI306" i="14"/>
  <c r="DI307" i="14"/>
  <c r="DI308" i="14"/>
  <c r="DI309" i="14"/>
  <c r="DI310" i="14"/>
  <c r="DI311" i="14"/>
  <c r="DI312" i="14"/>
  <c r="DI313" i="14"/>
  <c r="DI314" i="14"/>
  <c r="DI315" i="14"/>
  <c r="DI316" i="14"/>
  <c r="DI317" i="14"/>
  <c r="DI318" i="14"/>
  <c r="DI319" i="14"/>
  <c r="DI320" i="14"/>
  <c r="DI321" i="14"/>
  <c r="DI322" i="14"/>
  <c r="DI323" i="14"/>
  <c r="DI324" i="14"/>
  <c r="DI325" i="14"/>
  <c r="DI326" i="14"/>
  <c r="DI327" i="14"/>
  <c r="DI328" i="14"/>
  <c r="DI329" i="14"/>
  <c r="DI330" i="14"/>
  <c r="DI331" i="14"/>
  <c r="DI332" i="14"/>
  <c r="DI333" i="14"/>
  <c r="DI334" i="14"/>
  <c r="DI335" i="14"/>
  <c r="DI336" i="14"/>
  <c r="DI337" i="14"/>
  <c r="DI338" i="14"/>
  <c r="DI339" i="14"/>
  <c r="DI340" i="14"/>
  <c r="DI341" i="14"/>
  <c r="DI342" i="14"/>
  <c r="DI343" i="14"/>
  <c r="DI344" i="14"/>
  <c r="DI345" i="14"/>
  <c r="DI346" i="14"/>
  <c r="DI347" i="14"/>
  <c r="DI348" i="14"/>
  <c r="DI349" i="14"/>
  <c r="DI350" i="14"/>
  <c r="DI351" i="14"/>
  <c r="DI352" i="14"/>
  <c r="DI353" i="14"/>
  <c r="DI354" i="14"/>
  <c r="DI355" i="14"/>
  <c r="DI356" i="14"/>
  <c r="DI357" i="14"/>
  <c r="DI358" i="14"/>
  <c r="DI359" i="14"/>
  <c r="DI360" i="14"/>
  <c r="DI361" i="14"/>
  <c r="DI362" i="14"/>
  <c r="DI363" i="14"/>
  <c r="DI364" i="14"/>
  <c r="DH83" i="14"/>
  <c r="DH140" i="14"/>
  <c r="DH141" i="14"/>
  <c r="DH187" i="14"/>
  <c r="DH305" i="14"/>
  <c r="DH338" i="14"/>
  <c r="DH225" i="14"/>
  <c r="DH282" i="14"/>
  <c r="DH179" i="14"/>
  <c r="DH188" i="14"/>
  <c r="W209" i="14"/>
  <c r="W217" i="14"/>
  <c r="W358" i="14"/>
  <c r="W357" i="14"/>
  <c r="W94" i="14"/>
  <c r="W186" i="14"/>
  <c r="W231" i="14"/>
  <c r="W327" i="14"/>
  <c r="W179" i="14"/>
  <c r="W99" i="14"/>
  <c r="W105" i="14"/>
  <c r="W289" i="14"/>
  <c r="W106" i="14"/>
  <c r="W204" i="14"/>
  <c r="W304" i="14"/>
  <c r="W95" i="14"/>
  <c r="W75" i="14"/>
  <c r="W145" i="14"/>
  <c r="W219" i="14"/>
  <c r="W247" i="14"/>
  <c r="W108" i="14"/>
  <c r="W244" i="14"/>
  <c r="W347" i="14"/>
  <c r="W159" i="14"/>
  <c r="W188" i="14"/>
  <c r="W246" i="14"/>
  <c r="W271" i="14"/>
  <c r="W329" i="14"/>
  <c r="W263" i="14"/>
  <c r="W82" i="14"/>
  <c r="W112" i="14"/>
  <c r="W162" i="14"/>
  <c r="W292" i="14"/>
  <c r="DH74" i="14"/>
  <c r="DH199" i="14"/>
  <c r="DH215" i="14"/>
  <c r="DH356" i="14"/>
  <c r="DH159" i="14"/>
  <c r="DH88" i="14"/>
  <c r="DH100" i="14"/>
  <c r="DH226" i="14"/>
  <c r="DH245" i="14"/>
  <c r="DH343" i="14"/>
  <c r="DH94" i="14"/>
  <c r="DH217" i="14"/>
  <c r="DH182" i="14"/>
  <c r="DH299" i="14"/>
  <c r="DH331" i="14"/>
  <c r="DH223" i="14"/>
  <c r="DH250" i="14"/>
  <c r="DH348" i="14"/>
  <c r="DH160" i="14"/>
  <c r="DH189" i="14"/>
  <c r="DH238" i="14"/>
  <c r="DH287" i="14"/>
  <c r="DH317" i="14"/>
  <c r="DH101" i="14"/>
  <c r="DH134" i="14"/>
  <c r="DH157" i="14"/>
  <c r="DH170" i="14"/>
  <c r="DH213" i="14"/>
  <c r="DH279" i="14"/>
  <c r="DH347" i="14"/>
  <c r="CP65" i="14"/>
  <c r="CQ65" i="14"/>
  <c r="CQ66" i="14"/>
  <c r="CQ67" i="14"/>
  <c r="CQ68" i="14"/>
  <c r="CQ69" i="14"/>
  <c r="CQ70" i="14"/>
  <c r="CQ71" i="14"/>
  <c r="CQ72" i="14"/>
  <c r="CQ73" i="14"/>
  <c r="CQ74" i="14"/>
  <c r="CQ75" i="14"/>
  <c r="CQ76" i="14"/>
  <c r="CQ77" i="14"/>
  <c r="CQ78" i="14"/>
  <c r="CQ79" i="14"/>
  <c r="CQ80" i="14"/>
  <c r="CQ81" i="14"/>
  <c r="CQ82" i="14"/>
  <c r="CQ83" i="14"/>
  <c r="CQ84" i="14"/>
  <c r="CQ85" i="14"/>
  <c r="CQ86" i="14"/>
  <c r="CQ87" i="14"/>
  <c r="CQ88" i="14"/>
  <c r="CQ89" i="14"/>
  <c r="CQ90" i="14"/>
  <c r="CQ91" i="14"/>
  <c r="CQ92" i="14"/>
  <c r="CQ93" i="14"/>
  <c r="CQ94" i="14"/>
  <c r="CQ95" i="14"/>
  <c r="CQ96" i="14"/>
  <c r="CQ97" i="14"/>
  <c r="CQ98" i="14"/>
  <c r="CQ99" i="14"/>
  <c r="CQ100" i="14"/>
  <c r="CQ101" i="14"/>
  <c r="CQ102" i="14"/>
  <c r="CQ103" i="14"/>
  <c r="CQ104" i="14"/>
  <c r="CQ105" i="14"/>
  <c r="CQ106" i="14"/>
  <c r="CQ107" i="14"/>
  <c r="CQ108" i="14"/>
  <c r="CQ109" i="14"/>
  <c r="CQ110" i="14"/>
  <c r="CQ111" i="14"/>
  <c r="CQ112" i="14"/>
  <c r="CQ113" i="14"/>
  <c r="CQ114" i="14"/>
  <c r="CQ115" i="14"/>
  <c r="CQ116" i="14"/>
  <c r="CQ117" i="14"/>
  <c r="CQ118" i="14"/>
  <c r="CQ119" i="14"/>
  <c r="CQ120" i="14"/>
  <c r="CQ121" i="14"/>
  <c r="CQ122" i="14"/>
  <c r="CQ123" i="14"/>
  <c r="CQ124" i="14"/>
  <c r="CQ125" i="14"/>
  <c r="CQ126" i="14"/>
  <c r="CQ127" i="14"/>
  <c r="CQ128" i="14"/>
  <c r="CQ129" i="14"/>
  <c r="CQ130" i="14"/>
  <c r="CQ131" i="14"/>
  <c r="CQ132" i="14"/>
  <c r="CQ133" i="14"/>
  <c r="CQ134" i="14"/>
  <c r="CQ135" i="14"/>
  <c r="CQ136" i="14"/>
  <c r="CQ137" i="14"/>
  <c r="CQ138" i="14"/>
  <c r="CQ139" i="14"/>
  <c r="CQ140" i="14"/>
  <c r="CQ141" i="14"/>
  <c r="CQ142" i="14"/>
  <c r="CQ143" i="14"/>
  <c r="CQ144" i="14"/>
  <c r="CQ145" i="14"/>
  <c r="CQ146" i="14"/>
  <c r="CQ147" i="14"/>
  <c r="CQ148" i="14"/>
  <c r="CQ149" i="14"/>
  <c r="CQ150" i="14"/>
  <c r="CQ151" i="14"/>
  <c r="CQ152" i="14"/>
  <c r="CQ153" i="14"/>
  <c r="CQ154" i="14"/>
  <c r="CQ155" i="14"/>
  <c r="CQ156" i="14"/>
  <c r="CQ157" i="14"/>
  <c r="CQ158" i="14"/>
  <c r="CQ159" i="14"/>
  <c r="CQ160" i="14"/>
  <c r="CQ161" i="14"/>
  <c r="CQ162" i="14"/>
  <c r="CQ163" i="14"/>
  <c r="CQ164" i="14"/>
  <c r="CQ165" i="14"/>
  <c r="CQ166" i="14"/>
  <c r="CQ167" i="14"/>
  <c r="CQ168" i="14"/>
  <c r="CQ169" i="14"/>
  <c r="CQ170" i="14"/>
  <c r="CQ171" i="14"/>
  <c r="CQ172" i="14"/>
  <c r="CQ173" i="14"/>
  <c r="CQ174" i="14"/>
  <c r="CQ175" i="14"/>
  <c r="CQ176" i="14"/>
  <c r="CQ177" i="14"/>
  <c r="CQ178" i="14"/>
  <c r="CQ179" i="14"/>
  <c r="CQ180" i="14"/>
  <c r="CQ181" i="14"/>
  <c r="CQ182" i="14"/>
  <c r="CQ183" i="14"/>
  <c r="CQ184" i="14"/>
  <c r="CQ185" i="14"/>
  <c r="CQ186" i="14"/>
  <c r="CQ187" i="14"/>
  <c r="CQ188" i="14"/>
  <c r="CQ189" i="14"/>
  <c r="CQ190" i="14"/>
  <c r="CQ191" i="14"/>
  <c r="CQ192" i="14"/>
  <c r="CQ193" i="14"/>
  <c r="CQ194" i="14"/>
  <c r="CQ195" i="14"/>
  <c r="CQ196" i="14"/>
  <c r="CQ197" i="14"/>
  <c r="CQ198" i="14"/>
  <c r="CQ199" i="14"/>
  <c r="CQ200" i="14"/>
  <c r="CQ201" i="14"/>
  <c r="CQ202" i="14"/>
  <c r="CQ203" i="14"/>
  <c r="CQ204" i="14"/>
  <c r="CQ205" i="14"/>
  <c r="CQ206" i="14"/>
  <c r="CQ207" i="14"/>
  <c r="CQ208" i="14"/>
  <c r="CQ209" i="14"/>
  <c r="CQ210" i="14"/>
  <c r="CQ211" i="14"/>
  <c r="CQ212" i="14"/>
  <c r="CQ213" i="14"/>
  <c r="CQ214" i="14"/>
  <c r="CQ215" i="14"/>
  <c r="CQ216" i="14"/>
  <c r="CQ217" i="14"/>
  <c r="CQ218" i="14"/>
  <c r="CQ219" i="14"/>
  <c r="CQ220" i="14"/>
  <c r="CQ221" i="14"/>
  <c r="CQ222" i="14"/>
  <c r="CQ223" i="14"/>
  <c r="CQ224" i="14"/>
  <c r="CQ225" i="14"/>
  <c r="CQ226" i="14"/>
  <c r="CQ227" i="14"/>
  <c r="CQ228" i="14"/>
  <c r="CQ229" i="14"/>
  <c r="CQ230" i="14"/>
  <c r="CQ231" i="14"/>
  <c r="CQ232" i="14"/>
  <c r="CQ233" i="14"/>
  <c r="CQ234" i="14"/>
  <c r="CQ235" i="14"/>
  <c r="CQ236" i="14"/>
  <c r="CQ237" i="14"/>
  <c r="CQ238" i="14"/>
  <c r="CQ239" i="14"/>
  <c r="CQ240" i="14"/>
  <c r="CQ241" i="14"/>
  <c r="CQ242" i="14"/>
  <c r="CQ243" i="14"/>
  <c r="CQ244" i="14"/>
  <c r="CQ245" i="14"/>
  <c r="CQ246" i="14"/>
  <c r="CQ247" i="14"/>
  <c r="CQ248" i="14"/>
  <c r="CQ249" i="14"/>
  <c r="CQ250" i="14"/>
  <c r="CQ251" i="14"/>
  <c r="CQ252" i="14"/>
  <c r="CQ253" i="14"/>
  <c r="CQ254" i="14"/>
  <c r="CQ255" i="14"/>
  <c r="CQ256" i="14"/>
  <c r="CQ257" i="14"/>
  <c r="CQ258" i="14"/>
  <c r="CQ259" i="14"/>
  <c r="CQ260" i="14"/>
  <c r="CQ261" i="14"/>
  <c r="CQ262" i="14"/>
  <c r="CQ263" i="14"/>
  <c r="CQ264" i="14"/>
  <c r="CQ265" i="14"/>
  <c r="CQ266" i="14"/>
  <c r="CQ267" i="14"/>
  <c r="CQ268" i="14"/>
  <c r="CQ269" i="14"/>
  <c r="CQ270" i="14"/>
  <c r="CQ271" i="14"/>
  <c r="CQ272" i="14"/>
  <c r="CQ273" i="14"/>
  <c r="CQ274" i="14"/>
  <c r="CQ275" i="14"/>
  <c r="CQ276" i="14"/>
  <c r="CQ277" i="14"/>
  <c r="CQ278" i="14"/>
  <c r="CQ279" i="14"/>
  <c r="CQ280" i="14"/>
  <c r="CQ281" i="14"/>
  <c r="CQ282" i="14"/>
  <c r="CQ283" i="14"/>
  <c r="CQ284" i="14"/>
  <c r="CQ285" i="14"/>
  <c r="CQ286" i="14"/>
  <c r="CQ287" i="14"/>
  <c r="CQ288" i="14"/>
  <c r="CQ289" i="14"/>
  <c r="CQ290" i="14"/>
  <c r="CQ291" i="14"/>
  <c r="CQ292" i="14"/>
  <c r="CQ293" i="14"/>
  <c r="CQ294" i="14"/>
  <c r="CQ295" i="14"/>
  <c r="CQ296" i="14"/>
  <c r="CQ297" i="14"/>
  <c r="CQ298" i="14"/>
  <c r="CQ299" i="14"/>
  <c r="CQ300" i="14"/>
  <c r="CQ301" i="14"/>
  <c r="CQ302" i="14"/>
  <c r="CQ303" i="14"/>
  <c r="CQ304" i="14"/>
  <c r="CQ305" i="14"/>
  <c r="CQ306" i="14"/>
  <c r="CQ307" i="14"/>
  <c r="CQ308" i="14"/>
  <c r="CQ309" i="14"/>
  <c r="CQ310" i="14"/>
  <c r="CQ311" i="14"/>
  <c r="CQ312" i="14"/>
  <c r="CQ313" i="14"/>
  <c r="CQ314" i="14"/>
  <c r="CQ315" i="14"/>
  <c r="CQ316" i="14"/>
  <c r="CQ317" i="14"/>
  <c r="CQ318" i="14"/>
  <c r="CQ319" i="14"/>
  <c r="CQ320" i="14"/>
  <c r="CQ321" i="14"/>
  <c r="CQ322" i="14"/>
  <c r="CQ323" i="14"/>
  <c r="CQ324" i="14"/>
  <c r="CQ325" i="14"/>
  <c r="CQ326" i="14"/>
  <c r="CQ327" i="14"/>
  <c r="CQ328" i="14"/>
  <c r="CQ329" i="14"/>
  <c r="CQ330" i="14"/>
  <c r="CQ331" i="14"/>
  <c r="CQ332" i="14"/>
  <c r="CQ333" i="14"/>
  <c r="CQ334" i="14"/>
  <c r="CQ335" i="14"/>
  <c r="CQ336" i="14"/>
  <c r="CQ337" i="14"/>
  <c r="CQ338" i="14"/>
  <c r="CQ339" i="14"/>
  <c r="CQ340" i="14"/>
  <c r="CQ341" i="14"/>
  <c r="CQ342" i="14"/>
  <c r="CQ343" i="14"/>
  <c r="CQ344" i="14"/>
  <c r="CQ345" i="14"/>
  <c r="CQ346" i="14"/>
  <c r="CQ347" i="14"/>
  <c r="CQ348" i="14"/>
  <c r="CQ349" i="14"/>
  <c r="CQ350" i="14"/>
  <c r="CQ351" i="14"/>
  <c r="CQ352" i="14"/>
  <c r="CQ353" i="14"/>
  <c r="CQ354" i="14"/>
  <c r="CQ355" i="14"/>
  <c r="CQ356" i="14"/>
  <c r="CQ357" i="14"/>
  <c r="CQ358" i="14"/>
  <c r="CQ359" i="14"/>
  <c r="CQ360" i="14"/>
  <c r="CQ361" i="14"/>
  <c r="CQ362" i="14"/>
  <c r="CQ363" i="14"/>
  <c r="CQ364" i="14"/>
  <c r="W278" i="14"/>
  <c r="DH131" i="14"/>
  <c r="DH230" i="14"/>
  <c r="DH336" i="14"/>
  <c r="DH106" i="14"/>
  <c r="W301" i="14"/>
  <c r="W198" i="14"/>
  <c r="W264" i="14"/>
  <c r="W67" i="14"/>
  <c r="W294" i="14"/>
  <c r="W122" i="14"/>
  <c r="W240" i="14"/>
  <c r="W230" i="14"/>
  <c r="W302" i="14"/>
  <c r="W109" i="14"/>
  <c r="W201" i="14"/>
  <c r="W227" i="14"/>
  <c r="W68" i="14"/>
  <c r="W91" i="14"/>
  <c r="W113" i="14"/>
  <c r="W117" i="14"/>
  <c r="W205" i="14"/>
  <c r="W235" i="14"/>
  <c r="DH112" i="14"/>
  <c r="DH173" i="14"/>
  <c r="DH364" i="14"/>
  <c r="DH109" i="14"/>
  <c r="DH300" i="14"/>
  <c r="DH233" i="14"/>
  <c r="DH66" i="14"/>
  <c r="DH116" i="14"/>
  <c r="DH271" i="14"/>
  <c r="DH322" i="14"/>
  <c r="DH359" i="14"/>
  <c r="DH146" i="14"/>
  <c r="W103" i="14"/>
  <c r="W352" i="14"/>
  <c r="DH262" i="14"/>
  <c r="W142" i="14"/>
  <c r="W250" i="14"/>
  <c r="W171" i="14"/>
  <c r="W223" i="14"/>
  <c r="W120" i="14"/>
  <c r="W125" i="14"/>
  <c r="W233" i="14"/>
  <c r="W349" i="14"/>
  <c r="W164" i="14"/>
  <c r="W306" i="14"/>
  <c r="W139" i="14"/>
  <c r="W237" i="14"/>
  <c r="W299" i="14"/>
  <c r="DH122" i="14"/>
  <c r="DH129" i="14"/>
  <c r="DH124" i="14"/>
  <c r="DH349" i="14"/>
  <c r="DH207" i="14"/>
  <c r="DH263" i="14"/>
  <c r="DH286" i="14"/>
  <c r="DH118" i="14"/>
  <c r="DH266" i="14"/>
  <c r="DH307" i="14"/>
  <c r="DH333" i="14"/>
  <c r="DH82" i="14"/>
  <c r="DH70" i="14"/>
  <c r="DH103" i="14"/>
  <c r="DH165" i="14"/>
  <c r="DH195" i="14"/>
  <c r="DH241" i="14"/>
  <c r="DH255" i="14"/>
  <c r="DH318" i="14"/>
  <c r="DH298" i="14"/>
  <c r="DH190" i="14"/>
  <c r="W86" i="14"/>
  <c r="W321" i="14"/>
  <c r="W325" i="14"/>
  <c r="W266" i="14"/>
  <c r="W300" i="14"/>
  <c r="W351" i="14"/>
  <c r="W353" i="14"/>
  <c r="W315" i="14"/>
  <c r="W254" i="14"/>
  <c r="W255" i="14"/>
  <c r="W251" i="14"/>
  <c r="W285" i="14"/>
  <c r="W328" i="14"/>
  <c r="W92" i="14"/>
  <c r="W96" i="14"/>
  <c r="W215" i="14"/>
  <c r="W308" i="14"/>
  <c r="DH281" i="14"/>
  <c r="DH339" i="14"/>
  <c r="DH273" i="14"/>
  <c r="DH335" i="14"/>
  <c r="DH269" i="14"/>
  <c r="DH102" i="14"/>
  <c r="DH167" i="14"/>
  <c r="DH229" i="14"/>
  <c r="DH247" i="14"/>
  <c r="DH310" i="14"/>
  <c r="DH345" i="14"/>
  <c r="DH185" i="14"/>
  <c r="DH220" i="14"/>
  <c r="DH259" i="14"/>
  <c r="DH142" i="14"/>
  <c r="DH301" i="14"/>
  <c r="DH320" i="14"/>
  <c r="DH304" i="14"/>
  <c r="DH340" i="14"/>
  <c r="DH120" i="14"/>
  <c r="DH115" i="14"/>
  <c r="DH234" i="14"/>
  <c r="DH267" i="14"/>
  <c r="DH294" i="14"/>
  <c r="DH330" i="14"/>
  <c r="DH357" i="14"/>
  <c r="W169" i="14"/>
  <c r="W257" i="14"/>
  <c r="DH350" i="14"/>
  <c r="W126" i="14"/>
  <c r="W260" i="14"/>
  <c r="W332" i="14"/>
  <c r="W71" i="14"/>
  <c r="W181" i="14"/>
  <c r="W337" i="14"/>
  <c r="W144" i="14"/>
  <c r="W229" i="14"/>
  <c r="W182" i="14"/>
  <c r="W355" i="14"/>
  <c r="W194" i="14"/>
  <c r="W66" i="14"/>
  <c r="W137" i="14"/>
  <c r="W189" i="14"/>
  <c r="W224" i="14"/>
  <c r="W206" i="14"/>
  <c r="W307" i="14"/>
  <c r="W336" i="14"/>
  <c r="W72" i="14"/>
  <c r="W80" i="14"/>
  <c r="W279" i="14"/>
  <c r="W152" i="14"/>
  <c r="W221" i="14"/>
  <c r="W317" i="14"/>
  <c r="W362" i="14"/>
  <c r="W178" i="14"/>
  <c r="W81" i="14"/>
  <c r="W65" i="14"/>
  <c r="X65" i="14"/>
  <c r="X66" i="14"/>
  <c r="X67" i="14"/>
  <c r="X68" i="14"/>
  <c r="X69" i="14"/>
  <c r="X70" i="14"/>
  <c r="X71" i="14"/>
  <c r="X72" i="14"/>
  <c r="X73" i="14"/>
  <c r="X74" i="14"/>
  <c r="X75" i="14"/>
  <c r="X76" i="14"/>
  <c r="X77" i="14"/>
  <c r="X78" i="14"/>
  <c r="X79" i="14"/>
  <c r="X80" i="14"/>
  <c r="X81" i="14"/>
  <c r="X82" i="14"/>
  <c r="X83" i="14"/>
  <c r="X84" i="14"/>
  <c r="X85" i="14"/>
  <c r="X86" i="14"/>
  <c r="X87" i="14"/>
  <c r="X88" i="14"/>
  <c r="X89" i="14"/>
  <c r="X90" i="14"/>
  <c r="X91" i="14"/>
  <c r="X92" i="14"/>
  <c r="X93" i="14"/>
  <c r="X94" i="14"/>
  <c r="X95" i="14"/>
  <c r="X96" i="14"/>
  <c r="X97" i="14"/>
  <c r="X98" i="14"/>
  <c r="X99" i="14"/>
  <c r="X100" i="14"/>
  <c r="X101" i="14"/>
  <c r="X102" i="14"/>
  <c r="X103" i="14"/>
  <c r="X104" i="14"/>
  <c r="X105" i="14"/>
  <c r="X106" i="14"/>
  <c r="X107" i="14"/>
  <c r="X108" i="14"/>
  <c r="X109" i="14"/>
  <c r="X110" i="14"/>
  <c r="X111" i="14"/>
  <c r="X112" i="14"/>
  <c r="X113" i="14"/>
  <c r="X114" i="14"/>
  <c r="X115" i="14"/>
  <c r="X116" i="14"/>
  <c r="X117" i="14"/>
  <c r="X118" i="14"/>
  <c r="X119" i="14"/>
  <c r="X120" i="14"/>
  <c r="X121" i="14"/>
  <c r="X122" i="14"/>
  <c r="X123" i="14"/>
  <c r="X124" i="14"/>
  <c r="X125" i="14"/>
  <c r="X126" i="14"/>
  <c r="X127" i="14"/>
  <c r="X128" i="14"/>
  <c r="X129" i="14"/>
  <c r="X130" i="14"/>
  <c r="X131" i="14"/>
  <c r="X132" i="14"/>
  <c r="X133" i="14"/>
  <c r="X134" i="14"/>
  <c r="X135" i="14"/>
  <c r="X136" i="14"/>
  <c r="X137" i="14"/>
  <c r="X138" i="14"/>
  <c r="X139" i="14"/>
  <c r="X140" i="14"/>
  <c r="X141" i="14"/>
  <c r="X142" i="14"/>
  <c r="X143" i="14"/>
  <c r="X144" i="14"/>
  <c r="X145" i="14"/>
  <c r="X146" i="14"/>
  <c r="X147" i="14"/>
  <c r="X148" i="14"/>
  <c r="X149" i="14"/>
  <c r="X150" i="14"/>
  <c r="X151" i="14"/>
  <c r="X152" i="14"/>
  <c r="X153" i="14"/>
  <c r="X154" i="14"/>
  <c r="X155" i="14"/>
  <c r="X156" i="14"/>
  <c r="X157" i="14"/>
  <c r="X158" i="14"/>
  <c r="X159" i="14"/>
  <c r="X160" i="14"/>
  <c r="X161" i="14"/>
  <c r="X162" i="14"/>
  <c r="X163" i="14"/>
  <c r="X164" i="14"/>
  <c r="X165" i="14"/>
  <c r="X166" i="14"/>
  <c r="X167" i="14"/>
  <c r="X168" i="14"/>
  <c r="X169" i="14"/>
  <c r="X170" i="14"/>
  <c r="X171" i="14"/>
  <c r="X172" i="14"/>
  <c r="X173" i="14"/>
  <c r="X174" i="14"/>
  <c r="X175" i="14"/>
  <c r="X176" i="14"/>
  <c r="X177" i="14"/>
  <c r="X178" i="14"/>
  <c r="X179" i="14"/>
  <c r="X180" i="14"/>
  <c r="X181" i="14"/>
  <c r="X182" i="14"/>
  <c r="X183" i="14"/>
  <c r="X184" i="14"/>
  <c r="X185" i="14"/>
  <c r="X186" i="14"/>
  <c r="X187" i="14"/>
  <c r="X188" i="14"/>
  <c r="X189" i="14"/>
  <c r="X190" i="14"/>
  <c r="X191" i="14"/>
  <c r="X192" i="14"/>
  <c r="X193" i="14"/>
  <c r="X194" i="14"/>
  <c r="X195" i="14"/>
  <c r="X196" i="14"/>
  <c r="X197" i="14"/>
  <c r="X198" i="14"/>
  <c r="X199" i="14"/>
  <c r="X200" i="14"/>
  <c r="X201" i="14"/>
  <c r="X202" i="14"/>
  <c r="X203" i="14"/>
  <c r="X204" i="14"/>
  <c r="X205" i="14"/>
  <c r="X206" i="14"/>
  <c r="X207" i="14"/>
  <c r="X208" i="14"/>
  <c r="X209" i="14"/>
  <c r="X210" i="14"/>
  <c r="X211" i="14"/>
  <c r="X212" i="14"/>
  <c r="X213" i="14"/>
  <c r="X214" i="14"/>
  <c r="X215" i="14"/>
  <c r="X216" i="14"/>
  <c r="X217" i="14"/>
  <c r="X218" i="14"/>
  <c r="X219" i="14"/>
  <c r="X220" i="14"/>
  <c r="X221" i="14"/>
  <c r="X222" i="14"/>
  <c r="X223" i="14"/>
  <c r="X224" i="14"/>
  <c r="X225" i="14"/>
  <c r="X226" i="14"/>
  <c r="X227" i="14"/>
  <c r="X228" i="14"/>
  <c r="X229" i="14"/>
  <c r="X230" i="14"/>
  <c r="X231" i="14"/>
  <c r="X232" i="14"/>
  <c r="X233" i="14"/>
  <c r="X234" i="14"/>
  <c r="X235" i="14"/>
  <c r="X236" i="14"/>
  <c r="X237" i="14"/>
  <c r="X238" i="14"/>
  <c r="X239" i="14"/>
  <c r="X240" i="14"/>
  <c r="X241" i="14"/>
  <c r="X242" i="14"/>
  <c r="X243" i="14"/>
  <c r="X244" i="14"/>
  <c r="X245" i="14"/>
  <c r="X246" i="14"/>
  <c r="X247" i="14"/>
  <c r="X248" i="14"/>
  <c r="X249" i="14"/>
  <c r="X250" i="14"/>
  <c r="X251" i="14"/>
  <c r="X252" i="14"/>
  <c r="X253" i="14"/>
  <c r="X254" i="14"/>
  <c r="X255" i="14"/>
  <c r="X256" i="14"/>
  <c r="X257" i="14"/>
  <c r="X258" i="14"/>
  <c r="X259" i="14"/>
  <c r="X260" i="14"/>
  <c r="X261" i="14"/>
  <c r="X262" i="14"/>
  <c r="X263" i="14"/>
  <c r="X264" i="14"/>
  <c r="X265" i="14"/>
  <c r="X266" i="14"/>
  <c r="X267" i="14"/>
  <c r="X268" i="14"/>
  <c r="X269" i="14"/>
  <c r="X270" i="14"/>
  <c r="X271" i="14"/>
  <c r="X272" i="14"/>
  <c r="X273" i="14"/>
  <c r="X274" i="14"/>
  <c r="X275" i="14"/>
  <c r="X276" i="14"/>
  <c r="X277" i="14"/>
  <c r="X278" i="14"/>
  <c r="X279" i="14"/>
  <c r="X280" i="14"/>
  <c r="X281" i="14"/>
  <c r="X282" i="14"/>
  <c r="X283" i="14"/>
  <c r="X284" i="14"/>
  <c r="X285" i="14"/>
  <c r="X286" i="14"/>
  <c r="X287" i="14"/>
  <c r="X288" i="14"/>
  <c r="X289" i="14"/>
  <c r="X290" i="14"/>
  <c r="X291" i="14"/>
  <c r="X292" i="14"/>
  <c r="X293" i="14"/>
  <c r="X294" i="14"/>
  <c r="X295" i="14"/>
  <c r="X296" i="14"/>
  <c r="X297" i="14"/>
  <c r="X298" i="14"/>
  <c r="X299" i="14"/>
  <c r="X300" i="14"/>
  <c r="X301" i="14"/>
  <c r="X302" i="14"/>
  <c r="X303" i="14"/>
  <c r="X304" i="14"/>
  <c r="X305" i="14"/>
  <c r="X306" i="14"/>
  <c r="X307" i="14"/>
  <c r="X308" i="14"/>
  <c r="X309" i="14"/>
  <c r="X310" i="14"/>
  <c r="X311" i="14"/>
  <c r="X312" i="14"/>
  <c r="X313" i="14"/>
  <c r="X314" i="14"/>
  <c r="X315" i="14"/>
  <c r="X316" i="14"/>
  <c r="X317" i="14"/>
  <c r="X318" i="14"/>
  <c r="X319" i="14"/>
  <c r="X320" i="14"/>
  <c r="X321" i="14"/>
  <c r="X322" i="14"/>
  <c r="X323" i="14"/>
  <c r="X324" i="14"/>
  <c r="X325" i="14"/>
  <c r="X326" i="14"/>
  <c r="X327" i="14"/>
  <c r="X328" i="14"/>
  <c r="X329" i="14"/>
  <c r="X330" i="14"/>
  <c r="X331" i="14"/>
  <c r="X332" i="14"/>
  <c r="X333" i="14"/>
  <c r="X334" i="14"/>
  <c r="X335" i="14"/>
  <c r="X336" i="14"/>
  <c r="X337" i="14"/>
  <c r="X338" i="14"/>
  <c r="X339" i="14"/>
  <c r="X340" i="14"/>
  <c r="X341" i="14"/>
  <c r="X342" i="14"/>
  <c r="X343" i="14"/>
  <c r="X344" i="14"/>
  <c r="X345" i="14"/>
  <c r="X346" i="14"/>
  <c r="X347" i="14"/>
  <c r="X348" i="14"/>
  <c r="X349" i="14"/>
  <c r="X350" i="14"/>
  <c r="X351" i="14"/>
  <c r="X352" i="14"/>
  <c r="X353" i="14"/>
  <c r="X354" i="14"/>
  <c r="X355" i="14"/>
  <c r="X356" i="14"/>
  <c r="X357" i="14"/>
  <c r="X358" i="14"/>
  <c r="X359" i="14"/>
  <c r="X360" i="14"/>
  <c r="X361" i="14"/>
  <c r="X362" i="14"/>
  <c r="X363" i="14"/>
  <c r="X364" i="14"/>
  <c r="W214" i="14"/>
  <c r="W232" i="14"/>
  <c r="DH148" i="14"/>
  <c r="DH214" i="14"/>
  <c r="DH138" i="14"/>
  <c r="DH197" i="14"/>
  <c r="DH123" i="14"/>
  <c r="DH206" i="14"/>
  <c r="DH296" i="14"/>
  <c r="DH135" i="14"/>
  <c r="DH222" i="14"/>
  <c r="DH280" i="14"/>
  <c r="DH311" i="14"/>
  <c r="DH360" i="14"/>
  <c r="DH104" i="14"/>
  <c r="DH166" i="14"/>
  <c r="DH249" i="14"/>
  <c r="DH289" i="14"/>
  <c r="DH316" i="14"/>
  <c r="DH196" i="14"/>
  <c r="DH227" i="14"/>
  <c r="DH264" i="14"/>
  <c r="DH319" i="14"/>
  <c r="DH155" i="14"/>
  <c r="DH168" i="14"/>
  <c r="DH277" i="14"/>
  <c r="DH344" i="14"/>
  <c r="DH117" i="14"/>
  <c r="DH169" i="14"/>
  <c r="DH236" i="14"/>
  <c r="DH324" i="14"/>
  <c r="DH361" i="14"/>
  <c r="K44" i="4"/>
  <c r="O46" i="10" s="1"/>
  <c r="AQ11" i="10" s="1"/>
  <c r="K22" i="4"/>
  <c r="O53" i="9" s="1"/>
  <c r="AQ13" i="9" s="1"/>
  <c r="Q38" i="10"/>
  <c r="AC69" i="9"/>
  <c r="AT21" i="9"/>
  <c r="AR21" i="9" s="1"/>
  <c r="AM38" i="9"/>
  <c r="AK38" i="9" s="1"/>
  <c r="AM37" i="9"/>
  <c r="AK37" i="9" s="1"/>
  <c r="AM36" i="9"/>
  <c r="AK36" i="9" s="1"/>
  <c r="AM35" i="9"/>
  <c r="AK35" i="9" s="1"/>
  <c r="AM32" i="9"/>
  <c r="AK32" i="9" s="1"/>
  <c r="AM31" i="9"/>
  <c r="AK31" i="9" s="1"/>
  <c r="AM30" i="9"/>
  <c r="AK30" i="9" s="1"/>
  <c r="AM29" i="9"/>
  <c r="AK29" i="9" s="1"/>
  <c r="AF38" i="9"/>
  <c r="AD38" i="9" s="1"/>
  <c r="AF37" i="9"/>
  <c r="AD37" i="9" s="1"/>
  <c r="AF36" i="9"/>
  <c r="AD36" i="9" s="1"/>
  <c r="AF35" i="9"/>
  <c r="AD35" i="9" s="1"/>
  <c r="AF24" i="9"/>
  <c r="AD24" i="9" s="1"/>
  <c r="AD23" i="9"/>
  <c r="AF22" i="9"/>
  <c r="AD22" i="9" s="1"/>
  <c r="AF32" i="9"/>
  <c r="AD32" i="9" s="1"/>
  <c r="AF31" i="9"/>
  <c r="AD31" i="9" s="1"/>
  <c r="AF30" i="9"/>
  <c r="AD30" i="9" s="1"/>
  <c r="AF29" i="9"/>
  <c r="AD29" i="9" s="1"/>
  <c r="BH36" i="9"/>
  <c r="BH39" i="9"/>
  <c r="BK28" i="9"/>
  <c r="BK27" i="9"/>
  <c r="BK26" i="9"/>
  <c r="BK25" i="9"/>
  <c r="BL23" i="9"/>
  <c r="BL21" i="9"/>
  <c r="BK24" i="9"/>
  <c r="BK23" i="9"/>
  <c r="BK22" i="9"/>
  <c r="BK21" i="9"/>
  <c r="BH27" i="9"/>
  <c r="BH21" i="9"/>
  <c r="BH28" i="9"/>
  <c r="BH26" i="9"/>
  <c r="BH25" i="9"/>
  <c r="BH24" i="9"/>
  <c r="BH23" i="9"/>
  <c r="BH22" i="9"/>
  <c r="AA6" i="10"/>
  <c r="BI28" i="9"/>
  <c r="BI27" i="9"/>
  <c r="BI26" i="9"/>
  <c r="BI24" i="9"/>
  <c r="BI23" i="9"/>
  <c r="BI22" i="9"/>
  <c r="BH38" i="9"/>
  <c r="BH37" i="9"/>
  <c r="AC58" i="9"/>
  <c r="BK44" i="9"/>
  <c r="AP13" i="9"/>
  <c r="AP12" i="9"/>
  <c r="BK37" i="9"/>
  <c r="BK38" i="9"/>
  <c r="BK36" i="9"/>
  <c r="BL37" i="9"/>
  <c r="BL38" i="9"/>
  <c r="BL36" i="9"/>
  <c r="BK31" i="9"/>
  <c r="BH31" i="9"/>
  <c r="BI21" i="9"/>
  <c r="AJ5" i="24"/>
  <c r="AJ9" i="24" s="1"/>
  <c r="AJ58" i="9"/>
  <c r="AB58" i="9"/>
  <c r="AP6" i="9"/>
  <c r="AP5" i="9"/>
  <c r="Y13" i="10"/>
  <c r="AF8" i="24" s="1"/>
  <c r="Y12" i="10"/>
  <c r="AP7" i="9" s="1"/>
  <c r="AA8" i="9"/>
  <c r="AM52" i="9"/>
  <c r="AF52" i="9"/>
  <c r="AQ58" i="9"/>
  <c r="AP58" i="9"/>
  <c r="AN58" i="9"/>
  <c r="AL58" i="9"/>
  <c r="AD58" i="9"/>
  <c r="AI58" i="9"/>
  <c r="AH58" i="9"/>
  <c r="AF58" i="9"/>
  <c r="AK58" i="9"/>
  <c r="AH15" i="24"/>
  <c r="AH14" i="24"/>
  <c r="AR15" i="9"/>
  <c r="AR14" i="9"/>
  <c r="AM42" i="9"/>
  <c r="AK42" i="9"/>
  <c r="BI40" i="9" s="1"/>
  <c r="AM41" i="9"/>
  <c r="AK41" i="9" s="1"/>
  <c r="BI39" i="9" s="1"/>
  <c r="AH43" i="9"/>
  <c r="AF43" i="9" s="1"/>
  <c r="BI38" i="9" s="1"/>
  <c r="AH42" i="9"/>
  <c r="AF42" i="9" s="1"/>
  <c r="AH41" i="9"/>
  <c r="AF41" i="9" s="1"/>
  <c r="BI36" i="9" s="1"/>
  <c r="AZ24" i="9"/>
  <c r="AX24" i="9" s="1"/>
  <c r="AZ23" i="9"/>
  <c r="AX23" i="9" s="1"/>
  <c r="AZ22" i="9"/>
  <c r="AX22" i="9" s="1"/>
  <c r="AZ21" i="9"/>
  <c r="AX21" i="9" s="1"/>
  <c r="AT24" i="9"/>
  <c r="AR24" i="9" s="1"/>
  <c r="AT23" i="9"/>
  <c r="AR23" i="9" s="1"/>
  <c r="AT22" i="9"/>
  <c r="AR22" i="9" s="1"/>
  <c r="AK23" i="9"/>
  <c r="AM22" i="9"/>
  <c r="AK22" i="9" s="1"/>
  <c r="AM21" i="9"/>
  <c r="AK21" i="9" s="1"/>
  <c r="F44" i="4"/>
  <c r="E46" i="10" s="1"/>
  <c r="AQ10" i="10" s="1"/>
  <c r="H44" i="4"/>
  <c r="H46" i="10" s="1"/>
  <c r="M44" i="4"/>
  <c r="R46" i="10" s="1"/>
  <c r="G51" i="10"/>
  <c r="D51" i="10"/>
  <c r="G50" i="10"/>
  <c r="D50" i="10"/>
  <c r="G49" i="10"/>
  <c r="D49" i="10"/>
  <c r="E40" i="10"/>
  <c r="G38" i="10"/>
  <c r="D38" i="10"/>
  <c r="Q37" i="10"/>
  <c r="Q36" i="10"/>
  <c r="N36" i="10"/>
  <c r="G36" i="10"/>
  <c r="D36" i="10"/>
  <c r="Q34" i="10"/>
  <c r="N34" i="10"/>
  <c r="G34" i="10"/>
  <c r="D34" i="10"/>
  <c r="Q33" i="10"/>
  <c r="N33" i="10"/>
  <c r="G33" i="10"/>
  <c r="D33" i="10"/>
  <c r="E30" i="10"/>
  <c r="T28" i="10"/>
  <c r="J28" i="10"/>
  <c r="T23" i="10"/>
  <c r="J23" i="10"/>
  <c r="T18" i="10"/>
  <c r="N18" i="10"/>
  <c r="J18" i="10"/>
  <c r="T14" i="10"/>
  <c r="J14" i="10"/>
  <c r="D14" i="10"/>
  <c r="T6" i="10"/>
  <c r="N6" i="10"/>
  <c r="D6" i="10"/>
  <c r="G58" i="9"/>
  <c r="D58" i="9"/>
  <c r="G57" i="9"/>
  <c r="D57" i="9"/>
  <c r="G56" i="9"/>
  <c r="D56" i="9"/>
  <c r="G46" i="9"/>
  <c r="D46" i="9"/>
  <c r="Q45" i="9"/>
  <c r="D45" i="9"/>
  <c r="Q44" i="9"/>
  <c r="N44" i="9"/>
  <c r="G44" i="9"/>
  <c r="D44" i="9"/>
  <c r="Q42" i="9"/>
  <c r="N42" i="9"/>
  <c r="G42" i="9"/>
  <c r="D42" i="9"/>
  <c r="Q41" i="9"/>
  <c r="N41" i="9"/>
  <c r="D41" i="9"/>
  <c r="T37" i="9"/>
  <c r="T32" i="9"/>
  <c r="T27" i="9"/>
  <c r="J27" i="9"/>
  <c r="T23" i="9"/>
  <c r="J23" i="9"/>
  <c r="G23" i="9"/>
  <c r="D22" i="9"/>
  <c r="T8" i="9"/>
  <c r="N8" i="9"/>
  <c r="AI15" i="24"/>
  <c r="AS15" i="9"/>
  <c r="AI14" i="24"/>
  <c r="AS14" i="9"/>
  <c r="M22" i="4"/>
  <c r="AA34" i="24" s="1"/>
  <c r="AI13" i="24" s="1"/>
  <c r="F22" i="4"/>
  <c r="E53" i="9" s="1"/>
  <c r="AD52" i="9" l="1"/>
  <c r="AS12" i="9" s="1"/>
  <c r="H53" i="9"/>
  <c r="T34" i="24"/>
  <c r="AI12" i="24" s="1"/>
  <c r="AJ21" i="10"/>
  <c r="AS11" i="10" s="1"/>
  <c r="BS10" i="10"/>
  <c r="AL12" i="24" s="1"/>
  <c r="BI28" i="10"/>
  <c r="BI30" i="10" s="1"/>
  <c r="AQ3" i="10" s="1"/>
  <c r="AQ7" i="9" s="1"/>
  <c r="BL41" i="10"/>
  <c r="BL43" i="10" s="1"/>
  <c r="AR11" i="10"/>
  <c r="BL43" i="9"/>
  <c r="BL45" i="9" s="1"/>
  <c r="BL28" i="10"/>
  <c r="BL30" i="10" s="1"/>
  <c r="AQ4" i="10" s="1"/>
  <c r="AV13" i="24"/>
  <c r="AV15" i="24" s="1"/>
  <c r="AG6" i="24" s="1"/>
  <c r="CA12" i="24" s="1"/>
  <c r="AC21" i="10"/>
  <c r="AS10" i="10" s="1"/>
  <c r="Z27" i="10"/>
  <c r="AV10" i="10"/>
  <c r="AS3" i="10" s="1"/>
  <c r="AP14" i="9"/>
  <c r="BF22" i="24"/>
  <c r="AV26" i="24"/>
  <c r="AV28" i="24" s="1"/>
  <c r="AK5" i="24" s="1"/>
  <c r="AK9" i="24" s="1"/>
  <c r="AH13" i="24"/>
  <c r="BL30" i="9"/>
  <c r="BL32" i="9" s="1"/>
  <c r="AQ6" i="9" s="1"/>
  <c r="AG15" i="24"/>
  <c r="AQ15" i="9"/>
  <c r="AQ14" i="9"/>
  <c r="BQ10" i="10"/>
  <c r="AG14" i="24"/>
  <c r="AJ14" i="24" s="1"/>
  <c r="AK52" i="9"/>
  <c r="AS13" i="9" s="1"/>
  <c r="R53" i="9"/>
  <c r="AX3" i="24"/>
  <c r="AG13" i="24"/>
  <c r="AG12" i="24"/>
  <c r="AQ12" i="9"/>
  <c r="AV12" i="9"/>
  <c r="AP15" i="9"/>
  <c r="BQ11" i="10"/>
  <c r="AF15" i="24"/>
  <c r="AR10" i="10"/>
  <c r="BI41" i="10"/>
  <c r="AM26" i="24"/>
  <c r="AQ68" i="9"/>
  <c r="AQ75" i="9"/>
  <c r="AG33" i="24"/>
  <c r="AM33" i="24"/>
  <c r="AK75" i="9"/>
  <c r="AV3" i="10"/>
  <c r="AV7" i="10" s="1"/>
  <c r="AG26" i="24"/>
  <c r="BI34" i="10"/>
  <c r="AM39" i="24"/>
  <c r="AK68" i="9"/>
  <c r="AW68" i="9"/>
  <c r="Y17" i="10"/>
  <c r="Y15" i="10" s="1"/>
  <c r="AT7" i="10"/>
  <c r="AF7" i="24"/>
  <c r="AF9" i="24" s="1"/>
  <c r="AN8" i="24" s="1"/>
  <c r="AP8" i="9"/>
  <c r="BB24" i="9" s="1"/>
  <c r="Z21" i="9" s="1"/>
  <c r="BC22" i="9"/>
  <c r="AR7" i="9"/>
  <c r="AR8" i="9"/>
  <c r="AH7" i="24"/>
  <c r="AS37" i="24"/>
  <c r="BC23" i="9"/>
  <c r="AS36" i="24"/>
  <c r="AH8" i="24"/>
  <c r="BZ23" i="24"/>
  <c r="AR13" i="9"/>
  <c r="AR12" i="9"/>
  <c r="AY15" i="24"/>
  <c r="Z30" i="9"/>
  <c r="AY14" i="24"/>
  <c r="BC21" i="9"/>
  <c r="AH6" i="24"/>
  <c r="AS35" i="24"/>
  <c r="Z22" i="9"/>
  <c r="AR6" i="9"/>
  <c r="D25" i="32" a="1"/>
  <c r="D25" i="32" s="1"/>
  <c r="D26" i="32" s="1" a="1"/>
  <c r="D26" i="32" s="1"/>
  <c r="D27" i="32" s="1" a="1"/>
  <c r="D27" i="32" s="1"/>
  <c r="D28" i="32" s="1" a="1"/>
  <c r="D28" i="32" s="1"/>
  <c r="D29" i="32" s="1" a="1"/>
  <c r="D29" i="32" s="1"/>
  <c r="D30" i="32" s="1" a="1"/>
  <c r="D30" i="32" s="1"/>
  <c r="N25" i="32" a="1"/>
  <c r="N25" i="32" s="1"/>
  <c r="N26" i="32" s="1" a="1"/>
  <c r="N26" i="32" s="1"/>
  <c r="N27" i="32" s="1" a="1"/>
  <c r="N27" i="32" s="1"/>
  <c r="N28" i="32" s="1" a="1"/>
  <c r="N28" i="32" s="1"/>
  <c r="N29" i="32" s="1" a="1"/>
  <c r="N29" i="32" s="1"/>
  <c r="N30" i="32" s="1" a="1"/>
  <c r="N30" i="32" s="1"/>
  <c r="I25" i="32" a="1"/>
  <c r="I25" i="32" s="1"/>
  <c r="AH12" i="24"/>
  <c r="AS13" i="24"/>
  <c r="AS15" i="24" s="1"/>
  <c r="AG5" i="24" s="1"/>
  <c r="BX12" i="24" s="1"/>
  <c r="BI30" i="9"/>
  <c r="BI32" i="9" s="1"/>
  <c r="AQ5" i="9" s="1"/>
  <c r="BC20" i="9"/>
  <c r="AR5" i="9"/>
  <c r="Z36" i="9"/>
  <c r="AY19" i="24"/>
  <c r="AY17" i="24" s="1"/>
  <c r="BW12" i="24"/>
  <c r="Z45" i="9"/>
  <c r="Z43" i="9" s="1"/>
  <c r="BI37" i="9"/>
  <c r="AS20" i="24"/>
  <c r="AS26" i="24" s="1"/>
  <c r="AA60" i="9"/>
  <c r="AY5" i="24"/>
  <c r="AH5" i="24"/>
  <c r="AY13" i="24"/>
  <c r="AS34" i="24"/>
  <c r="AY20" i="24" l="1"/>
  <c r="AN13" i="24" s="1"/>
  <c r="AT11" i="10"/>
  <c r="I26" i="32" a="1"/>
  <c r="I26" i="32" s="1"/>
  <c r="I27" i="32" s="1" a="1"/>
  <c r="I27" i="32" s="1"/>
  <c r="I28" i="32" s="1" a="1"/>
  <c r="I28" i="32" s="1"/>
  <c r="I29" i="32" s="1" a="1"/>
  <c r="I29" i="32" s="1"/>
  <c r="I30" i="32" s="1"/>
  <c r="Z71" i="9" s="1"/>
  <c r="AQ7" i="10"/>
  <c r="BU3" i="10" s="1"/>
  <c r="BU4" i="10" s="1"/>
  <c r="BU8" i="10" s="1"/>
  <c r="AR3" i="10"/>
  <c r="BP3" i="10"/>
  <c r="AG7" i="24"/>
  <c r="AU3" i="10"/>
  <c r="AU7" i="10" s="1"/>
  <c r="Y29" i="10"/>
  <c r="Y20" i="10" s="1"/>
  <c r="AJ15" i="24"/>
  <c r="BW14" i="24" s="1"/>
  <c r="AJ12" i="24"/>
  <c r="AT15" i="9"/>
  <c r="AT10" i="10"/>
  <c r="AT12" i="9"/>
  <c r="AT14" i="9"/>
  <c r="AG8" i="24"/>
  <c r="AQ8" i="9"/>
  <c r="AQ9" i="9" s="1"/>
  <c r="AR4" i="10"/>
  <c r="AP9" i="9"/>
  <c r="AX8" i="9" s="1"/>
  <c r="BB8" i="9" s="1"/>
  <c r="Z62" i="9"/>
  <c r="AT13" i="9"/>
  <c r="AR38" i="24"/>
  <c r="AL5" i="24"/>
  <c r="AL9" i="24" s="1"/>
  <c r="AJ13" i="24"/>
  <c r="AY11" i="24"/>
  <c r="BX14" i="24"/>
  <c r="BC19" i="24"/>
  <c r="AX10" i="10"/>
  <c r="Z44" i="9"/>
  <c r="Z42" i="9" s="1"/>
  <c r="E62" i="9" s="1"/>
  <c r="AY18" i="24"/>
  <c r="AY16" i="24" s="1"/>
  <c r="Z20" i="9"/>
  <c r="AH9" i="24"/>
  <c r="AN9" i="24" s="1"/>
  <c r="AS38" i="24"/>
  <c r="BC24" i="9"/>
  <c r="AR9" i="9"/>
  <c r="AX9" i="9" s="1"/>
  <c r="BB9" i="9" s="1"/>
  <c r="BI48" i="9"/>
  <c r="AY21" i="24" l="1"/>
  <c r="BX25" i="24" s="1"/>
  <c r="AI5" i="24"/>
  <c r="AS5" i="9"/>
  <c r="AG9" i="24"/>
  <c r="AN15" i="24" s="1"/>
  <c r="AN12" i="24" s="1"/>
  <c r="AY24" i="24" s="1"/>
  <c r="AY31" i="24" s="1"/>
  <c r="AR7" i="10"/>
  <c r="AX7" i="10" s="1"/>
  <c r="AX3" i="10"/>
  <c r="AX4" i="10" s="1"/>
  <c r="Z53" i="9"/>
  <c r="E63" i="9" s="1"/>
  <c r="AJ16" i="24"/>
  <c r="BZ14" i="24" s="1"/>
  <c r="Z70" i="9"/>
  <c r="AC68" i="9" s="1"/>
  <c r="AT19" i="9"/>
  <c r="BI43" i="9"/>
  <c r="AU5" i="9" s="1"/>
  <c r="AN5" i="24" l="1"/>
  <c r="AN6" i="24" s="1"/>
  <c r="AM6" i="24" s="1"/>
  <c r="AN7" i="24" s="1"/>
  <c r="AN10" i="24" s="1"/>
  <c r="AY23" i="24" s="1"/>
  <c r="AY25" i="24" s="1"/>
  <c r="AX8" i="10"/>
  <c r="BD20" i="24"/>
  <c r="BC20" i="24" s="1"/>
  <c r="BB22" i="24" s="1"/>
  <c r="BB13" i="24" s="1"/>
  <c r="AX13" i="9"/>
  <c r="AU9" i="9"/>
  <c r="AX5" i="9" s="1"/>
  <c r="AX6" i="9" s="1"/>
  <c r="AW6" i="9" s="1"/>
  <c r="AX15" i="9"/>
  <c r="AV5" i="9"/>
  <c r="AV9" i="9" s="1"/>
  <c r="AY29" i="24" l="1"/>
  <c r="AY22" i="24"/>
  <c r="BX26" i="24" s="1"/>
  <c r="AY30" i="24"/>
  <c r="Z75" i="9"/>
  <c r="E66" i="9" s="1"/>
  <c r="AX12" i="9"/>
  <c r="Z67" i="9" s="1"/>
  <c r="AC65" i="9" s="1"/>
  <c r="AX7" i="9"/>
  <c r="AX10" i="9" s="1"/>
  <c r="Z66" i="9" s="1"/>
  <c r="AY32" i="24"/>
  <c r="AY28" i="24"/>
  <c r="BB5" i="9" l="1"/>
  <c r="AC64" i="9"/>
  <c r="Z65" i="9"/>
  <c r="Z68" i="9"/>
  <c r="Z74" i="9" l="1"/>
  <c r="E65" i="9" s="1"/>
  <c r="AC66" i="9"/>
  <c r="E61" i="9"/>
  <c r="BB7" i="9"/>
  <c r="BB10" i="9" s="1"/>
  <c r="Z78" i="9" l="1"/>
  <c r="H65" i="9" s="1"/>
  <c r="Z77" i="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<sst xmlns="http://schemas.openxmlformats.org/spreadsheetml/2006/main" count="1977" uniqueCount="496">
  <si>
    <t>Australia</t>
  </si>
  <si>
    <t>China</t>
  </si>
  <si>
    <t>Income</t>
  </si>
  <si>
    <t>China Income</t>
  </si>
  <si>
    <t>other offshore income</t>
  </si>
  <si>
    <t>Total China CAP</t>
  </si>
  <si>
    <t>Debts</t>
  </si>
  <si>
    <t>China Debts</t>
  </si>
  <si>
    <t>Other offshore</t>
  </si>
  <si>
    <t>Total Allowable China Income</t>
  </si>
  <si>
    <t>Hong Kong</t>
  </si>
  <si>
    <t>Indonesia</t>
  </si>
  <si>
    <t>.</t>
  </si>
  <si>
    <t>Japan</t>
  </si>
  <si>
    <t xml:space="preserve">BWR 1 </t>
  </si>
  <si>
    <t>GrossChinaincome</t>
  </si>
  <si>
    <t>1.   Borrower Details</t>
  </si>
  <si>
    <t>Loan Product</t>
  </si>
  <si>
    <t>Repayment Type</t>
  </si>
  <si>
    <t>I/O Term</t>
  </si>
  <si>
    <t>Small Appt</t>
  </si>
  <si>
    <t>Macau</t>
  </si>
  <si>
    <t>BWR 2</t>
  </si>
  <si>
    <t>Net China Allowable</t>
  </si>
  <si>
    <t>Full Name - Bwr 1</t>
  </si>
  <si>
    <t>Country of Residency - Bwr 1</t>
  </si>
  <si>
    <t>Postcode - Bwr 1</t>
  </si>
  <si>
    <t>USD</t>
  </si>
  <si>
    <t>Brighten Saver</t>
  </si>
  <si>
    <t>P&amp;I</t>
  </si>
  <si>
    <t>Yes</t>
  </si>
  <si>
    <t>Malaysia</t>
  </si>
  <si>
    <t>BWR 3</t>
  </si>
  <si>
    <t>Bwr 2</t>
  </si>
  <si>
    <t>AUD</t>
  </si>
  <si>
    <t>Easy Builder</t>
  </si>
  <si>
    <t>I/O</t>
  </si>
  <si>
    <t>No</t>
  </si>
  <si>
    <t>Singapore</t>
  </si>
  <si>
    <t>BWR 4</t>
  </si>
  <si>
    <t>Onshore Income</t>
  </si>
  <si>
    <t>Evergreen</t>
  </si>
  <si>
    <t>Self Employed Income</t>
  </si>
  <si>
    <t>South Korea</t>
  </si>
  <si>
    <t>Other Offshore</t>
  </si>
  <si>
    <t>2.   Loan Details</t>
  </si>
  <si>
    <t>Platinum</t>
  </si>
  <si>
    <t>YES</t>
  </si>
  <si>
    <t>Taiwan</t>
  </si>
  <si>
    <t>GLEE</t>
  </si>
  <si>
    <t>Onshore</t>
  </si>
  <si>
    <t>offshore</t>
  </si>
  <si>
    <t># Adults</t>
  </si>
  <si>
    <t>USD CAP</t>
  </si>
  <si>
    <t>Total Income</t>
  </si>
  <si>
    <t>Loan Amount</t>
  </si>
  <si>
    <t>Vacant Land</t>
  </si>
  <si>
    <t>NO</t>
  </si>
  <si>
    <t>United States</t>
  </si>
  <si>
    <t>Benchmark</t>
  </si>
  <si>
    <t>Declared</t>
  </si>
  <si>
    <t>P&amp;I or I/O</t>
  </si>
  <si>
    <t>Security Value</t>
  </si>
  <si>
    <t>United Kingdom</t>
  </si>
  <si>
    <t>Household 1</t>
  </si>
  <si>
    <t>Total Debts</t>
  </si>
  <si>
    <t xml:space="preserve">Year </t>
  </si>
  <si>
    <t>Years</t>
  </si>
  <si>
    <t>LVR</t>
  </si>
  <si>
    <t>Vietnam</t>
  </si>
  <si>
    <t>Household 2</t>
  </si>
  <si>
    <t>Total Living Exp</t>
  </si>
  <si>
    <t>Household 3</t>
  </si>
  <si>
    <t>Loan Term</t>
  </si>
  <si>
    <t>Proposed Rental</t>
  </si>
  <si>
    <t>Per Week</t>
  </si>
  <si>
    <t>Household 4</t>
  </si>
  <si>
    <t>Brighten Easy Builder</t>
  </si>
  <si>
    <t>Brighten Evergreen</t>
  </si>
  <si>
    <t>Brighten Platinum</t>
  </si>
  <si>
    <t>Offshore</t>
  </si>
  <si>
    <t>China Offshore Income</t>
  </si>
  <si>
    <t>3.   Income - PAYG Income (Monthly)</t>
  </si>
  <si>
    <t>PAYG</t>
  </si>
  <si>
    <t>AUD Amount</t>
  </si>
  <si>
    <t>Nett Overtime</t>
  </si>
  <si>
    <t xml:space="preserve">Nett Commission </t>
  </si>
  <si>
    <t xml:space="preserve">Nett Bonus </t>
  </si>
  <si>
    <t>Nett Salary</t>
  </si>
  <si>
    <t>Currency</t>
  </si>
  <si>
    <t>Bwr 1</t>
  </si>
  <si>
    <t>Net PAYG</t>
  </si>
  <si>
    <t>Commissions</t>
  </si>
  <si>
    <t>Bwr 3</t>
  </si>
  <si>
    <t>Self Employed</t>
  </si>
  <si>
    <t>Bwr 4</t>
  </si>
  <si>
    <t xml:space="preserve">Total </t>
  </si>
  <si>
    <t>Rental</t>
  </si>
  <si>
    <t>Nett Bonus</t>
  </si>
  <si>
    <t>net OT</t>
  </si>
  <si>
    <t>Bonus</t>
  </si>
  <si>
    <t>other net</t>
  </si>
  <si>
    <t xml:space="preserve">Self Employed </t>
  </si>
  <si>
    <t>Other Income</t>
  </si>
  <si>
    <t>other investment</t>
  </si>
  <si>
    <t>4.   Income - Self Employed or Other Income (Monthly)</t>
  </si>
  <si>
    <t>Lookup and sum</t>
  </si>
  <si>
    <t xml:space="preserve">Nett Self Employed </t>
  </si>
  <si>
    <t>Nett Other Income</t>
  </si>
  <si>
    <t>CNY</t>
  </si>
  <si>
    <t>5.   Income - Rental or Investment Income (Monthly)</t>
  </si>
  <si>
    <t>Rental Income</t>
  </si>
  <si>
    <t>Other Investment Income</t>
  </si>
  <si>
    <t>China Offshore Debts</t>
  </si>
  <si>
    <t>Nett Investment Income</t>
  </si>
  <si>
    <t>Mortgage</t>
  </si>
  <si>
    <t>Investment</t>
  </si>
  <si>
    <t>Other</t>
  </si>
  <si>
    <t>6.   Existing Debts</t>
  </si>
  <si>
    <t>Other CC</t>
  </si>
  <si>
    <t>Mortgage Balance</t>
  </si>
  <si>
    <t>Investment Mortgage/s Balance</t>
  </si>
  <si>
    <t>Mortgage Repayment</t>
  </si>
  <si>
    <t>Total Credit Card Limits</t>
  </si>
  <si>
    <t>Investment Mortgage/s Repayments</t>
  </si>
  <si>
    <t>Total China Card Balance</t>
  </si>
  <si>
    <t>B1 and B2</t>
  </si>
  <si>
    <t>Other Loans Repayments</t>
  </si>
  <si>
    <t>Other Loans Balances/Limits</t>
  </si>
  <si>
    <t>Total Credit Card Limits (Exc China)</t>
  </si>
  <si>
    <t>B3 and B4</t>
  </si>
  <si>
    <t>Description</t>
  </si>
  <si>
    <t>Total China Card Balances</t>
  </si>
  <si>
    <t>Total China Card Limits</t>
  </si>
  <si>
    <t>China living expenses</t>
  </si>
  <si>
    <t>7.   General Living Expenses (Monthly)</t>
  </si>
  <si>
    <t xml:space="preserve">Household 1 </t>
  </si>
  <si>
    <t>Country</t>
  </si>
  <si>
    <t xml:space="preserve">Household 2 </t>
  </si>
  <si>
    <t># of Single Adults</t>
  </si>
  <si>
    <t xml:space="preserve"># of Couple </t>
  </si>
  <si>
    <t># of Dependants</t>
  </si>
  <si>
    <t>Customer Declared Amount</t>
  </si>
  <si>
    <t>Calculator</t>
  </si>
  <si>
    <t>Other Regular Expenses</t>
  </si>
  <si>
    <t>Single</t>
  </si>
  <si>
    <t>Child Support</t>
  </si>
  <si>
    <t>Couple</t>
  </si>
  <si>
    <t xml:space="preserve">Rental </t>
  </si>
  <si>
    <t>Dependant</t>
  </si>
  <si>
    <t>China 60%</t>
  </si>
  <si>
    <t>Vietnam 60%</t>
  </si>
  <si>
    <t>Malaysia 60%</t>
  </si>
  <si>
    <t>Indonesia 60%</t>
  </si>
  <si>
    <t>South Korea 110%</t>
  </si>
  <si>
    <t xml:space="preserve">Other  </t>
  </si>
  <si>
    <t>8.   Result</t>
  </si>
  <si>
    <t>Existing Repayments</t>
  </si>
  <si>
    <t>General Living &amp; Expenses</t>
  </si>
  <si>
    <t>Servicing Ratio</t>
  </si>
  <si>
    <t>Investment Mtg</t>
  </si>
  <si>
    <t>other Loans</t>
  </si>
  <si>
    <t>Bwr 1 &amp; 2</t>
  </si>
  <si>
    <t>Debts &amp; GLEE</t>
  </si>
  <si>
    <t>Bwr 3 &amp; 4</t>
  </si>
  <si>
    <t>Funds Available</t>
  </si>
  <si>
    <t>Loan terms</t>
  </si>
  <si>
    <t>9.   Disclaimer</t>
  </si>
  <si>
    <t>Proposed Loan</t>
  </si>
  <si>
    <t>Version 15/05/2026</t>
  </si>
  <si>
    <t>Stress Rate</t>
  </si>
  <si>
    <t>Prev. Stress Rate</t>
  </si>
  <si>
    <t>C/cards</t>
  </si>
  <si>
    <t>China C/cards</t>
  </si>
  <si>
    <t>Max LVR cannot exceed 80%</t>
  </si>
  <si>
    <t>Max LVR cannot exceed 70%</t>
  </si>
  <si>
    <r>
      <t>Full Name -</t>
    </r>
    <r>
      <rPr>
        <sz val="10"/>
        <color theme="1" tint="0.34998626667073579"/>
        <rFont val="Arial"/>
        <family val="2"/>
      </rPr>
      <t xml:space="preserve"> Bwr 3</t>
    </r>
  </si>
  <si>
    <t>Country of Residency - Bwr 3</t>
  </si>
  <si>
    <t>Postcode - Bwr 3</t>
  </si>
  <si>
    <t xml:space="preserve">Bwr 3 </t>
  </si>
  <si>
    <t>Total</t>
  </si>
  <si>
    <t>Back to Main Page</t>
  </si>
  <si>
    <t>1. General Living Expenses (Monthly)</t>
  </si>
  <si>
    <t>Household 1 Status</t>
  </si>
  <si>
    <t>Household 2 Status</t>
  </si>
  <si>
    <t>Back To Main Page</t>
  </si>
  <si>
    <t>Property Utilities (eg. rates, electricity)</t>
  </si>
  <si>
    <t>Phone, Internet</t>
  </si>
  <si>
    <t>Pay TV, Media Streaming</t>
  </si>
  <si>
    <t>Food &amp; Groceries</t>
  </si>
  <si>
    <t>Recreation &amp; Entertainment (eg. Gym membership)</t>
  </si>
  <si>
    <t>Clothing &amp; Personal Care</t>
  </si>
  <si>
    <t>Medical &amp; Health</t>
  </si>
  <si>
    <t>Transport</t>
  </si>
  <si>
    <t>Education</t>
  </si>
  <si>
    <t>Childcare</t>
  </si>
  <si>
    <t>Insurance</t>
  </si>
  <si>
    <t>Investment Property Utilities (eg. rates,maintenance, insurance)</t>
  </si>
  <si>
    <t>Other (Describe  Below:)</t>
  </si>
  <si>
    <t xml:space="preserve">Monthly Total </t>
  </si>
  <si>
    <t>2. General Living Expenses (Monthly)</t>
  </si>
  <si>
    <t>Household 3 Status</t>
  </si>
  <si>
    <t>Household 4 Status</t>
  </si>
  <si>
    <t>Back To Additional Bwrs</t>
  </si>
  <si>
    <t>3.   Disclaimer</t>
  </si>
  <si>
    <t>1.  Loan Details</t>
  </si>
  <si>
    <t>Application fee:</t>
  </si>
  <si>
    <t>Valuation Fee</t>
  </si>
  <si>
    <t>Legal Fee</t>
  </si>
  <si>
    <t>Settlement Fee</t>
  </si>
  <si>
    <t>Establishment fee</t>
  </si>
  <si>
    <t>Risk Fee</t>
  </si>
  <si>
    <t>1st Year Fee</t>
  </si>
  <si>
    <t>Ongoing Fee</t>
  </si>
  <si>
    <t>Construction Fee</t>
  </si>
  <si>
    <t>Split Fee</t>
  </si>
  <si>
    <t>P&amp;I or  IO</t>
  </si>
  <si>
    <t>Year/s</t>
  </si>
  <si>
    <t>Brighten Platinum Offset</t>
  </si>
  <si>
    <t>Small Apartment (Size &lt;50sqm)</t>
  </si>
  <si>
    <t>Totals</t>
  </si>
  <si>
    <t>Fixed Rate</t>
  </si>
  <si>
    <t>2.  Fees</t>
  </si>
  <si>
    <t>Application Fee</t>
  </si>
  <si>
    <t>Ongoing Annual Fee</t>
  </si>
  <si>
    <t>Establishment Fee</t>
  </si>
  <si>
    <t>Discharge Fee</t>
  </si>
  <si>
    <t>Progress Payment Fees</t>
  </si>
  <si>
    <t xml:space="preserve">Other fees </t>
  </si>
  <si>
    <t>Total Upfront Fees</t>
  </si>
  <si>
    <t>Version 13/10/2021</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</si>
  <si>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</si>
  <si>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BHLJF!</t>
  </si>
  <si>
    <t>Exchange Rates</t>
  </si>
  <si>
    <t>Currency Name</t>
  </si>
  <si>
    <t>Rate</t>
  </si>
  <si>
    <t>Hong Kong SAR</t>
  </si>
  <si>
    <t>HKD</t>
  </si>
  <si>
    <t>IDR</t>
  </si>
  <si>
    <t>JPY</t>
  </si>
  <si>
    <t>Macau SAR</t>
  </si>
  <si>
    <t>MOP</t>
  </si>
  <si>
    <t>MYR</t>
  </si>
  <si>
    <t>SGD</t>
  </si>
  <si>
    <t>KRW</t>
  </si>
  <si>
    <t>NTD</t>
  </si>
  <si>
    <t>GBP</t>
  </si>
  <si>
    <t>VND</t>
  </si>
  <si>
    <t>Brighten Land</t>
  </si>
  <si>
    <t>Loan amount</t>
  </si>
  <si>
    <t>$150,000.00 - $1,000,000.00</t>
  </si>
  <si>
    <t>0% - 60%</t>
  </si>
  <si>
    <t>$200,000.00 - $1,500,000.00</t>
  </si>
  <si>
    <t>$50,000-$1,500,000</t>
  </si>
  <si>
    <t>0% - 65%</t>
  </si>
  <si>
    <t>60% - 65%</t>
  </si>
  <si>
    <t>65% - 70%</t>
  </si>
  <si>
    <t>70% - 75%</t>
  </si>
  <si>
    <t>75% - 80%</t>
  </si>
  <si>
    <t>Loadings</t>
  </si>
  <si>
    <t>Interest  Only (IO)</t>
  </si>
  <si>
    <t>Self Employed (SE)</t>
  </si>
  <si>
    <t>$1,000,000.00 - $1,500,000.00</t>
  </si>
  <si>
    <t>≤$2000000</t>
  </si>
  <si>
    <t>&gt; $1,500,000.00</t>
  </si>
  <si>
    <t>&gt; $2000000</t>
  </si>
  <si>
    <t>Obtain SE income:</t>
  </si>
  <si>
    <t>Base rate:</t>
  </si>
  <si>
    <t>Loan amount &gt; 1mil or 1.5mil</t>
  </si>
  <si>
    <t>Loan amount 2mil</t>
  </si>
  <si>
    <t>IO</t>
  </si>
  <si>
    <t>SE</t>
  </si>
  <si>
    <t>(+2.0%)</t>
  </si>
  <si>
    <t>Assessment Rate</t>
  </si>
  <si>
    <t>Apartment Type</t>
  </si>
  <si>
    <t>Max LVR</t>
  </si>
  <si>
    <t>Apartment or Townhouse</t>
  </si>
  <si>
    <t>MAX LM</t>
  </si>
  <si>
    <t>Apartment or Townhouse or Detached House</t>
  </si>
  <si>
    <t>House and Land</t>
  </si>
  <si>
    <t>Sydney and Melbourne Metro</t>
  </si>
  <si>
    <t>High Density</t>
  </si>
  <si>
    <t>Other Metro Cities</t>
  </si>
  <si>
    <t>Other Category 1</t>
  </si>
  <si>
    <t xml:space="preserve">Apartment/Townhouse </t>
  </si>
  <si>
    <t>High Density (postcode+ there are more than 65 units in the complex）</t>
  </si>
  <si>
    <t xml:space="preserve">Other Category 1 </t>
  </si>
  <si>
    <t>Max 65%</t>
  </si>
  <si>
    <t>Max 60% up to $500,000</t>
  </si>
  <si>
    <t>Property Type</t>
  </si>
  <si>
    <t>Please enter the estimated Value (or Purchase Price) and Postcode of your security.</t>
  </si>
  <si>
    <t>SYD AND MELB METRO</t>
  </si>
  <si>
    <t>OTHER METRO</t>
  </si>
  <si>
    <t>OTHER CATEGORY 1 LOCATIONS</t>
  </si>
  <si>
    <t>NSW</t>
  </si>
  <si>
    <t>QLD</t>
  </si>
  <si>
    <t>Purchase Price</t>
  </si>
  <si>
    <t>price</t>
  </si>
  <si>
    <t>loan size</t>
  </si>
  <si>
    <t>lvr</t>
  </si>
  <si>
    <t>Property Postcode</t>
  </si>
  <si>
    <t>Max. LVR</t>
  </si>
  <si>
    <t>Max. Loan Amount</t>
  </si>
  <si>
    <t>2.   Disclaimer</t>
  </si>
  <si>
    <t>Version 25/01/2021</t>
  </si>
  <si>
    <t>PRICE</t>
  </si>
  <si>
    <t xml:space="preserve">*Maximum LVR for Inner City High Density Apartment (I.e. there are more than 65 units in the complex) is 65%.
Maximum LVR for a house under construction is 70%.
Where multiple restrictions apply, the lowest LVR is applied as the maximum.
Minimum loan per security $150,000($200,000 for construction loan). Maximum loan per security $2,000,000. Maximum Exposure to one borrower $3,000,000.
</t>
  </si>
  <si>
    <t>MAX LVR-1</t>
  </si>
  <si>
    <t>MAX LVR-2</t>
  </si>
  <si>
    <t>MAX LVR-3</t>
  </si>
  <si>
    <t>MAX LOAN-1</t>
  </si>
  <si>
    <t>MAX LOAN-2</t>
  </si>
  <si>
    <t>MAX LOAN-3</t>
  </si>
  <si>
    <t>POSTCODE</t>
  </si>
  <si>
    <t>+IF(ISNA(VLOOKUP(G12,AH10:AH57,1,0))=TRUE,0,1)</t>
  </si>
  <si>
    <t>MAX LVR (USELESS NOW)</t>
  </si>
  <si>
    <t>MAX LOAN</t>
  </si>
  <si>
    <t>Other Cat 1</t>
  </si>
  <si>
    <t>other metro</t>
  </si>
  <si>
    <t>Metro</t>
  </si>
  <si>
    <t>VIC</t>
  </si>
  <si>
    <t>SA/WA</t>
  </si>
  <si>
    <t>ACT</t>
  </si>
  <si>
    <t>WA(Perth)</t>
  </si>
  <si>
    <t>Perth</t>
  </si>
  <si>
    <t>NT/TAS</t>
  </si>
  <si>
    <t>SA (Adelaide)</t>
  </si>
  <si>
    <t>NSW/ACT</t>
  </si>
  <si>
    <t>YEAR</t>
    <phoneticPr fontId="3" type="noConversion"/>
  </si>
  <si>
    <t>Brighten Saver</t>
    <phoneticPr fontId="3" type="noConversion"/>
  </si>
  <si>
    <t>Brighten Saver old</t>
    <phoneticPr fontId="3" type="noConversion"/>
  </si>
  <si>
    <t>Brighten Platinum (old)</t>
    <phoneticPr fontId="3" type="noConversion"/>
  </si>
  <si>
    <t>Brighten Platinum (NEW)</t>
    <phoneticPr fontId="3" type="noConversion"/>
  </si>
  <si>
    <t>Brighten Evergreen (old)</t>
    <phoneticPr fontId="3" type="noConversion"/>
  </si>
  <si>
    <t>Brighten Evergreen (NEW)</t>
    <phoneticPr fontId="3" type="noConversion"/>
  </si>
  <si>
    <t>Brighten Evergreen (STAR)</t>
    <phoneticPr fontId="3" type="noConversion"/>
  </si>
  <si>
    <t>Brighten Builder (old)</t>
    <phoneticPr fontId="3" type="noConversion"/>
  </si>
  <si>
    <t>Brighten Builder (NEW)</t>
    <phoneticPr fontId="3" type="noConversion"/>
  </si>
  <si>
    <t>BC Signature</t>
  </si>
  <si>
    <t>BC Ultimate</t>
  </si>
  <si>
    <t>AAA</t>
  </si>
  <si>
    <t>BC Freedom</t>
    <phoneticPr fontId="3" type="noConversion"/>
  </si>
  <si>
    <t>Month</t>
  </si>
  <si>
    <t>Year</t>
  </si>
  <si>
    <t>Principal</t>
  </si>
  <si>
    <t>Interest</t>
  </si>
  <si>
    <t>Loan outstanding (O/S)</t>
  </si>
  <si>
    <t>COMPUTATION</t>
  </si>
  <si>
    <t>FORMULAS</t>
  </si>
  <si>
    <t>BORRROWER 2 TAB</t>
  </si>
  <si>
    <t>Domestic calculator</t>
  </si>
  <si>
    <t>IO Term</t>
  </si>
  <si>
    <t>Brighten Boss</t>
  </si>
  <si>
    <t>Brighten Boss Prime</t>
  </si>
  <si>
    <t>bwr3 offshore_sum</t>
  </si>
  <si>
    <t>Brighten Power Plus</t>
  </si>
  <si>
    <t>bw4 offshore_sum</t>
  </si>
  <si>
    <t xml:space="preserve">Brighten Power </t>
  </si>
  <si>
    <t>No Fixed</t>
  </si>
  <si>
    <t>Total debts</t>
  </si>
  <si>
    <t>All Products - Select loan scenario here</t>
  </si>
  <si>
    <t>Brighten New Products - Change Interest Rate(s) and Loading(s) here</t>
  </si>
  <si>
    <t>Loan Details</t>
  </si>
  <si>
    <t>EVER GREEN</t>
    <phoneticPr fontId="3" type="noConversion"/>
  </si>
  <si>
    <t>PLATINUM</t>
    <phoneticPr fontId="3" type="noConversion"/>
  </si>
  <si>
    <t>SAVER</t>
    <phoneticPr fontId="3" type="noConversion"/>
  </si>
  <si>
    <t>EASY BUILDER</t>
    <phoneticPr fontId="3" type="noConversion"/>
  </si>
  <si>
    <t>Non Resi</t>
  </si>
  <si>
    <t>LVR</t>
    <phoneticPr fontId="3" type="noConversion"/>
  </si>
  <si>
    <t>Self-Employed</t>
  </si>
  <si>
    <t>Small Apartment (&lt;50 sqm)</t>
  </si>
  <si>
    <t>Valuation / Security Price</t>
  </si>
  <si>
    <t>Loading</t>
    <phoneticPr fontId="3" type="noConversion"/>
  </si>
  <si>
    <t>Principal &amp; Interest / Interest Only</t>
  </si>
  <si>
    <t>EVERGREEN STAR</t>
    <phoneticPr fontId="3" type="noConversion"/>
  </si>
  <si>
    <t>IO</t>
    <phoneticPr fontId="3" type="noConversion"/>
  </si>
  <si>
    <r>
      <t xml:space="preserve">If IO, IO Terms </t>
    </r>
    <r>
      <rPr>
        <b/>
        <sz val="10"/>
        <color rgb="FFFF0000"/>
        <rFont val="Calibri"/>
        <family val="2"/>
        <scheme val="minor"/>
      </rPr>
      <t>(P&amp;I loans must select '0')</t>
    </r>
  </si>
  <si>
    <t>PAYG/P&amp;I</t>
    <phoneticPr fontId="3" type="noConversion"/>
  </si>
  <si>
    <t>SE</t>
    <phoneticPr fontId="3" type="noConversion"/>
  </si>
  <si>
    <t>Terms of Loan (year)</t>
  </si>
  <si>
    <t>Small Apt</t>
    <phoneticPr fontId="3" type="noConversion"/>
  </si>
  <si>
    <t>Small Apt (Risk Fee)</t>
  </si>
  <si>
    <t>Product Comparison (internal)</t>
    <phoneticPr fontId="3" type="noConversion"/>
  </si>
  <si>
    <t>Fees &amp; Charges</t>
  </si>
  <si>
    <t xml:space="preserve">Brighten Saver </t>
  </si>
  <si>
    <t>Brighten Saver - New</t>
  </si>
  <si>
    <t xml:space="preserve">Brighten Platinum - New </t>
  </si>
  <si>
    <t>Evergreen</t>
    <phoneticPr fontId="3" type="noConversion"/>
  </si>
  <si>
    <t>Evergreen - NEW</t>
    <phoneticPr fontId="3" type="noConversion"/>
  </si>
  <si>
    <t>Evergreen - Star</t>
  </si>
  <si>
    <t xml:space="preserve">Easy Builder </t>
    <phoneticPr fontId="3" type="noConversion"/>
  </si>
  <si>
    <t>Easy Builder - NEW</t>
    <phoneticPr fontId="3" type="noConversion"/>
  </si>
  <si>
    <t>@</t>
  </si>
  <si>
    <t>1st yr - Incl. Star Package Fee $990+396+499</t>
  </si>
  <si>
    <t>Total Fees (to Lender)</t>
  </si>
  <si>
    <t>Repayment Sum 1st</t>
  </si>
  <si>
    <t>Repayment Sum 2nd</t>
    <phoneticPr fontId="3" type="noConversion"/>
  </si>
  <si>
    <t>Repayment Sum 3rd</t>
    <phoneticPr fontId="3" type="noConversion"/>
  </si>
  <si>
    <t>Repayment Sum 4th</t>
    <phoneticPr fontId="3" type="noConversion"/>
  </si>
  <si>
    <t>Product Comparison (competitor)</t>
    <phoneticPr fontId="3" type="noConversion"/>
  </si>
  <si>
    <t xml:space="preserve">BC Ultimate </t>
  </si>
  <si>
    <t>Brighten Evergreen - NEW</t>
  </si>
  <si>
    <t>AAA  - Ironfish</t>
    <phoneticPr fontId="10" type="noConversion"/>
  </si>
  <si>
    <t>AAA - VC</t>
    <phoneticPr fontId="10" type="noConversion"/>
  </si>
  <si>
    <t>AAA - Prime</t>
    <phoneticPr fontId="10" type="noConversion"/>
  </si>
  <si>
    <t>BC Freedom</t>
  </si>
  <si>
    <t>Brighten Easy Builder</t>
    <phoneticPr fontId="3" type="noConversion"/>
  </si>
  <si>
    <t>1%(Construction 1.25%)</t>
  </si>
  <si>
    <t>Alt Doc Fee</t>
    <phoneticPr fontId="3" type="noConversion"/>
  </si>
  <si>
    <t>Broker Fee 1</t>
  </si>
  <si>
    <t>Service fee</t>
  </si>
  <si>
    <t>Doc fee</t>
  </si>
  <si>
    <t>Service Fee</t>
  </si>
  <si>
    <t>Broker Fee 2</t>
  </si>
  <si>
    <t>Apporval Fee</t>
  </si>
  <si>
    <t>App Fee</t>
  </si>
  <si>
    <t>Total Fees (Client pays)</t>
  </si>
  <si>
    <t>Repayment  Sum 1st</t>
    <phoneticPr fontId="3" type="noConversion"/>
  </si>
  <si>
    <t>Brighten Saver NEW</t>
    <phoneticPr fontId="3" type="noConversion"/>
  </si>
  <si>
    <t>Brighten Saver Old</t>
    <phoneticPr fontId="3" type="noConversion"/>
  </si>
  <si>
    <t>Rate</t>
    <phoneticPr fontId="3" type="noConversion"/>
  </si>
  <si>
    <t>Small Apartment</t>
  </si>
  <si>
    <t>Final Rate</t>
  </si>
  <si>
    <t>Brighten Evergreen NEW</t>
    <phoneticPr fontId="3" type="noConversion"/>
  </si>
  <si>
    <t>Evergreen Old</t>
  </si>
  <si>
    <t>250000&lt;=</t>
  </si>
  <si>
    <t>&lt;=20000000</t>
  </si>
  <si>
    <t>0.5% loading</t>
  </si>
  <si>
    <t>Rate (Small apartment)</t>
  </si>
  <si>
    <t>Loan Amount Loading</t>
  </si>
  <si>
    <t>Easy Builder</t>
    <phoneticPr fontId="9" type="noConversion"/>
  </si>
  <si>
    <t>Easy Builder NEW</t>
    <phoneticPr fontId="9" type="noConversion"/>
  </si>
  <si>
    <t>Self Employed Loading</t>
    <phoneticPr fontId="9" type="noConversion"/>
  </si>
  <si>
    <t>AAA</t>
    <phoneticPr fontId="9" type="noConversion"/>
  </si>
  <si>
    <t>AAA - Builder</t>
  </si>
  <si>
    <t>Loan Details  |  贷款信息</t>
  </si>
  <si>
    <t>Loan Product  |  贷款产品</t>
  </si>
  <si>
    <t>Apartment/Townhouse/House</t>
  </si>
  <si>
    <t xml:space="preserve">Self-Employed?  |  自雇人士? </t>
  </si>
  <si>
    <t xml:space="preserve">Apartment &lt;50sqm?  |  公寓&lt;50平方米? </t>
  </si>
  <si>
    <t>Loan Amount  |  贷款金额</t>
  </si>
  <si>
    <t>Valuation / Security Price  |  房价</t>
  </si>
  <si>
    <t>LVR  |  借款比例</t>
  </si>
  <si>
    <t>P&amp;I or IO  |  本金和利息或仅供利息还款</t>
  </si>
  <si>
    <t>If IO, IO Terms  |  仅供利息还款年期</t>
  </si>
  <si>
    <t>Terms of Loan (year)  |  贷款年期</t>
  </si>
  <si>
    <t>1. 首年优惠型</t>
  </si>
  <si>
    <t>2. 超低费型</t>
  </si>
  <si>
    <t>3. 低持续利率型</t>
  </si>
  <si>
    <t>4. 星级套餐(限时优惠)</t>
  </si>
  <si>
    <t>5. 买地建房(建筑贷款)</t>
  </si>
  <si>
    <t>Fees &amp; Charges   |   费用</t>
  </si>
  <si>
    <t xml:space="preserve">Brighten Platinum </t>
  </si>
  <si>
    <t>Evergreen Star Package</t>
  </si>
  <si>
    <r>
      <t>Brighten Easy Builder</t>
    </r>
    <r>
      <rPr>
        <b/>
        <sz val="10"/>
        <color theme="0"/>
        <rFont val="Calibri"/>
        <family val="2"/>
      </rPr>
      <t>®</t>
    </r>
  </si>
  <si>
    <t>Application Fee   |   申请费</t>
  </si>
  <si>
    <t>Valuation Fee   |   估值费</t>
  </si>
  <si>
    <t>Legal Fee   |   律师费</t>
  </si>
  <si>
    <t>Settlement Fee   |   成交费</t>
  </si>
  <si>
    <t>Establishment fee   |   设立费</t>
  </si>
  <si>
    <t>Risk Fee   |   风险费</t>
  </si>
  <si>
    <t>Account Fee (p.a.)   |   账户年费</t>
  </si>
  <si>
    <t>Star Package Annual Fee   |   星级套餐年费</t>
  </si>
  <si>
    <t xml:space="preserve">Total Fees   |   总费用 </t>
  </si>
  <si>
    <t>Total Repayments   |   总还款额</t>
  </si>
  <si>
    <t>Progress Payment Fee</t>
  </si>
  <si>
    <t>1st Year   |   第1年</t>
  </si>
  <si>
    <t>2nd Year   |   第2年</t>
  </si>
  <si>
    <t>3rd Year   |   第3年</t>
  </si>
  <si>
    <t>4th Year   |   第4年</t>
  </si>
  <si>
    <t>If IO, IO Terms</t>
  </si>
  <si>
    <t>Saver</t>
    <phoneticPr fontId="3" type="noConversion"/>
  </si>
  <si>
    <t>Saver OLD</t>
    <phoneticPr fontId="3" type="noConversion"/>
  </si>
  <si>
    <t>Year 1</t>
    <phoneticPr fontId="3" type="noConversion"/>
  </si>
  <si>
    <t>Year 2</t>
    <phoneticPr fontId="3" type="noConversion"/>
  </si>
  <si>
    <t>Year 3</t>
    <phoneticPr fontId="3" type="noConversion"/>
  </si>
  <si>
    <t>Year 4</t>
    <phoneticPr fontId="3" type="noConversion"/>
  </si>
  <si>
    <t>Year 5</t>
    <phoneticPr fontId="3" type="noConversion"/>
  </si>
  <si>
    <t>Platinum</t>
    <phoneticPr fontId="3" type="noConversion"/>
  </si>
  <si>
    <t>Platinum</t>
    <phoneticPr fontId="9" type="noConversion"/>
  </si>
  <si>
    <t>Platinum NEW</t>
    <phoneticPr fontId="9" type="noConversion"/>
  </si>
  <si>
    <t>self-employed</t>
  </si>
  <si>
    <t>small apt</t>
    <phoneticPr fontId="9" type="noConversion"/>
  </si>
  <si>
    <t>Evergreen 2.0</t>
  </si>
  <si>
    <t>Evergreen NEW</t>
    <phoneticPr fontId="3" type="noConversion"/>
  </si>
  <si>
    <t>Builder OLD</t>
    <phoneticPr fontId="3" type="noConversion"/>
  </si>
  <si>
    <t>Builder NEW</t>
  </si>
  <si>
    <t>BC FREEDOM</t>
    <phoneticPr fontId="3" type="noConversion"/>
  </si>
  <si>
    <t>Platinum</t>
    <phoneticPr fontId="17" type="noConversion"/>
  </si>
  <si>
    <t>Platinum NEW</t>
    <phoneticPr fontId="17" type="noConversion"/>
  </si>
  <si>
    <t>small apt</t>
    <phoneticPr fontId="17" type="noConversion"/>
  </si>
  <si>
    <t>Fixed rate</t>
  </si>
  <si>
    <t>Loan</t>
  </si>
  <si>
    <t>N</t>
  </si>
  <si>
    <t>Fixed month Repayment:</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</si>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</sst>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quot;#,##0.00;\-&quot;$&quot;#,##0.00"/>
    <numFmt numFmtId="8" formatCode="&quot;$&quot;#,##0.00;[Red]\-&quot;$&quot;#,##0.00"/>
    <numFmt numFmtId="44" formatCode="_-&quot;$&quot;* #,##0.00_-;\-&quot;$&quot;* #,##0.00_-;_-&quot;$&quot;* &quot;-&quot;??_-;_-@_-"/>
    <numFmt numFmtId="164" formatCode="&quot;$&quot;#,##0_);[Red]\(&quot;$&quot;#,##0\)"/>
    <numFmt numFmtId="165" formatCode="&quot;$&quot;#,##0"/>
    <numFmt numFmtId="166" formatCode="0.0000"/>
    <numFmt numFmtId="167" formatCode="_-&quot;$&quot;* #,##0_-;\-&quot;$&quot;* #,##0_-;_-&quot;$&quot;* &quot;-&quot;??_-;_-@_-"/>
    <numFmt numFmtId="168" formatCode="_(&quot;¥&quot;* #,##0.00_);_(&quot;¥&quot;* \(#,##0.00\);_(&quot;¥&quot;* &quot;-&quot;??_);_(@_)"/>
    <numFmt numFmtId="169" formatCode="\$#,##0.00_);\(\$#,##0.00\)"/>
    <numFmt numFmtId="170" formatCode="\$#,##0.00"/>
    <numFmt numFmtId="171" formatCode="0.000%"/>
    <numFmt numFmtId="172" formatCode="&quot;$&quot;#,##0.00"/>
    <numFmt numFmtId="173" formatCode="_([$$-409]* #,##0.00_);_([$$-409]* \(#,##0.00\);_([$$-409]* &quot;-&quot;??_);_(@_)"/>
    <numFmt numFmtId="174" formatCode="_(\$* #,##0.00_);_(\$* \(#,##0.00\);_(\$* &quot;-&quot;??_);_(@_)"/>
    <numFmt numFmtId="175" formatCode="0_ "/>
    <numFmt numFmtId="176" formatCode=";;;"/>
    <numFmt numFmtId="177" formatCode="0.000000000%"/>
  </numFmts>
  <fonts count="135">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b/>
      <u/>
      <sz val="11"/>
      <color theme="1"/>
      <name val="Calibri"/>
      <family val="2"/>
      <scheme val="minor"/>
    </font>
    <font>
      <sz val="10"/>
      <name val="Arial"/>
      <family val="2"/>
    </font>
    <font>
      <b/>
      <sz val="11"/>
      <color theme="0"/>
      <name val="Calibri"/>
      <family val="2"/>
      <scheme val="minor"/>
    </font>
    <font>
      <sz val="11"/>
      <color theme="0"/>
      <name val="Calibri"/>
      <family val="2"/>
      <scheme val="minor"/>
    </font>
    <font>
      <b/>
      <sz val="11"/>
      <color theme="1"/>
      <name val="Times New Roman"/>
      <family val="1"/>
    </font>
    <font>
      <sz val="10"/>
      <color theme="1"/>
      <name val="Open Sans"/>
      <family val="2"/>
    </font>
    <font>
      <sz val="10"/>
      <color theme="0" tint="-0.499984740745262"/>
      <name val="Calibri"/>
      <family val="2"/>
      <scheme val="minor"/>
    </font>
    <font>
      <sz val="10"/>
      <color theme="1"/>
      <name val="Calibri"/>
      <family val="2"/>
      <scheme val="minor"/>
    </font>
    <font>
      <sz val="10"/>
      <color theme="0"/>
      <name val="Open Sans"/>
      <family val="2"/>
    </font>
    <font>
      <sz val="24"/>
      <color rgb="FF87B448"/>
      <name val="Open Sans"/>
      <family val="2"/>
    </font>
    <font>
      <sz val="11"/>
      <color theme="1"/>
      <name val="Open Sans"/>
      <family val="2"/>
    </font>
    <font>
      <b/>
      <sz val="11"/>
      <color theme="0"/>
      <name val="Open Sans"/>
      <family val="2"/>
    </font>
    <font>
      <b/>
      <sz val="11"/>
      <color rgb="FF87B348"/>
      <name val="Open Sans"/>
      <family val="2"/>
    </font>
    <font>
      <b/>
      <sz val="10"/>
      <color theme="1" tint="0.34998626667073579"/>
      <name val="Open Sans"/>
      <family val="2"/>
    </font>
    <font>
      <sz val="10"/>
      <color theme="1" tint="0.34998626667073579"/>
      <name val="Open Sans"/>
      <family val="2"/>
    </font>
    <font>
      <sz val="10"/>
      <color theme="1" tint="0.34998626667073579"/>
      <name val="Calibri"/>
      <family val="2"/>
      <scheme val="minor"/>
    </font>
    <font>
      <b/>
      <sz val="11"/>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1"/>
      <color rgb="FFFF0000"/>
      <name val="Calibri"/>
      <family val="2"/>
      <scheme val="minor"/>
    </font>
    <font>
      <b/>
      <u val="singleAccounting"/>
      <sz val="11"/>
      <color theme="1"/>
      <name val="Calibri"/>
      <family val="2"/>
      <scheme val="minor"/>
    </font>
    <font>
      <sz val="11"/>
      <name val="Calibri"/>
      <family val="2"/>
      <scheme val="minor"/>
    </font>
    <font>
      <sz val="12"/>
      <color theme="1"/>
      <name val="Calibri"/>
      <family val="2"/>
      <charset val="134"/>
      <scheme val="minor"/>
    </font>
    <font>
      <b/>
      <sz val="12"/>
      <color rgb="FFFF0000"/>
      <name val="Calibri"/>
      <family val="2"/>
      <scheme val="minor"/>
    </font>
    <font>
      <b/>
      <sz val="16"/>
      <color theme="1"/>
      <name val="Calibri"/>
      <family val="4"/>
      <charset val="134"/>
      <scheme val="minor"/>
    </font>
    <font>
      <b/>
      <sz val="12"/>
      <color theme="1"/>
      <name val="Calibri"/>
      <family val="2"/>
      <scheme val="minor"/>
    </font>
    <font>
      <sz val="12"/>
      <color theme="1"/>
      <name val="Calibri"/>
      <family val="2"/>
      <scheme val="minor"/>
    </font>
    <font>
      <b/>
      <sz val="10"/>
      <color theme="1"/>
      <name val="Calibri"/>
      <family val="2"/>
      <scheme val="minor"/>
    </font>
    <font>
      <b/>
      <sz val="10"/>
      <color rgb="FFFF0000"/>
      <name val="Calibri"/>
      <family val="2"/>
      <scheme val="minor"/>
    </font>
    <font>
      <b/>
      <sz val="16"/>
      <color theme="1"/>
      <name val="Calibri"/>
      <family val="2"/>
      <scheme val="minor"/>
    </font>
    <font>
      <b/>
      <sz val="8"/>
      <color theme="1"/>
      <name val="Calibri"/>
      <family val="4"/>
      <charset val="134"/>
      <scheme val="minor"/>
    </font>
    <font>
      <sz val="8"/>
      <color theme="1"/>
      <name val="Calibri"/>
      <family val="4"/>
      <charset val="134"/>
      <scheme val="minor"/>
    </font>
    <font>
      <b/>
      <sz val="9"/>
      <color theme="1"/>
      <name val="Calibri"/>
      <family val="2"/>
      <scheme val="minor"/>
    </font>
    <font>
      <sz val="9"/>
      <color theme="1"/>
      <name val="Calibri"/>
      <family val="2"/>
      <scheme val="minor"/>
    </font>
    <font>
      <sz val="9"/>
      <color rgb="FFFF0000"/>
      <name val="Calibri"/>
      <family val="2"/>
      <scheme val="minor"/>
    </font>
    <font>
      <sz val="8"/>
      <color theme="1"/>
      <name val="Calibri"/>
      <family val="2"/>
      <scheme val="minor"/>
    </font>
    <font>
      <b/>
      <sz val="12"/>
      <color theme="1"/>
      <name val="Calibri"/>
      <family val="4"/>
      <charset val="134"/>
      <scheme val="minor"/>
    </font>
    <font>
      <b/>
      <sz val="10"/>
      <color theme="0"/>
      <name val="Calibri"/>
      <family val="2"/>
      <scheme val="minor"/>
    </font>
    <font>
      <b/>
      <sz val="10"/>
      <name val="Calibri"/>
      <family val="2"/>
      <scheme val="minor"/>
    </font>
    <font>
      <b/>
      <sz val="8"/>
      <color theme="1"/>
      <name val="Calibri"/>
      <family val="2"/>
      <scheme val="minor"/>
    </font>
    <font>
      <b/>
      <sz val="8"/>
      <name val="Calibri"/>
      <family val="2"/>
      <scheme val="minor"/>
    </font>
    <font>
      <b/>
      <sz val="8"/>
      <color rgb="FF7030A0"/>
      <name val="Calibri"/>
      <family val="2"/>
      <scheme val="minor"/>
    </font>
    <font>
      <b/>
      <sz val="6"/>
      <color rgb="FFFF0000"/>
      <name val="Calibri"/>
      <family val="2"/>
      <scheme val="minor"/>
    </font>
    <font>
      <b/>
      <sz val="8"/>
      <color rgb="FFFF0000"/>
      <name val="Calibri"/>
      <family val="2"/>
      <scheme val="minor"/>
    </font>
    <font>
      <b/>
      <sz val="8"/>
      <color theme="0"/>
      <name val="Calibri"/>
      <family val="2"/>
      <scheme val="minor"/>
    </font>
    <font>
      <b/>
      <sz val="8"/>
      <color rgb="FFC00000"/>
      <name val="Calibri"/>
      <family val="2"/>
      <scheme val="minor"/>
    </font>
    <font>
      <b/>
      <sz val="10"/>
      <color theme="0"/>
      <name val="Calibri"/>
      <family val="4"/>
      <charset val="134"/>
      <scheme val="minor"/>
    </font>
    <font>
      <b/>
      <sz val="8"/>
      <color theme="0"/>
      <name val="Calibri"/>
      <family val="4"/>
      <charset val="134"/>
      <scheme val="minor"/>
    </font>
    <font>
      <sz val="11"/>
      <color rgb="FF000000"/>
      <name val="Calibri"/>
      <family val="4"/>
      <charset val="134"/>
      <scheme val="minor"/>
    </font>
    <font>
      <b/>
      <sz val="11"/>
      <color rgb="FFFF0000"/>
      <name val="Calibri"/>
      <family val="4"/>
      <charset val="134"/>
      <scheme val="minor"/>
    </font>
    <font>
      <sz val="11"/>
      <color rgb="FFFFFFFF"/>
      <name val="Calibri"/>
      <family val="4"/>
      <charset val="134"/>
      <scheme val="minor"/>
    </font>
    <font>
      <sz val="11"/>
      <color rgb="FFFF0000"/>
      <name val="Calibri"/>
      <family val="4"/>
      <charset val="134"/>
      <scheme val="minor"/>
    </font>
    <font>
      <u val="singleAccounting"/>
      <sz val="11"/>
      <color rgb="FF000000"/>
      <name val="Calibri"/>
      <family val="4"/>
      <charset val="134"/>
      <scheme val="minor"/>
    </font>
    <font>
      <b/>
      <sz val="22"/>
      <color theme="1"/>
      <name val="Calibri"/>
      <family val="2"/>
      <scheme val="minor"/>
    </font>
    <font>
      <sz val="12"/>
      <color rgb="FFFF0000"/>
      <name val="Calibri"/>
      <family val="2"/>
      <scheme val="minor"/>
    </font>
    <font>
      <sz val="12"/>
      <color rgb="FFFF0000"/>
      <name val="Calibri"/>
      <family val="2"/>
      <charset val="134"/>
      <scheme val="minor"/>
    </font>
    <font>
      <b/>
      <sz val="11"/>
      <color rgb="FF000000"/>
      <name val="Calibri"/>
      <family val="4"/>
      <charset val="134"/>
      <scheme val="minor"/>
    </font>
    <font>
      <sz val="11"/>
      <color theme="0"/>
      <name val="Calibri"/>
      <family val="4"/>
      <charset val="134"/>
      <scheme val="minor"/>
    </font>
    <font>
      <sz val="36"/>
      <color rgb="FF87B448"/>
      <name val="Open Sans"/>
      <family val="2"/>
    </font>
    <font>
      <b/>
      <sz val="11"/>
      <color theme="0" tint="-0.499984740745262"/>
      <name val="Open Sans"/>
      <family val="2"/>
    </font>
    <font>
      <b/>
      <sz val="11"/>
      <color theme="1"/>
      <name val="Open Sans"/>
      <family val="2"/>
    </font>
    <font>
      <b/>
      <sz val="11"/>
      <color rgb="FFFF0000"/>
      <name val="Open Sans"/>
      <family val="2"/>
    </font>
    <font>
      <sz val="11"/>
      <color rgb="FF595959"/>
      <name val="Open Sans"/>
      <family val="2"/>
    </font>
    <font>
      <b/>
      <sz val="11"/>
      <color rgb="FF595959"/>
      <name val="Open Sans"/>
      <family val="2"/>
    </font>
    <font>
      <sz val="10"/>
      <color rgb="FF595959"/>
      <name val="Open Sans"/>
      <family val="2"/>
    </font>
    <font>
      <b/>
      <sz val="22"/>
      <color rgb="FF87B448"/>
      <name val="Open Sans"/>
      <family val="2"/>
    </font>
    <font>
      <b/>
      <i/>
      <sz val="11"/>
      <color rgb="FFFF0000"/>
      <name val="Open Sans"/>
      <family val="2"/>
    </font>
    <font>
      <sz val="12"/>
      <color theme="1" tint="0.249977111117893"/>
      <name val="Open Sans"/>
      <family val="2"/>
    </font>
    <font>
      <sz val="12"/>
      <color theme="0"/>
      <name val="Open Sans"/>
      <family val="2"/>
    </font>
    <font>
      <b/>
      <sz val="12"/>
      <color theme="0"/>
      <name val="Open Sans"/>
      <family val="2"/>
    </font>
    <font>
      <b/>
      <sz val="16"/>
      <color theme="0"/>
      <name val="Open Sans"/>
      <family val="2"/>
    </font>
    <font>
      <sz val="10"/>
      <color theme="1" tint="0.249977111117893"/>
      <name val="Open Sans"/>
      <family val="2"/>
    </font>
    <font>
      <b/>
      <sz val="10"/>
      <color theme="1" tint="0.249977111117893"/>
      <name val="Open Sans"/>
      <family val="2"/>
    </font>
    <font>
      <b/>
      <sz val="16"/>
      <color theme="1" tint="0.249977111117893"/>
      <name val="Open Sans"/>
      <family val="2"/>
    </font>
    <font>
      <sz val="11"/>
      <color theme="1" tint="0.249977111117893"/>
      <name val="Open Sans"/>
      <family val="2"/>
    </font>
    <font>
      <b/>
      <sz val="10"/>
      <color theme="0"/>
      <name val="Calibri"/>
      <family val="2"/>
    </font>
    <font>
      <i/>
      <sz val="8"/>
      <color theme="1" tint="0.249977111117893"/>
      <name val="Open Sans"/>
      <family val="2"/>
    </font>
    <font>
      <i/>
      <sz val="10"/>
      <color theme="1" tint="0.249977111117893"/>
      <name val="Open Sans"/>
      <family val="2"/>
    </font>
    <font>
      <i/>
      <sz val="6"/>
      <color theme="1" tint="0.249977111117893"/>
      <name val="Open Sans"/>
      <family val="2"/>
    </font>
    <font>
      <b/>
      <sz val="8"/>
      <color theme="1" tint="0.249977111117893"/>
      <name val="Open Sans"/>
      <family val="2"/>
    </font>
    <font>
      <i/>
      <sz val="10"/>
      <color theme="0" tint="-4.9989318521683403E-2"/>
      <name val="Open Sans"/>
      <family val="2"/>
    </font>
    <font>
      <sz val="10"/>
      <color theme="0" tint="-4.9989318521683403E-2"/>
      <name val="Open Sans"/>
      <family val="2"/>
    </font>
    <font>
      <sz val="10"/>
      <color theme="0" tint="-4.9989318521683403E-2"/>
      <name val="Calibri"/>
      <family val="2"/>
      <scheme val="minor"/>
    </font>
    <font>
      <b/>
      <sz val="12"/>
      <color theme="1" tint="0.34998626667073579"/>
      <name val="Open Sans"/>
      <family val="2"/>
    </font>
    <font>
      <sz val="12"/>
      <color theme="1" tint="0.34998626667073579"/>
      <name val="Open Sans"/>
      <family val="2"/>
    </font>
    <font>
      <b/>
      <sz val="8"/>
      <color theme="1" tint="0.34998626667073579"/>
      <name val="Open Sans"/>
      <family val="2"/>
    </font>
    <font>
      <sz val="8"/>
      <color theme="1" tint="0.34998626667073579"/>
      <name val="Open Sans"/>
      <family val="2"/>
    </font>
    <font>
      <b/>
      <sz val="9"/>
      <color theme="1" tint="0.34998626667073579"/>
      <name val="Open Sans"/>
      <family val="2"/>
    </font>
    <font>
      <sz val="9"/>
      <color theme="1" tint="0.34998626667073579"/>
      <name val="Open Sans"/>
      <family val="2"/>
    </font>
    <font>
      <sz val="12"/>
      <color theme="0"/>
      <name val="Calibri"/>
      <family val="2"/>
      <charset val="134"/>
      <scheme val="minor"/>
    </font>
    <font>
      <i/>
      <sz val="8"/>
      <color theme="1"/>
      <name val="Open Sans"/>
      <family val="2"/>
    </font>
    <font>
      <b/>
      <sz val="16"/>
      <color theme="1"/>
      <name val="Arial"/>
      <family val="2"/>
    </font>
    <font>
      <b/>
      <sz val="11"/>
      <color rgb="FF00B050"/>
      <name val="Calibri"/>
      <family val="2"/>
      <scheme val="minor"/>
    </font>
    <font>
      <b/>
      <sz val="11"/>
      <color rgb="FFFF0000"/>
      <name val="Calibri"/>
      <family val="2"/>
      <scheme val="minor"/>
    </font>
    <font>
      <sz val="9"/>
      <color rgb="FFFF3300"/>
      <name val="Calibri"/>
      <family val="2"/>
      <scheme val="minor"/>
    </font>
    <font>
      <sz val="11"/>
      <color rgb="FF000000"/>
      <name val="Calibri"/>
      <family val="2"/>
    </font>
    <font>
      <sz val="10"/>
      <color rgb="FFFF0000"/>
      <name val="Open Sans"/>
      <family val="2"/>
    </font>
    <font>
      <b/>
      <sz val="11"/>
      <color theme="1" tint="0.249977111117893"/>
      <name val="Calibri"/>
      <family val="2"/>
      <scheme val="minor"/>
    </font>
    <font>
      <b/>
      <sz val="11"/>
      <color rgb="FF002060"/>
      <name val="Calibri"/>
      <family val="2"/>
      <scheme val="minor"/>
    </font>
    <font>
      <sz val="11"/>
      <color theme="2" tint="-0.499984740745262"/>
      <name val="Calibri"/>
      <family val="2"/>
      <scheme val="minor"/>
    </font>
    <font>
      <b/>
      <sz val="11"/>
      <color theme="0"/>
      <name val="Arial"/>
      <family val="2"/>
    </font>
    <font>
      <b/>
      <sz val="11"/>
      <color rgb="FF87B348"/>
      <name val="Arial"/>
      <family val="2"/>
    </font>
    <font>
      <b/>
      <sz val="11"/>
      <color theme="0" tint="-0.499984740745262"/>
      <name val="Arial"/>
      <family val="2"/>
    </font>
    <font>
      <b/>
      <sz val="10"/>
      <color theme="1" tint="0.34998626667073579"/>
      <name val="Arial"/>
      <family val="2"/>
    </font>
    <font>
      <sz val="10"/>
      <color theme="1" tint="0.34998626667073579"/>
      <name val="Arial"/>
      <family val="2"/>
    </font>
    <font>
      <sz val="10"/>
      <color theme="0" tint="-0.499984740745262"/>
      <name val="Arial"/>
      <family val="2"/>
    </font>
    <font>
      <sz val="10"/>
      <color theme="0"/>
      <name val="Arial"/>
      <family val="2"/>
    </font>
    <font>
      <sz val="10"/>
      <color rgb="FFE4EEDA"/>
      <name val="Arial"/>
      <family val="2"/>
    </font>
    <font>
      <sz val="9"/>
      <color rgb="FFE4EEDA"/>
      <name val="Arial"/>
      <family val="2"/>
    </font>
    <font>
      <b/>
      <sz val="11"/>
      <color theme="1" tint="0.34998626667073579"/>
      <name val="Arial"/>
      <family val="2"/>
    </font>
    <font>
      <sz val="10"/>
      <color rgb="FFFF0000"/>
      <name val="Arial"/>
      <family val="2"/>
    </font>
    <font>
      <sz val="11"/>
      <color theme="1"/>
      <name val="Arial"/>
      <family val="2"/>
    </font>
    <font>
      <b/>
      <sz val="10"/>
      <color theme="0" tint="-0.499984740745262"/>
      <name val="Arial"/>
      <family val="2"/>
    </font>
    <font>
      <i/>
      <sz val="10"/>
      <color theme="1" tint="0.34998626667073579"/>
      <name val="Arial"/>
      <family val="2"/>
    </font>
    <font>
      <b/>
      <sz val="10"/>
      <color theme="0"/>
      <name val="Arial"/>
      <family val="2"/>
    </font>
    <font>
      <sz val="10"/>
      <color theme="1"/>
      <name val="Arial"/>
      <family val="2"/>
    </font>
    <font>
      <sz val="10"/>
      <color rgb="FFD0CECE"/>
      <name val="Arial"/>
      <family val="2"/>
    </font>
    <font>
      <b/>
      <u/>
      <sz val="11"/>
      <color theme="0"/>
      <name val="Arial"/>
      <family val="2"/>
    </font>
    <font>
      <b/>
      <u/>
      <sz val="10"/>
      <color theme="1"/>
      <name val="Arial"/>
      <family val="2"/>
    </font>
    <font>
      <b/>
      <u/>
      <sz val="10"/>
      <color rgb="FF595959"/>
      <name val="Arial"/>
      <family val="2"/>
    </font>
    <font>
      <i/>
      <sz val="10"/>
      <color theme="0" tint="-4.9989318521683403E-2"/>
      <name val="Arial"/>
      <family val="2"/>
    </font>
    <font>
      <sz val="10"/>
      <color theme="0" tint="-4.9989318521683403E-2"/>
      <name val="Arial"/>
      <family val="2"/>
    </font>
    <font>
      <b/>
      <u/>
      <sz val="16"/>
      <color theme="0"/>
      <name val="Arial"/>
      <family val="2"/>
    </font>
    <font>
      <b/>
      <sz val="11"/>
      <color rgb="FF595959"/>
      <name val="Arial"/>
      <family val="2"/>
    </font>
    <font>
      <b/>
      <sz val="11"/>
      <color theme="1"/>
      <name val="Arial"/>
      <family val="2"/>
    </font>
    <font>
      <sz val="11"/>
      <color rgb="FF595959"/>
      <name val="Arial"/>
      <family val="2"/>
    </font>
    <font>
      <b/>
      <u/>
      <sz val="11"/>
      <color rgb="FF595959"/>
      <name val="Arial"/>
      <family val="2"/>
    </font>
    <font>
      <b/>
      <i/>
      <sz val="11"/>
      <color rgb="FF595959"/>
      <name val="Arial"/>
      <family val="2"/>
    </font>
    <font>
      <b/>
      <u/>
      <sz val="12"/>
      <color theme="0"/>
      <name val="Arial"/>
      <family val="2"/>
    </font>
  </fonts>
  <fills count="52">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2"/>
        <bgColor indexed="64"/>
      </patternFill>
    </fill>
    <fill>
      <patternFill patternType="solid">
        <fgColor theme="4" tint="0.39997558519241921"/>
        <bgColor indexed="64"/>
      </patternFill>
    </fill>
    <fill>
      <patternFill patternType="solid">
        <fgColor rgb="FF0070C0"/>
        <bgColor indexed="64"/>
      </patternFill>
    </fill>
    <fill>
      <patternFill patternType="solid">
        <fgColor rgb="FF00B050"/>
        <bgColor indexed="64"/>
      </patternFill>
    </fill>
    <fill>
      <patternFill patternType="solid">
        <fgColor rgb="FF7030A0"/>
        <bgColor indexed="64"/>
      </patternFill>
    </fill>
    <fill>
      <patternFill patternType="solid">
        <fgColor theme="5" tint="-0.249977111117893"/>
        <bgColor indexed="64"/>
      </patternFill>
    </fill>
    <fill>
      <patternFill patternType="solid">
        <fgColor theme="1"/>
        <bgColor indexed="64"/>
      </patternFill>
    </fill>
    <fill>
      <patternFill patternType="solid">
        <fgColor theme="7" tint="0.39997558519241921"/>
        <bgColor indexed="64"/>
      </patternFill>
    </fill>
    <fill>
      <patternFill patternType="solid">
        <fgColor rgb="FFC6E0B4"/>
        <bgColor rgb="FF000000"/>
      </patternFill>
    </fill>
    <fill>
      <patternFill patternType="solid">
        <fgColor theme="6" tint="0.39997558519241921"/>
        <bgColor indexed="64"/>
      </patternFill>
    </fill>
    <fill>
      <patternFill patternType="solid">
        <fgColor rgb="FF0D0D0D"/>
        <bgColor rgb="FF000000"/>
      </patternFill>
    </fill>
    <fill>
      <patternFill patternType="solid">
        <fgColor theme="1" tint="4.9989318521683403E-2"/>
        <bgColor indexed="64"/>
      </patternFill>
    </fill>
    <fill>
      <patternFill patternType="solid">
        <fgColor theme="3" tint="0.39997558519241921"/>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1"/>
        <bgColor rgb="FF000000"/>
      </patternFill>
    </fill>
    <fill>
      <patternFill patternType="solid">
        <fgColor theme="7" tint="0.79998168889431442"/>
        <bgColor indexed="64"/>
      </patternFill>
    </fill>
    <fill>
      <patternFill patternType="solid">
        <fgColor theme="0" tint="-0.34998626667073579"/>
        <bgColor indexed="64"/>
      </patternFill>
    </fill>
    <fill>
      <patternFill patternType="solid">
        <fgColor theme="4"/>
        <bgColor indexed="64"/>
      </patternFill>
    </fill>
    <fill>
      <patternFill patternType="solid">
        <fgColor theme="7"/>
        <bgColor indexed="64"/>
      </patternFill>
    </fill>
    <fill>
      <patternFill patternType="solid">
        <fgColor theme="9"/>
        <bgColor indexed="64"/>
      </patternFill>
    </fill>
    <fill>
      <patternFill patternType="solid">
        <fgColor theme="8" tint="0.39997558519241921"/>
        <bgColor indexed="64"/>
      </patternFill>
    </fill>
    <fill>
      <patternFill patternType="solid">
        <fgColor rgb="FFCC66FF"/>
        <bgColor indexed="64"/>
      </patternFill>
    </fill>
    <fill>
      <patternFill patternType="solid">
        <fgColor rgb="FFFDB1BC"/>
        <bgColor indexed="64"/>
      </patternFill>
    </fill>
    <fill>
      <patternFill patternType="solid">
        <fgColor theme="0" tint="-0.499984740745262"/>
        <bgColor indexed="64"/>
      </patternFill>
    </fill>
    <fill>
      <patternFill patternType="solid">
        <fgColor rgb="FFD0CECE"/>
        <bgColor indexed="64"/>
      </patternFill>
    </fill>
    <fill>
      <patternFill patternType="solid">
        <fgColor rgb="FFF2F2F2"/>
        <bgColor indexed="64"/>
      </patternFill>
    </fill>
    <fill>
      <patternFill patternType="solid">
        <fgColor rgb="FF122B4E"/>
        <bgColor indexed="64"/>
      </patternFill>
    </fill>
    <fill>
      <patternFill patternType="solid">
        <fgColor rgb="FF5ABA48"/>
        <bgColor indexed="64"/>
      </patternFill>
    </fill>
    <fill>
      <patternFill patternType="solid">
        <fgColor rgb="FFDEF1DA"/>
        <bgColor indexed="64"/>
      </patternFill>
    </fill>
  </fills>
  <borders count="132">
    <border>
      <left/>
      <right/>
      <top/>
      <bottom/>
      <diagonal/>
    </border>
    <border>
      <left/>
      <right style="thin">
        <color theme="2" tint="-0.24994659260841701"/>
      </right>
      <top style="thin">
        <color theme="2" tint="-0.24994659260841701"/>
      </top>
      <bottom style="thin">
        <color theme="2" tint="-0.24994659260841701"/>
      </bottom>
      <diagonal/>
    </border>
    <border>
      <left/>
      <right/>
      <top/>
      <bottom style="double">
        <color indexed="64"/>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87B348"/>
      </left>
      <right/>
      <top style="thin">
        <color rgb="FF87B348"/>
      </top>
      <bottom style="thin">
        <color rgb="FF87B348"/>
      </bottom>
      <diagonal/>
    </border>
    <border>
      <left/>
      <right/>
      <top style="thin">
        <color rgb="FF87B348"/>
      </top>
      <bottom style="thin">
        <color rgb="FF87B348"/>
      </bottom>
      <diagonal/>
    </border>
    <border>
      <left/>
      <right style="thin">
        <color rgb="FF87B348"/>
      </right>
      <top style="thin">
        <color rgb="FF87B348"/>
      </top>
      <bottom style="thin">
        <color rgb="FF87B348"/>
      </bottom>
      <diagonal/>
    </border>
    <border>
      <left style="thin">
        <color rgb="FF87B348"/>
      </left>
      <right/>
      <top/>
      <bottom/>
      <diagonal/>
    </border>
    <border>
      <left/>
      <right/>
      <top style="thin">
        <color rgb="FF87B348"/>
      </top>
      <bottom/>
      <diagonal/>
    </border>
    <border>
      <left/>
      <right/>
      <top style="thin">
        <color rgb="FF87B348"/>
      </top>
      <bottom style="thin">
        <color theme="1" tint="0.499984740745262"/>
      </bottom>
      <diagonal/>
    </border>
    <border>
      <left/>
      <right/>
      <top style="thin">
        <color rgb="FF87B348"/>
      </top>
      <bottom style="thin">
        <color rgb="FF294D61"/>
      </bottom>
      <diagonal/>
    </border>
    <border>
      <left/>
      <right/>
      <top style="thin">
        <color theme="1" tint="0.499984740745262"/>
      </top>
      <bottom style="thin">
        <color theme="1" tint="0.499984740745262"/>
      </bottom>
      <diagonal/>
    </border>
    <border>
      <left/>
      <right/>
      <top/>
      <bottom style="thin">
        <color theme="1" tint="0.499984740745262"/>
      </bottom>
      <diagonal/>
    </border>
    <border>
      <left/>
      <right/>
      <top/>
      <bottom style="thin">
        <color theme="2" tint="-0.24994659260841701"/>
      </bottom>
      <diagonal/>
    </border>
    <border>
      <left/>
      <right style="thin">
        <color theme="2" tint="-0.24994659260841701"/>
      </right>
      <top/>
      <bottom style="thin">
        <color theme="2" tint="-0.24994659260841701"/>
      </bottom>
      <diagonal/>
    </border>
    <border>
      <left style="thin">
        <color rgb="FF294D61"/>
      </left>
      <right/>
      <top style="thin">
        <color rgb="FF294D61"/>
      </top>
      <bottom/>
      <diagonal/>
    </border>
    <border>
      <left/>
      <right/>
      <top style="thin">
        <color rgb="FF294D61"/>
      </top>
      <bottom/>
      <diagonal/>
    </border>
    <border>
      <left/>
      <right style="thin">
        <color rgb="FF294D61"/>
      </right>
      <top style="thin">
        <color rgb="FF294D61"/>
      </top>
      <bottom/>
      <diagonal/>
    </border>
    <border>
      <left style="thin">
        <color rgb="FF294D61"/>
      </left>
      <right/>
      <top/>
      <bottom/>
      <diagonal/>
    </border>
    <border>
      <left/>
      <right/>
      <top/>
      <bottom style="thin">
        <color rgb="FF294D61"/>
      </bottom>
      <diagonal/>
    </border>
    <border>
      <left/>
      <right style="thin">
        <color rgb="FF294D61"/>
      </right>
      <top/>
      <bottom/>
      <diagonal/>
    </border>
    <border>
      <left/>
      <right/>
      <top style="thin">
        <color rgb="FF294D61"/>
      </top>
      <bottom style="thin">
        <color rgb="FF294D61"/>
      </bottom>
      <diagonal/>
    </border>
    <border>
      <left style="thin">
        <color rgb="FF294D61"/>
      </left>
      <right/>
      <top/>
      <bottom style="thin">
        <color rgb="FF294D61"/>
      </bottom>
      <diagonal/>
    </border>
    <border>
      <left/>
      <right style="thin">
        <color rgb="FF294D61"/>
      </right>
      <top/>
      <bottom style="thin">
        <color rgb="FF294D61"/>
      </bottom>
      <diagonal/>
    </border>
    <border>
      <left/>
      <right/>
      <top style="thin">
        <color indexed="64"/>
      </top>
      <bottom style="medium">
        <color indexed="64"/>
      </bottom>
      <diagonal/>
    </border>
    <border>
      <left style="thin">
        <color auto="1"/>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ck">
        <color auto="1"/>
      </left>
      <right/>
      <top/>
      <bottom/>
      <diagonal/>
    </border>
    <border>
      <left/>
      <right style="thin">
        <color indexed="64"/>
      </right>
      <top/>
      <bottom/>
      <diagonal/>
    </border>
    <border>
      <left/>
      <right style="thick">
        <color indexed="64"/>
      </right>
      <top/>
      <bottom/>
      <diagonal/>
    </border>
    <border>
      <left style="thick">
        <color auto="1"/>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ck">
        <color auto="1"/>
      </left>
      <right/>
      <top style="thick">
        <color auto="1"/>
      </top>
      <bottom/>
      <diagonal/>
    </border>
    <border>
      <left/>
      <right/>
      <top style="thick">
        <color auto="1"/>
      </top>
      <bottom/>
      <diagonal/>
    </border>
    <border>
      <left/>
      <right style="thick">
        <color indexed="64"/>
      </right>
      <top style="thick">
        <color indexed="64"/>
      </top>
      <bottom/>
      <diagonal/>
    </border>
    <border>
      <left style="thick">
        <color auto="1"/>
      </left>
      <right/>
      <top/>
      <bottom style="thick">
        <color auto="1"/>
      </bottom>
      <diagonal/>
    </border>
    <border>
      <left/>
      <right/>
      <top/>
      <bottom style="thick">
        <color auto="1"/>
      </bottom>
      <diagonal/>
    </border>
    <border>
      <left/>
      <right style="thick">
        <color indexed="64"/>
      </right>
      <top/>
      <bottom style="thick">
        <color indexed="64"/>
      </bottom>
      <diagonal/>
    </border>
    <border>
      <left/>
      <right/>
      <top style="thin">
        <color rgb="FF92D050"/>
      </top>
      <bottom style="thin">
        <color rgb="FF92D050"/>
      </bottom>
      <diagonal/>
    </border>
    <border>
      <left style="medium">
        <color rgb="FF92D050"/>
      </left>
      <right/>
      <top style="medium">
        <color rgb="FF92D050"/>
      </top>
      <bottom/>
      <diagonal/>
    </border>
    <border>
      <left/>
      <right/>
      <top style="medium">
        <color rgb="FF92D050"/>
      </top>
      <bottom/>
      <diagonal/>
    </border>
    <border>
      <left/>
      <right style="medium">
        <color rgb="FF92D050"/>
      </right>
      <top style="medium">
        <color rgb="FF92D050"/>
      </top>
      <bottom/>
      <diagonal/>
    </border>
    <border>
      <left style="thin">
        <color rgb="FF92D050"/>
      </left>
      <right style="thin">
        <color rgb="FF92D050"/>
      </right>
      <top style="thin">
        <color rgb="FF92D050"/>
      </top>
      <bottom style="thin">
        <color rgb="FF92D050"/>
      </bottom>
      <diagonal/>
    </border>
    <border>
      <left style="medium">
        <color rgb="FF294D61"/>
      </left>
      <right/>
      <top style="medium">
        <color rgb="FF294D61"/>
      </top>
      <bottom/>
      <diagonal/>
    </border>
    <border>
      <left/>
      <right/>
      <top style="medium">
        <color rgb="FF294D61"/>
      </top>
      <bottom/>
      <diagonal/>
    </border>
    <border>
      <left/>
      <right style="medium">
        <color rgb="FF294D61"/>
      </right>
      <top style="medium">
        <color rgb="FF294D61"/>
      </top>
      <bottom/>
      <diagonal/>
    </border>
    <border>
      <left style="medium">
        <color rgb="FF294D61"/>
      </left>
      <right/>
      <top/>
      <bottom/>
      <diagonal/>
    </border>
    <border>
      <left/>
      <right style="medium">
        <color rgb="FF294D61"/>
      </right>
      <top/>
      <bottom/>
      <diagonal/>
    </border>
    <border>
      <left style="medium">
        <color rgb="FF294D61"/>
      </left>
      <right/>
      <top/>
      <bottom style="medium">
        <color rgb="FF294D61"/>
      </bottom>
      <diagonal/>
    </border>
    <border>
      <left/>
      <right/>
      <top/>
      <bottom style="medium">
        <color rgb="FF294D61"/>
      </bottom>
      <diagonal/>
    </border>
    <border>
      <left/>
      <right style="medium">
        <color rgb="FF294D61"/>
      </right>
      <top/>
      <bottom style="medium">
        <color rgb="FF294D61"/>
      </bottom>
      <diagonal/>
    </border>
    <border>
      <left style="thin">
        <color rgb="FF87B348"/>
      </left>
      <right style="thin">
        <color rgb="FF87B348"/>
      </right>
      <top style="thin">
        <color rgb="FF87B348"/>
      </top>
      <bottom style="thin">
        <color rgb="FF87B348"/>
      </bottom>
      <diagonal/>
    </border>
    <border>
      <left/>
      <right style="thin">
        <color rgb="FF87B348"/>
      </right>
      <top style="thin">
        <color rgb="FF87B348"/>
      </top>
      <bottom/>
      <diagonal/>
    </border>
    <border>
      <left/>
      <right style="thin">
        <color rgb="FF87B348"/>
      </right>
      <top style="thin">
        <color rgb="FF87B348"/>
      </top>
      <bottom style="thin">
        <color theme="1" tint="0.499984740745262"/>
      </bottom>
      <diagonal/>
    </border>
    <border>
      <left/>
      <right style="thin">
        <color rgb="FF87B348"/>
      </right>
      <top style="thin">
        <color rgb="FF92D050"/>
      </top>
      <bottom style="thin">
        <color rgb="FF92D050"/>
      </bottom>
      <diagonal/>
    </border>
    <border>
      <left/>
      <right style="thin">
        <color rgb="FF87B348"/>
      </right>
      <top/>
      <bottom/>
      <diagonal/>
    </border>
    <border>
      <left/>
      <right/>
      <top style="thin">
        <color indexed="64"/>
      </top>
      <bottom style="double">
        <color indexed="64"/>
      </bottom>
      <diagonal/>
    </border>
    <border>
      <left/>
      <right/>
      <top/>
      <bottom style="medium">
        <color theme="0"/>
      </bottom>
      <diagonal/>
    </border>
    <border>
      <left style="medium">
        <color rgb="FF87B348"/>
      </left>
      <right style="medium">
        <color rgb="FF87B348"/>
      </right>
      <top style="medium">
        <color rgb="FF87B348"/>
      </top>
      <bottom style="medium">
        <color rgb="FF87B348"/>
      </bottom>
      <diagonal/>
    </border>
    <border>
      <left style="thin">
        <color rgb="FF294D61"/>
      </left>
      <right/>
      <top style="thin">
        <color rgb="FF294D61"/>
      </top>
      <bottom style="thin">
        <color theme="3" tint="-0.249977111117893"/>
      </bottom>
      <diagonal/>
    </border>
    <border>
      <left/>
      <right/>
      <top style="thin">
        <color rgb="FF294D61"/>
      </top>
      <bottom style="thin">
        <color theme="3" tint="-0.249977111117893"/>
      </bottom>
      <diagonal/>
    </border>
    <border>
      <left/>
      <right style="thin">
        <color rgb="FF294D61"/>
      </right>
      <top style="thin">
        <color rgb="FF294D61"/>
      </top>
      <bottom style="thin">
        <color theme="3" tint="-0.249977111117893"/>
      </bottom>
      <diagonal/>
    </border>
    <border>
      <left/>
      <right style="thin">
        <color rgb="FF87B348"/>
      </right>
      <top/>
      <bottom style="thin">
        <color rgb="FF294D6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style="thin">
        <color theme="0"/>
      </top>
      <bottom style="thin">
        <color theme="0"/>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5ABA48"/>
      </left>
      <right style="thin">
        <color rgb="FF5ABA48"/>
      </right>
      <top style="thin">
        <color rgb="FF5ABA48"/>
      </top>
      <bottom style="thin">
        <color rgb="FF5ABA48"/>
      </bottom>
      <diagonal/>
    </border>
    <border>
      <left style="thin">
        <color rgb="FF5ABA48"/>
      </left>
      <right/>
      <top/>
      <bottom/>
      <diagonal/>
    </border>
    <border>
      <left/>
      <right style="thin">
        <color rgb="FF5ABA48"/>
      </right>
      <top/>
      <bottom/>
      <diagonal/>
    </border>
    <border>
      <left/>
      <right style="thin">
        <color rgb="FF5ABA48"/>
      </right>
      <top/>
      <bottom style="thin">
        <color theme="1" tint="0.499984740745262"/>
      </bottom>
      <diagonal/>
    </border>
    <border>
      <left/>
      <right style="thin">
        <color rgb="FF5ABA48"/>
      </right>
      <top style="thin">
        <color rgb="FF87B348"/>
      </top>
      <bottom style="thin">
        <color theme="1" tint="0.499984740745262"/>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5ABA48"/>
      </left>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5ABA48"/>
      </left>
      <right/>
      <top style="thin">
        <color theme="0"/>
      </top>
      <bottom style="thin">
        <color theme="0"/>
      </bottom>
      <diagonal/>
    </border>
    <border>
      <left style="thin">
        <color rgb="FF87B348"/>
      </left>
      <right/>
      <top style="thin">
        <color rgb="FF5ABA48"/>
      </top>
      <bottom style="thin">
        <color rgb="FF5ABA48"/>
      </bottom>
      <diagonal/>
    </border>
    <border>
      <left style="thin">
        <color rgb="FF87B348"/>
      </left>
      <right style="thin">
        <color rgb="FF5ABA48"/>
      </right>
      <top/>
      <bottom style="thin">
        <color rgb="FF5ABA48"/>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xf numFmtId="0" fontId="24" fillId="0" borderId="0" applyNumberFormat="0" applyFill="0" applyBorder="0" applyAlignment="0" applyProtection="0"/>
    <xf numFmtId="0" fontId="28" fillId="0" borderId="0">
      <alignment vertical="center"/>
    </xf>
    <xf numFmtId="9" fontId="28" fillId="0" borderId="0" applyFont="0" applyFill="0" applyBorder="0" applyAlignment="0" applyProtection="0">
      <alignment vertical="center"/>
    </xf>
    <xf numFmtId="168" fontId="28" fillId="0" borderId="0" applyFont="0" applyFill="0" applyBorder="0" applyAlignment="0" applyProtection="0">
      <alignment vertical="center"/>
    </xf>
  </cellStyleXfs>
  <cellXfs count="1515">
    <xf numFmtId="0" fontId="0" fillId="0" borderId="0" xfId="0"/>
    <xf numFmtId="0" fontId="0" fillId="0" borderId="0" xfId="0" applyAlignment="1">
      <alignment horizontal="center"/>
    </xf>
    <xf numFmtId="0" fontId="0" fillId="0" borderId="10" xfId="0" applyBorder="1"/>
    <xf numFmtId="0" fontId="0" fillId="0" borderId="11" xfId="0" applyBorder="1" applyAlignment="1">
      <alignment horizontal="center"/>
    </xf>
    <xf numFmtId="0" fontId="0" fillId="0" borderId="13" xfId="0" applyBorder="1"/>
    <xf numFmtId="0" fontId="0" fillId="0" borderId="14" xfId="0" applyBorder="1" applyAlignment="1">
      <alignment horizontal="center"/>
    </xf>
    <xf numFmtId="0" fontId="0" fillId="0" borderId="16" xfId="0" applyBorder="1"/>
    <xf numFmtId="166" fontId="0" fillId="5" borderId="12" xfId="0" applyNumberFormat="1" applyFill="1" applyBorder="1" applyAlignment="1">
      <alignment horizontal="center"/>
    </xf>
    <xf numFmtId="0" fontId="2" fillId="0" borderId="7"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0" fillId="3" borderId="0" xfId="0" applyFill="1"/>
    <xf numFmtId="0" fontId="0" fillId="3" borderId="0" xfId="0" applyFill="1" applyProtection="1">
      <protection hidden="1"/>
    </xf>
    <xf numFmtId="0" fontId="0" fillId="3" borderId="14" xfId="0" applyFill="1" applyBorder="1" applyProtection="1">
      <protection hidden="1"/>
    </xf>
    <xf numFmtId="167" fontId="0" fillId="3" borderId="0" xfId="1" applyNumberFormat="1" applyFont="1" applyFill="1" applyBorder="1" applyProtection="1">
      <protection hidden="1"/>
    </xf>
    <xf numFmtId="167" fontId="0" fillId="3" borderId="0" xfId="0" applyNumberFormat="1" applyFill="1" applyProtection="1">
      <protection hidden="1"/>
    </xf>
    <xf numFmtId="0" fontId="2" fillId="3" borderId="0" xfId="0" applyFont="1" applyFill="1" applyAlignment="1" applyProtection="1">
      <alignment horizontal="center"/>
      <protection hidden="1"/>
    </xf>
    <xf numFmtId="44" fontId="0" fillId="3" borderId="0" xfId="0" applyNumberFormat="1" applyFill="1" applyProtection="1">
      <protection hidden="1"/>
    </xf>
    <xf numFmtId="44" fontId="0" fillId="3" borderId="14" xfId="1" applyFont="1" applyFill="1" applyBorder="1" applyProtection="1">
      <protection hidden="1"/>
    </xf>
    <xf numFmtId="2" fontId="0" fillId="3" borderId="14" xfId="1" applyNumberFormat="1" applyFont="1" applyFill="1" applyBorder="1" applyAlignment="1" applyProtection="1">
      <alignment horizontal="center"/>
      <protection hidden="1"/>
    </xf>
    <xf numFmtId="44" fontId="0" fillId="3" borderId="0" xfId="1" applyFont="1" applyFill="1" applyBorder="1" applyProtection="1">
      <protection hidden="1"/>
    </xf>
    <xf numFmtId="0" fontId="0" fillId="3" borderId="0" xfId="0" applyFill="1" applyAlignment="1" applyProtection="1">
      <alignment horizontal="center"/>
      <protection hidden="1"/>
    </xf>
    <xf numFmtId="2" fontId="0" fillId="3" borderId="0" xfId="1" applyNumberFormat="1" applyFont="1" applyFill="1" applyBorder="1" applyAlignment="1" applyProtection="1">
      <alignment horizontal="center"/>
      <protection hidden="1"/>
    </xf>
    <xf numFmtId="44" fontId="0" fillId="3" borderId="39" xfId="0" applyNumberFormat="1" applyFill="1" applyBorder="1" applyProtection="1">
      <protection hidden="1"/>
    </xf>
    <xf numFmtId="167" fontId="0" fillId="3" borderId="39" xfId="0" applyNumberFormat="1" applyFill="1" applyBorder="1" applyProtection="1">
      <protection hidden="1"/>
    </xf>
    <xf numFmtId="0" fontId="0" fillId="3" borderId="0" xfId="0" applyFill="1" applyAlignment="1" applyProtection="1">
      <alignment horizontal="right"/>
      <protection hidden="1"/>
    </xf>
    <xf numFmtId="2" fontId="0" fillId="3" borderId="0" xfId="0" applyNumberFormat="1" applyFill="1" applyAlignment="1" applyProtection="1">
      <alignment horizontal="center"/>
      <protection hidden="1"/>
    </xf>
    <xf numFmtId="0" fontId="2" fillId="3" borderId="0" xfId="0" applyFont="1" applyFill="1" applyProtection="1">
      <protection hidden="1"/>
    </xf>
    <xf numFmtId="44" fontId="0" fillId="10" borderId="0" xfId="1" applyFont="1" applyFill="1" applyBorder="1" applyAlignment="1" applyProtection="1">
      <alignment horizontal="center"/>
      <protection hidden="1"/>
    </xf>
    <xf numFmtId="44" fontId="0" fillId="3" borderId="0" xfId="1" applyFont="1" applyFill="1" applyBorder="1" applyAlignment="1" applyProtection="1">
      <alignment horizontal="center"/>
      <protection hidden="1"/>
    </xf>
    <xf numFmtId="44" fontId="0" fillId="3" borderId="0" xfId="0" applyNumberFormat="1" applyFill="1" applyAlignment="1" applyProtection="1">
      <alignment horizontal="center"/>
      <protection hidden="1"/>
    </xf>
    <xf numFmtId="44" fontId="0" fillId="10" borderId="0" xfId="0" quotePrefix="1" applyNumberFormat="1" applyFill="1" applyProtection="1">
      <protection hidden="1"/>
    </xf>
    <xf numFmtId="167" fontId="0" fillId="10" borderId="0" xfId="1" applyNumberFormat="1" applyFont="1" applyFill="1" applyBorder="1" applyProtection="1">
      <protection hidden="1"/>
    </xf>
    <xf numFmtId="0" fontId="0" fillId="11" borderId="14" xfId="0" applyFill="1" applyBorder="1" applyProtection="1">
      <protection hidden="1"/>
    </xf>
    <xf numFmtId="44" fontId="21" fillId="0" borderId="0" xfId="0" applyNumberFormat="1" applyFont="1" applyProtection="1">
      <protection hidden="1"/>
    </xf>
    <xf numFmtId="44" fontId="0" fillId="3" borderId="0" xfId="1" applyFont="1" applyFill="1" applyProtection="1">
      <protection hidden="1"/>
    </xf>
    <xf numFmtId="44" fontId="0" fillId="3" borderId="0" xfId="0" applyNumberFormat="1" applyFill="1"/>
    <xf numFmtId="49" fontId="0" fillId="3" borderId="0" xfId="0" applyNumberFormat="1" applyFill="1"/>
    <xf numFmtId="44" fontId="0" fillId="3" borderId="14" xfId="0" applyNumberFormat="1" applyFill="1" applyBorder="1" applyProtection="1">
      <protection hidden="1"/>
    </xf>
    <xf numFmtId="167" fontId="0" fillId="3" borderId="14" xfId="0" applyNumberFormat="1" applyFill="1" applyBorder="1" applyProtection="1">
      <protection hidden="1"/>
    </xf>
    <xf numFmtId="44" fontId="0" fillId="16" borderId="14" xfId="0" applyNumberFormat="1" applyFill="1" applyBorder="1" applyProtection="1">
      <protection hidden="1"/>
    </xf>
    <xf numFmtId="44" fontId="0" fillId="11" borderId="14" xfId="0" applyNumberFormat="1" applyFill="1" applyBorder="1" applyProtection="1">
      <protection hidden="1"/>
    </xf>
    <xf numFmtId="44" fontId="0" fillId="11" borderId="0" xfId="0" applyNumberFormat="1" applyFill="1" applyProtection="1">
      <protection hidden="1"/>
    </xf>
    <xf numFmtId="167" fontId="0" fillId="17" borderId="14" xfId="0" applyNumberFormat="1" applyFill="1" applyBorder="1" applyProtection="1">
      <protection hidden="1"/>
    </xf>
    <xf numFmtId="44" fontId="0" fillId="17" borderId="14" xfId="0" applyNumberFormat="1" applyFill="1" applyBorder="1" applyProtection="1">
      <protection hidden="1"/>
    </xf>
    <xf numFmtId="0" fontId="0" fillId="17" borderId="0" xfId="0" applyFill="1" applyProtection="1">
      <protection hidden="1"/>
    </xf>
    <xf numFmtId="167" fontId="26" fillId="10" borderId="14" xfId="0" applyNumberFormat="1" applyFont="1" applyFill="1" applyBorder="1" applyProtection="1">
      <protection hidden="1"/>
    </xf>
    <xf numFmtId="44" fontId="0" fillId="12" borderId="14" xfId="0" applyNumberFormat="1" applyFill="1" applyBorder="1" applyProtection="1">
      <protection hidden="1"/>
    </xf>
    <xf numFmtId="0" fontId="0" fillId="12" borderId="14" xfId="0" applyFill="1" applyBorder="1" applyProtection="1">
      <protection hidden="1"/>
    </xf>
    <xf numFmtId="0" fontId="0" fillId="18" borderId="14" xfId="0" applyFill="1" applyBorder="1" applyProtection="1">
      <protection hidden="1"/>
    </xf>
    <xf numFmtId="167" fontId="0" fillId="11" borderId="14" xfId="0" applyNumberFormat="1" applyFill="1" applyBorder="1" applyProtection="1">
      <protection hidden="1"/>
    </xf>
    <xf numFmtId="167" fontId="0" fillId="16" borderId="14" xfId="0" applyNumberFormat="1" applyFill="1" applyBorder="1" applyProtection="1">
      <protection hidden="1"/>
    </xf>
    <xf numFmtId="2" fontId="0" fillId="3" borderId="14" xfId="0" applyNumberFormat="1" applyFill="1" applyBorder="1" applyProtection="1">
      <protection hidden="1"/>
    </xf>
    <xf numFmtId="2" fontId="0" fillId="3" borderId="0" xfId="0" applyNumberFormat="1" applyFill="1" applyProtection="1">
      <protection hidden="1"/>
    </xf>
    <xf numFmtId="0" fontId="28" fillId="0" borderId="0" xfId="6">
      <alignment vertical="center"/>
    </xf>
    <xf numFmtId="0" fontId="29" fillId="10" borderId="0" xfId="6" applyFont="1" applyFill="1">
      <alignment vertical="center"/>
    </xf>
    <xf numFmtId="0" fontId="28" fillId="10" borderId="0" xfId="6" applyFill="1">
      <alignment vertical="center"/>
    </xf>
    <xf numFmtId="0" fontId="30" fillId="0" borderId="0" xfId="6" applyFont="1">
      <alignment vertical="center"/>
    </xf>
    <xf numFmtId="0" fontId="32" fillId="11" borderId="0" xfId="6" applyFont="1" applyFill="1">
      <alignment vertical="center"/>
    </xf>
    <xf numFmtId="0" fontId="32" fillId="0" borderId="0" xfId="6" applyFont="1">
      <alignment vertical="center"/>
    </xf>
    <xf numFmtId="0" fontId="28" fillId="19" borderId="0" xfId="6" applyFill="1">
      <alignment vertical="center"/>
    </xf>
    <xf numFmtId="0" fontId="28" fillId="17" borderId="0" xfId="6" applyFill="1">
      <alignment vertical="center"/>
    </xf>
    <xf numFmtId="0" fontId="28" fillId="12" borderId="0" xfId="6" applyFill="1">
      <alignment vertical="center"/>
    </xf>
    <xf numFmtId="0" fontId="35" fillId="0" borderId="0" xfId="6" applyFont="1" applyAlignment="1">
      <alignment vertical="center" wrapText="1"/>
    </xf>
    <xf numFmtId="0" fontId="36" fillId="11" borderId="0" xfId="6" applyFont="1" applyFill="1" applyAlignment="1">
      <alignment wrapText="1"/>
    </xf>
    <xf numFmtId="0" fontId="36" fillId="11" borderId="0" xfId="6" applyFont="1" applyFill="1" applyAlignment="1">
      <alignment vertical="center" wrapText="1"/>
    </xf>
    <xf numFmtId="0" fontId="37" fillId="0" borderId="0" xfId="6" applyFont="1" applyProtection="1">
      <alignment vertical="center"/>
      <protection hidden="1"/>
    </xf>
    <xf numFmtId="0" fontId="37" fillId="19" borderId="0" xfId="6" applyFont="1" applyFill="1">
      <alignment vertical="center"/>
    </xf>
    <xf numFmtId="0" fontId="37" fillId="0" borderId="0" xfId="6" applyFont="1">
      <alignment vertical="center"/>
    </xf>
    <xf numFmtId="0" fontId="37" fillId="17" borderId="0" xfId="6" applyFont="1" applyFill="1">
      <alignment vertical="center"/>
    </xf>
    <xf numFmtId="0" fontId="39" fillId="12" borderId="0" xfId="6" applyFont="1" applyFill="1">
      <alignment vertical="center"/>
    </xf>
    <xf numFmtId="0" fontId="39" fillId="11" borderId="0" xfId="6" applyFont="1" applyFill="1" applyAlignment="1" applyProtection="1">
      <protection hidden="1"/>
    </xf>
    <xf numFmtId="10" fontId="39" fillId="11" borderId="0" xfId="7" applyNumberFormat="1" applyFont="1" applyFill="1" applyBorder="1" applyAlignment="1" applyProtection="1">
      <protection hidden="1"/>
    </xf>
    <xf numFmtId="0" fontId="39" fillId="11" borderId="0" xfId="6" applyFont="1" applyFill="1">
      <alignment vertical="center"/>
    </xf>
    <xf numFmtId="0" fontId="39" fillId="0" borderId="0" xfId="6" applyFont="1" applyAlignment="1" applyProtection="1">
      <protection hidden="1"/>
    </xf>
    <xf numFmtId="0" fontId="39" fillId="19" borderId="0" xfId="6" applyFont="1" applyFill="1">
      <alignment vertical="center"/>
    </xf>
    <xf numFmtId="9" fontId="39" fillId="19" borderId="0" xfId="6" applyNumberFormat="1" applyFont="1" applyFill="1">
      <alignment vertical="center"/>
    </xf>
    <xf numFmtId="0" fontId="39" fillId="0" borderId="0" xfId="6" applyFont="1">
      <alignment vertical="center"/>
    </xf>
    <xf numFmtId="0" fontId="39" fillId="17" borderId="0" xfId="6" applyFont="1" applyFill="1">
      <alignment vertical="center"/>
    </xf>
    <xf numFmtId="9" fontId="39" fillId="17" borderId="0" xfId="6" applyNumberFormat="1" applyFont="1" applyFill="1">
      <alignment vertical="center"/>
    </xf>
    <xf numFmtId="9" fontId="39" fillId="12" borderId="0" xfId="6" applyNumberFormat="1" applyFont="1" applyFill="1">
      <alignment vertical="center"/>
    </xf>
    <xf numFmtId="10" fontId="25" fillId="0" borderId="0" xfId="7" applyNumberFormat="1" applyFont="1" applyFill="1" applyBorder="1" applyAlignment="1">
      <alignment horizontal="center"/>
    </xf>
    <xf numFmtId="169" fontId="39" fillId="11" borderId="0" xfId="8" applyNumberFormat="1" applyFont="1" applyFill="1" applyBorder="1" applyAlignment="1" applyProtection="1">
      <protection hidden="1"/>
    </xf>
    <xf numFmtId="10" fontId="40" fillId="10" borderId="0" xfId="7" applyNumberFormat="1" applyFont="1" applyFill="1" applyBorder="1" applyAlignment="1" applyProtection="1">
      <protection hidden="1"/>
    </xf>
    <xf numFmtId="168" fontId="39" fillId="0" borderId="0" xfId="8" applyFont="1" applyFill="1" applyBorder="1" applyAlignment="1" applyProtection="1">
      <protection hidden="1"/>
    </xf>
    <xf numFmtId="170" fontId="39" fillId="19" borderId="0" xfId="6" applyNumberFormat="1" applyFont="1" applyFill="1" applyAlignment="1">
      <alignment horizontal="left" vertical="center"/>
    </xf>
    <xf numFmtId="10" fontId="40" fillId="10" borderId="0" xfId="6" applyNumberFormat="1" applyFont="1" applyFill="1">
      <alignment vertical="center"/>
    </xf>
    <xf numFmtId="0" fontId="40" fillId="10" borderId="0" xfId="6" applyFont="1" applyFill="1">
      <alignment vertical="center"/>
    </xf>
    <xf numFmtId="170" fontId="39" fillId="17" borderId="0" xfId="6" applyNumberFormat="1" applyFont="1" applyFill="1" applyAlignment="1">
      <alignment horizontal="left" vertical="center"/>
    </xf>
    <xf numFmtId="0" fontId="11" fillId="0" borderId="0" xfId="6" applyFont="1" applyAlignment="1"/>
    <xf numFmtId="168" fontId="39" fillId="11" borderId="0" xfId="8" applyFont="1" applyFill="1" applyBorder="1" applyAlignment="1" applyProtection="1">
      <protection hidden="1"/>
    </xf>
    <xf numFmtId="0" fontId="39" fillId="19" borderId="0" xfId="6" applyFont="1" applyFill="1" applyAlignment="1" applyProtection="1">
      <protection hidden="1"/>
    </xf>
    <xf numFmtId="0" fontId="39" fillId="17" borderId="0" xfId="6" applyFont="1" applyFill="1" applyAlignment="1" applyProtection="1">
      <protection hidden="1"/>
    </xf>
    <xf numFmtId="0" fontId="39" fillId="12" borderId="0" xfId="6" applyFont="1" applyFill="1" applyAlignment="1" applyProtection="1">
      <protection hidden="1"/>
    </xf>
    <xf numFmtId="0" fontId="30" fillId="0" borderId="0" xfId="6" applyFont="1" applyAlignment="1">
      <alignment vertical="center" wrapText="1"/>
    </xf>
    <xf numFmtId="0" fontId="41" fillId="0" borderId="0" xfId="6" applyFont="1">
      <alignment vertical="center"/>
    </xf>
    <xf numFmtId="0" fontId="38" fillId="11" borderId="0" xfId="6" applyFont="1" applyFill="1" applyAlignment="1">
      <alignment wrapText="1"/>
    </xf>
    <xf numFmtId="9" fontId="39" fillId="11" borderId="0" xfId="6" applyNumberFormat="1" applyFont="1" applyFill="1">
      <alignment vertical="center"/>
    </xf>
    <xf numFmtId="10" fontId="25" fillId="0" borderId="0" xfId="7" applyNumberFormat="1" applyFont="1" applyFill="1" applyBorder="1" applyAlignment="1">
      <alignment horizontal="center" wrapText="1"/>
    </xf>
    <xf numFmtId="169" fontId="39" fillId="11" borderId="0" xfId="8" applyNumberFormat="1" applyFont="1" applyFill="1" applyBorder="1" applyAlignment="1" applyProtection="1">
      <alignment horizontal="left"/>
      <protection hidden="1"/>
    </xf>
    <xf numFmtId="10" fontId="39" fillId="12" borderId="0" xfId="7" applyNumberFormat="1" applyFont="1" applyFill="1" applyBorder="1" applyAlignment="1" applyProtection="1">
      <protection hidden="1"/>
    </xf>
    <xf numFmtId="0" fontId="28" fillId="20" borderId="49" xfId="6" applyFill="1" applyBorder="1">
      <alignment vertical="center"/>
    </xf>
    <xf numFmtId="0" fontId="28" fillId="20" borderId="50" xfId="6" applyFill="1" applyBorder="1">
      <alignment vertical="center"/>
    </xf>
    <xf numFmtId="0" fontId="27" fillId="20" borderId="51" xfId="6" applyFont="1" applyFill="1" applyBorder="1" applyAlignment="1"/>
    <xf numFmtId="0" fontId="27" fillId="0" borderId="0" xfId="6" applyFont="1" applyAlignment="1"/>
    <xf numFmtId="0" fontId="33" fillId="21" borderId="41" xfId="6" applyFont="1" applyFill="1" applyBorder="1" applyAlignment="1">
      <alignment horizontal="center" vertical="center" wrapText="1"/>
    </xf>
    <xf numFmtId="0" fontId="45" fillId="21" borderId="58" xfId="6" applyFont="1" applyFill="1" applyBorder="1" applyAlignment="1">
      <alignment horizontal="left" vertical="center"/>
    </xf>
    <xf numFmtId="0" fontId="46" fillId="3" borderId="59" xfId="6" applyFont="1" applyFill="1" applyBorder="1" applyAlignment="1" applyProtection="1">
      <alignment horizontal="left" vertical="center"/>
      <protection hidden="1"/>
    </xf>
    <xf numFmtId="0" fontId="46" fillId="3" borderId="0" xfId="6" applyFont="1" applyFill="1" applyAlignment="1" applyProtection="1">
      <alignment horizontal="left" vertical="center"/>
      <protection hidden="1"/>
    </xf>
    <xf numFmtId="172" fontId="46" fillId="3" borderId="60" xfId="8" applyNumberFormat="1" applyFont="1" applyFill="1" applyBorder="1" applyAlignment="1" applyProtection="1">
      <protection hidden="1"/>
    </xf>
    <xf numFmtId="172" fontId="46" fillId="3" borderId="0" xfId="8" applyNumberFormat="1" applyFont="1" applyFill="1" applyBorder="1" applyAlignment="1" applyProtection="1">
      <protection hidden="1"/>
    </xf>
    <xf numFmtId="172" fontId="46" fillId="3" borderId="59" xfId="8" applyNumberFormat="1" applyFont="1" applyFill="1" applyBorder="1" applyAlignment="1" applyProtection="1">
      <protection hidden="1"/>
    </xf>
    <xf numFmtId="0" fontId="46" fillId="3" borderId="58" xfId="6" applyFont="1" applyFill="1" applyBorder="1" applyAlignment="1" applyProtection="1">
      <alignment horizontal="left" vertical="center"/>
      <protection hidden="1"/>
    </xf>
    <xf numFmtId="172" fontId="46" fillId="3" borderId="61" xfId="8" applyNumberFormat="1" applyFont="1" applyFill="1" applyBorder="1" applyAlignment="1" applyProtection="1">
      <alignment horizontal="right"/>
      <protection hidden="1"/>
    </xf>
    <xf numFmtId="172" fontId="46" fillId="3" borderId="0" xfId="8" applyNumberFormat="1" applyFont="1" applyFill="1" applyBorder="1" applyAlignment="1" applyProtection="1">
      <alignment horizontal="left"/>
      <protection hidden="1"/>
    </xf>
    <xf numFmtId="172" fontId="46" fillId="3" borderId="60" xfId="8" applyNumberFormat="1" applyFont="1" applyFill="1" applyBorder="1" applyAlignment="1" applyProtection="1">
      <alignment horizontal="right"/>
      <protection hidden="1"/>
    </xf>
    <xf numFmtId="172" fontId="46" fillId="3" borderId="58" xfId="8" applyNumberFormat="1" applyFont="1" applyFill="1" applyBorder="1" applyAlignment="1" applyProtection="1">
      <protection hidden="1"/>
    </xf>
    <xf numFmtId="172" fontId="46" fillId="3" borderId="61" xfId="8" applyNumberFormat="1" applyFont="1" applyFill="1" applyBorder="1" applyAlignment="1" applyProtection="1">
      <protection hidden="1"/>
    </xf>
    <xf numFmtId="0" fontId="46" fillId="21" borderId="58" xfId="6" applyFont="1" applyFill="1" applyBorder="1" applyAlignment="1">
      <alignment horizontal="left" vertical="center"/>
    </xf>
    <xf numFmtId="7" fontId="46" fillId="3" borderId="59" xfId="8" applyNumberFormat="1" applyFont="1" applyFill="1" applyBorder="1" applyAlignment="1" applyProtection="1">
      <alignment horizontal="right"/>
      <protection hidden="1"/>
    </xf>
    <xf numFmtId="10" fontId="47" fillId="3" borderId="0" xfId="8" applyNumberFormat="1" applyFont="1" applyFill="1" applyBorder="1" applyAlignment="1" applyProtection="1">
      <alignment horizontal="right"/>
      <protection hidden="1"/>
    </xf>
    <xf numFmtId="7" fontId="46" fillId="3" borderId="0" xfId="8" applyNumberFormat="1" applyFont="1" applyFill="1" applyBorder="1" applyAlignment="1" applyProtection="1">
      <alignment horizontal="right"/>
      <protection hidden="1"/>
    </xf>
    <xf numFmtId="0" fontId="45" fillId="21" borderId="58" xfId="6" applyFont="1" applyFill="1" applyBorder="1" applyAlignment="1">
      <alignment horizontal="left" vertical="center" wrapText="1"/>
    </xf>
    <xf numFmtId="0" fontId="46" fillId="3" borderId="59" xfId="6" applyFont="1" applyFill="1" applyBorder="1" applyAlignment="1" applyProtection="1">
      <alignment horizontal="left" vertical="center" wrapText="1"/>
      <protection hidden="1"/>
    </xf>
    <xf numFmtId="0" fontId="46" fillId="3" borderId="0" xfId="6" applyFont="1" applyFill="1" applyAlignment="1" applyProtection="1">
      <alignment horizontal="left" vertical="center" wrapText="1"/>
      <protection hidden="1"/>
    </xf>
    <xf numFmtId="10" fontId="46" fillId="3" borderId="0" xfId="6" applyNumberFormat="1" applyFont="1" applyFill="1" applyAlignment="1" applyProtection="1">
      <alignment horizontal="left" vertical="center" wrapText="1"/>
      <protection hidden="1"/>
    </xf>
    <xf numFmtId="7" fontId="46" fillId="3" borderId="0" xfId="8" applyNumberFormat="1" applyFont="1" applyFill="1" applyBorder="1" applyAlignment="1" applyProtection="1">
      <alignment horizontal="center"/>
      <protection hidden="1"/>
    </xf>
    <xf numFmtId="10" fontId="46" fillId="3" borderId="0" xfId="8" applyNumberFormat="1" applyFont="1" applyFill="1" applyBorder="1" applyAlignment="1" applyProtection="1">
      <alignment horizontal="center"/>
      <protection hidden="1"/>
    </xf>
    <xf numFmtId="172" fontId="46" fillId="3" borderId="58" xfId="8" applyNumberFormat="1" applyFont="1" applyFill="1" applyBorder="1" applyAlignment="1" applyProtection="1">
      <alignment horizontal="right"/>
      <protection hidden="1"/>
    </xf>
    <xf numFmtId="0" fontId="46" fillId="3" borderId="59" xfId="6" applyFont="1" applyFill="1" applyBorder="1" applyAlignment="1" applyProtection="1">
      <alignment horizontal="center" vertical="center"/>
      <protection hidden="1"/>
    </xf>
    <xf numFmtId="10" fontId="46" fillId="3" borderId="0" xfId="6" applyNumberFormat="1" applyFont="1" applyFill="1" applyAlignment="1" applyProtection="1">
      <alignment horizontal="left" vertical="center"/>
      <protection hidden="1"/>
    </xf>
    <xf numFmtId="0" fontId="46" fillId="3" borderId="0" xfId="6" applyFont="1" applyFill="1" applyAlignment="1" applyProtection="1">
      <alignment horizontal="center" vertical="center"/>
      <protection hidden="1"/>
    </xf>
    <xf numFmtId="7" fontId="46" fillId="3" borderId="59" xfId="8" applyNumberFormat="1" applyFont="1" applyFill="1" applyBorder="1" applyAlignment="1" applyProtection="1">
      <alignment horizontal="center"/>
      <protection hidden="1"/>
    </xf>
    <xf numFmtId="10" fontId="46" fillId="3" borderId="0" xfId="8" applyNumberFormat="1" applyFont="1" applyFill="1" applyBorder="1" applyAlignment="1" applyProtection="1">
      <alignment horizontal="left"/>
      <protection hidden="1"/>
    </xf>
    <xf numFmtId="7" fontId="46" fillId="3" borderId="58" xfId="8" applyNumberFormat="1" applyFont="1" applyFill="1" applyBorder="1" applyAlignment="1" applyProtection="1">
      <alignment horizontal="center"/>
      <protection hidden="1"/>
    </xf>
    <xf numFmtId="0" fontId="28" fillId="0" borderId="0" xfId="6" applyAlignment="1">
      <alignment horizontal="left" vertical="center"/>
    </xf>
    <xf numFmtId="7" fontId="46" fillId="3" borderId="60" xfId="8" applyNumberFormat="1" applyFont="1" applyFill="1" applyBorder="1" applyAlignment="1" applyProtection="1">
      <alignment horizontal="right"/>
      <protection hidden="1"/>
    </xf>
    <xf numFmtId="7" fontId="49" fillId="3" borderId="61" xfId="8" applyNumberFormat="1" applyFont="1" applyFill="1" applyBorder="1" applyAlignment="1" applyProtection="1">
      <alignment horizontal="right"/>
      <protection hidden="1"/>
    </xf>
    <xf numFmtId="7" fontId="46" fillId="3" borderId="58" xfId="8" applyNumberFormat="1" applyFont="1" applyFill="1" applyBorder="1" applyAlignment="1" applyProtection="1">
      <alignment horizontal="right"/>
      <protection hidden="1"/>
    </xf>
    <xf numFmtId="7" fontId="46" fillId="3" borderId="61" xfId="8" applyNumberFormat="1" applyFont="1" applyFill="1" applyBorder="1" applyAlignment="1" applyProtection="1">
      <alignment horizontal="right"/>
      <protection hidden="1"/>
    </xf>
    <xf numFmtId="7" fontId="46" fillId="3" borderId="62" xfId="8" applyNumberFormat="1" applyFont="1" applyFill="1" applyBorder="1" applyAlignment="1" applyProtection="1">
      <alignment horizontal="right"/>
      <protection hidden="1"/>
    </xf>
    <xf numFmtId="7" fontId="46" fillId="3" borderId="63" xfId="8" applyNumberFormat="1" applyFont="1" applyFill="1" applyBorder="1" applyAlignment="1" applyProtection="1">
      <alignment horizontal="right"/>
      <protection hidden="1"/>
    </xf>
    <xf numFmtId="7" fontId="46" fillId="3" borderId="64" xfId="8" applyNumberFormat="1" applyFont="1" applyFill="1" applyBorder="1" applyAlignment="1" applyProtection="1">
      <alignment horizontal="right"/>
      <protection hidden="1"/>
    </xf>
    <xf numFmtId="7" fontId="46" fillId="3" borderId="63" xfId="8" applyNumberFormat="1" applyFont="1" applyFill="1" applyBorder="1" applyAlignment="1" applyProtection="1">
      <alignment horizontal="left"/>
      <protection hidden="1"/>
    </xf>
    <xf numFmtId="7" fontId="46" fillId="3" borderId="0" xfId="8" applyNumberFormat="1" applyFont="1" applyFill="1" applyBorder="1" applyAlignment="1" applyProtection="1">
      <alignment horizontal="left"/>
      <protection hidden="1"/>
    </xf>
    <xf numFmtId="0" fontId="45" fillId="21" borderId="65" xfId="6" applyFont="1" applyFill="1" applyBorder="1" applyAlignment="1">
      <alignment horizontal="left" wrapText="1"/>
    </xf>
    <xf numFmtId="0" fontId="45" fillId="22" borderId="66" xfId="6" applyFont="1" applyFill="1" applyBorder="1" applyAlignment="1">
      <alignment horizontal="left" wrapText="1"/>
    </xf>
    <xf numFmtId="10" fontId="45" fillId="22" borderId="67" xfId="7" applyNumberFormat="1" applyFont="1" applyFill="1" applyBorder="1" applyAlignment="1" applyProtection="1">
      <alignment horizontal="left"/>
      <protection hidden="1"/>
    </xf>
    <xf numFmtId="0" fontId="46" fillId="22" borderId="68" xfId="8" applyNumberFormat="1" applyFont="1" applyFill="1" applyBorder="1" applyAlignment="1" applyProtection="1">
      <alignment horizontal="right"/>
      <protection hidden="1"/>
    </xf>
    <xf numFmtId="0" fontId="50" fillId="23" borderId="67" xfId="6" applyFont="1" applyFill="1" applyBorder="1" applyAlignment="1">
      <alignment horizontal="left" wrapText="1"/>
    </xf>
    <xf numFmtId="10" fontId="50" fillId="23" borderId="67" xfId="7" applyNumberFormat="1" applyFont="1" applyFill="1" applyBorder="1" applyAlignment="1" applyProtection="1">
      <alignment horizontal="left"/>
      <protection hidden="1"/>
    </xf>
    <xf numFmtId="172" fontId="50" fillId="23" borderId="67" xfId="8" applyNumberFormat="1" applyFont="1" applyFill="1" applyBorder="1" applyAlignment="1" applyProtection="1">
      <protection hidden="1"/>
    </xf>
    <xf numFmtId="172" fontId="45" fillId="7" borderId="66" xfId="8" applyNumberFormat="1" applyFont="1" applyFill="1" applyBorder="1" applyAlignment="1" applyProtection="1">
      <protection hidden="1"/>
    </xf>
    <xf numFmtId="10" fontId="45" fillId="7" borderId="67" xfId="7" applyNumberFormat="1" applyFont="1" applyFill="1" applyBorder="1" applyAlignment="1" applyProtection="1">
      <alignment horizontal="left"/>
      <protection hidden="1"/>
    </xf>
    <xf numFmtId="172" fontId="45" fillId="7" borderId="67" xfId="8" applyNumberFormat="1" applyFont="1" applyFill="1" applyBorder="1" applyAlignment="1" applyProtection="1">
      <protection hidden="1"/>
    </xf>
    <xf numFmtId="172" fontId="50" fillId="13" borderId="67" xfId="8" applyNumberFormat="1" applyFont="1" applyFill="1" applyBorder="1" applyAlignment="1" applyProtection="1">
      <protection hidden="1"/>
    </xf>
    <xf numFmtId="10" fontId="50" fillId="13" borderId="67" xfId="7" applyNumberFormat="1" applyFont="1" applyFill="1" applyBorder="1" applyAlignment="1" applyProtection="1">
      <alignment horizontal="left"/>
      <protection hidden="1"/>
    </xf>
    <xf numFmtId="0" fontId="46" fillId="11" borderId="66" xfId="6" applyFont="1" applyFill="1" applyBorder="1" applyAlignment="1">
      <alignment horizontal="left" wrapText="1"/>
    </xf>
    <xf numFmtId="10" fontId="45" fillId="11" borderId="67" xfId="7" applyNumberFormat="1" applyFont="1" applyFill="1" applyBorder="1" applyAlignment="1" applyProtection="1">
      <alignment horizontal="left"/>
      <protection hidden="1"/>
    </xf>
    <xf numFmtId="172" fontId="45" fillId="11" borderId="67" xfId="8" applyNumberFormat="1" applyFont="1" applyFill="1" applyBorder="1" applyAlignment="1" applyProtection="1">
      <protection hidden="1"/>
    </xf>
    <xf numFmtId="0" fontId="50" fillId="24" borderId="67" xfId="6" applyFont="1" applyFill="1" applyBorder="1" applyAlignment="1">
      <alignment horizontal="left" wrapText="1"/>
    </xf>
    <xf numFmtId="10" fontId="50" fillId="24" borderId="67" xfId="7" applyNumberFormat="1" applyFont="1" applyFill="1" applyBorder="1" applyAlignment="1" applyProtection="1">
      <alignment horizontal="left"/>
      <protection hidden="1"/>
    </xf>
    <xf numFmtId="172" fontId="50" fillId="24" borderId="67" xfId="8" applyNumberFormat="1" applyFont="1" applyFill="1" applyBorder="1" applyAlignment="1" applyProtection="1">
      <protection hidden="1"/>
    </xf>
    <xf numFmtId="0" fontId="50" fillId="25" borderId="65" xfId="6" applyFont="1" applyFill="1" applyBorder="1" applyAlignment="1">
      <alignment horizontal="left" wrapText="1"/>
    </xf>
    <xf numFmtId="10" fontId="50" fillId="25" borderId="67" xfId="7" applyNumberFormat="1" applyFont="1" applyFill="1" applyBorder="1" applyAlignment="1" applyProtection="1">
      <alignment horizontal="left"/>
      <protection hidden="1"/>
    </xf>
    <xf numFmtId="172" fontId="50" fillId="25" borderId="69" xfId="8" applyNumberFormat="1" applyFont="1" applyFill="1" applyBorder="1" applyAlignment="1" applyProtection="1">
      <alignment horizontal="right"/>
      <protection hidden="1"/>
    </xf>
    <xf numFmtId="172" fontId="45" fillId="12" borderId="67" xfId="8" applyNumberFormat="1" applyFont="1" applyFill="1" applyBorder="1" applyAlignment="1" applyProtection="1">
      <alignment horizontal="right"/>
      <protection hidden="1"/>
    </xf>
    <xf numFmtId="10" fontId="45" fillId="12" borderId="67" xfId="7" applyNumberFormat="1" applyFont="1" applyFill="1" applyBorder="1" applyAlignment="1" applyProtection="1">
      <alignment horizontal="left"/>
      <protection hidden="1"/>
    </xf>
    <xf numFmtId="172" fontId="51" fillId="12" borderId="68" xfId="8" applyNumberFormat="1" applyFont="1" applyFill="1" applyBorder="1" applyAlignment="1" applyProtection="1">
      <protection hidden="1"/>
    </xf>
    <xf numFmtId="172" fontId="50" fillId="26" borderId="65" xfId="8" applyNumberFormat="1" applyFont="1" applyFill="1" applyBorder="1" applyAlignment="1" applyProtection="1">
      <alignment horizontal="right"/>
      <protection hidden="1"/>
    </xf>
    <xf numFmtId="10" fontId="50" fillId="26" borderId="67" xfId="7" applyNumberFormat="1" applyFont="1" applyFill="1" applyBorder="1" applyAlignment="1" applyProtection="1">
      <alignment horizontal="left"/>
      <protection hidden="1"/>
    </xf>
    <xf numFmtId="172" fontId="50" fillId="26" borderId="68" xfId="8" applyNumberFormat="1" applyFont="1" applyFill="1" applyBorder="1" applyAlignment="1" applyProtection="1">
      <protection hidden="1"/>
    </xf>
    <xf numFmtId="0" fontId="47" fillId="21" borderId="0" xfId="6" applyFont="1" applyFill="1" applyAlignment="1">
      <alignment horizontal="left" wrapText="1"/>
    </xf>
    <xf numFmtId="10" fontId="45" fillId="0" borderId="0" xfId="7" applyNumberFormat="1" applyFont="1" applyFill="1" applyBorder="1" applyAlignment="1" applyProtection="1">
      <alignment horizontal="left"/>
      <protection hidden="1"/>
    </xf>
    <xf numFmtId="172" fontId="46" fillId="0" borderId="60" xfId="8" applyNumberFormat="1" applyFont="1" applyFill="1" applyBorder="1" applyAlignment="1" applyProtection="1">
      <protection hidden="1"/>
    </xf>
    <xf numFmtId="0" fontId="51" fillId="0" borderId="0" xfId="6" applyFont="1" applyAlignment="1">
      <alignment horizontal="left" wrapText="1"/>
    </xf>
    <xf numFmtId="172" fontId="46" fillId="0" borderId="0" xfId="8" applyNumberFormat="1" applyFont="1" applyFill="1" applyBorder="1" applyAlignment="1" applyProtection="1">
      <protection hidden="1"/>
    </xf>
    <xf numFmtId="0" fontId="33" fillId="21" borderId="3" xfId="6" applyFont="1" applyFill="1" applyBorder="1" applyAlignment="1">
      <alignment horizontal="center" vertical="center" wrapText="1"/>
    </xf>
    <xf numFmtId="0" fontId="45" fillId="21" borderId="70" xfId="6" applyFont="1" applyFill="1" applyBorder="1" applyAlignment="1">
      <alignment horizontal="left" vertical="center"/>
    </xf>
    <xf numFmtId="0" fontId="46" fillId="3" borderId="47" xfId="6" applyFont="1" applyFill="1" applyBorder="1" applyAlignment="1" applyProtection="1">
      <alignment horizontal="left" vertical="center"/>
      <protection hidden="1"/>
    </xf>
    <xf numFmtId="172" fontId="46" fillId="3" borderId="48" xfId="8" applyNumberFormat="1" applyFont="1" applyFill="1" applyBorder="1" applyAlignment="1" applyProtection="1">
      <protection hidden="1"/>
    </xf>
    <xf numFmtId="172" fontId="46" fillId="3" borderId="47" xfId="8" applyNumberFormat="1" applyFont="1" applyFill="1" applyBorder="1" applyAlignment="1" applyProtection="1">
      <protection hidden="1"/>
    </xf>
    <xf numFmtId="172" fontId="46" fillId="3" borderId="48" xfId="8" applyNumberFormat="1" applyFont="1" applyFill="1" applyBorder="1" applyAlignment="1" applyProtection="1">
      <alignment horizontal="right"/>
      <protection hidden="1"/>
    </xf>
    <xf numFmtId="0" fontId="46" fillId="21" borderId="70" xfId="6" applyFont="1" applyFill="1" applyBorder="1" applyAlignment="1">
      <alignment horizontal="left" vertical="center"/>
    </xf>
    <xf numFmtId="0" fontId="45" fillId="21" borderId="70" xfId="6" applyFont="1" applyFill="1" applyBorder="1" applyAlignment="1">
      <alignment horizontal="left" vertical="center" wrapText="1"/>
    </xf>
    <xf numFmtId="0" fontId="46" fillId="3" borderId="47" xfId="6" applyFont="1" applyFill="1" applyBorder="1" applyAlignment="1" applyProtection="1">
      <alignment horizontal="left" vertical="center" wrapText="1"/>
      <protection hidden="1"/>
    </xf>
    <xf numFmtId="172" fontId="46" fillId="3" borderId="47" xfId="8" applyNumberFormat="1" applyFont="1" applyFill="1" applyBorder="1" applyAlignment="1" applyProtection="1">
      <alignment horizontal="right"/>
      <protection hidden="1"/>
    </xf>
    <xf numFmtId="10" fontId="46" fillId="3" borderId="0" xfId="8" applyNumberFormat="1" applyFont="1" applyFill="1" applyBorder="1" applyAlignment="1" applyProtection="1">
      <alignment horizontal="left" wrapText="1"/>
      <protection hidden="1"/>
    </xf>
    <xf numFmtId="7" fontId="46" fillId="3" borderId="48" xfId="8" applyNumberFormat="1" applyFont="1" applyFill="1" applyBorder="1" applyAlignment="1" applyProtection="1">
      <alignment horizontal="right"/>
      <protection hidden="1"/>
    </xf>
    <xf numFmtId="10" fontId="46" fillId="3" borderId="0" xfId="8" applyNumberFormat="1" applyFont="1" applyFill="1" applyBorder="1" applyAlignment="1" applyProtection="1">
      <alignment horizontal="right"/>
      <protection hidden="1"/>
    </xf>
    <xf numFmtId="7" fontId="46" fillId="3" borderId="47" xfId="8" applyNumberFormat="1" applyFont="1" applyFill="1" applyBorder="1" applyAlignment="1" applyProtection="1">
      <alignment horizontal="right"/>
      <protection hidden="1"/>
    </xf>
    <xf numFmtId="7" fontId="46" fillId="3" borderId="50" xfId="8" applyNumberFormat="1" applyFont="1" applyFill="1" applyBorder="1" applyAlignment="1" applyProtection="1">
      <alignment horizontal="right"/>
      <protection hidden="1"/>
    </xf>
    <xf numFmtId="172" fontId="46" fillId="3" borderId="51" xfId="8" applyNumberFormat="1" applyFont="1" applyFill="1" applyBorder="1" applyAlignment="1" applyProtection="1">
      <protection hidden="1"/>
    </xf>
    <xf numFmtId="0" fontId="46" fillId="3" borderId="49" xfId="6" applyFont="1" applyFill="1" applyBorder="1" applyAlignment="1" applyProtection="1">
      <alignment horizontal="left" vertical="center"/>
      <protection hidden="1"/>
    </xf>
    <xf numFmtId="0" fontId="46" fillId="3" borderId="50" xfId="6" applyFont="1" applyFill="1" applyBorder="1" applyAlignment="1" applyProtection="1">
      <alignment horizontal="left" vertical="center"/>
      <protection hidden="1"/>
    </xf>
    <xf numFmtId="0" fontId="45" fillId="21" borderId="3" xfId="6" applyFont="1" applyFill="1" applyBorder="1" applyAlignment="1">
      <alignment horizontal="left" wrapText="1"/>
    </xf>
    <xf numFmtId="0" fontId="45" fillId="2" borderId="41" xfId="6" applyFont="1" applyFill="1" applyBorder="1" applyAlignment="1">
      <alignment horizontal="left" wrapText="1"/>
    </xf>
    <xf numFmtId="10" fontId="45" fillId="2" borderId="42" xfId="7" applyNumberFormat="1" applyFont="1" applyFill="1" applyBorder="1" applyAlignment="1" applyProtection="1">
      <alignment horizontal="left"/>
      <protection hidden="1"/>
    </xf>
    <xf numFmtId="172" fontId="46" fillId="2" borderId="43" xfId="8" applyNumberFormat="1" applyFont="1" applyFill="1" applyBorder="1" applyAlignment="1" applyProtection="1">
      <protection hidden="1"/>
    </xf>
    <xf numFmtId="0" fontId="50" fillId="27" borderId="41" xfId="6" applyFont="1" applyFill="1" applyBorder="1" applyAlignment="1">
      <alignment horizontal="left" wrapText="1"/>
    </xf>
    <xf numFmtId="10" fontId="50" fillId="27" borderId="42" xfId="7" applyNumberFormat="1" applyFont="1" applyFill="1" applyBorder="1" applyAlignment="1" applyProtection="1">
      <alignment horizontal="left"/>
      <protection hidden="1"/>
    </xf>
    <xf numFmtId="172" fontId="50" fillId="27" borderId="43" xfId="8" applyNumberFormat="1" applyFont="1" applyFill="1" applyBorder="1" applyAlignment="1" applyProtection="1">
      <protection hidden="1"/>
    </xf>
    <xf numFmtId="172" fontId="45" fillId="2" borderId="42" xfId="8" applyNumberFormat="1" applyFont="1" applyFill="1" applyBorder="1" applyAlignment="1" applyProtection="1">
      <protection hidden="1"/>
    </xf>
    <xf numFmtId="172" fontId="46" fillId="2" borderId="71" xfId="8" applyNumberFormat="1" applyFont="1" applyFill="1" applyBorder="1" applyAlignment="1" applyProtection="1">
      <protection hidden="1"/>
    </xf>
    <xf numFmtId="172" fontId="50" fillId="27" borderId="42" xfId="8" applyNumberFormat="1" applyFont="1" applyFill="1" applyBorder="1" applyAlignment="1" applyProtection="1">
      <protection hidden="1"/>
    </xf>
    <xf numFmtId="0" fontId="46" fillId="2" borderId="50" xfId="6" applyFont="1" applyFill="1" applyBorder="1" applyAlignment="1">
      <alignment horizontal="left" wrapText="1"/>
    </xf>
    <xf numFmtId="10" fontId="46" fillId="2" borderId="0" xfId="6" applyNumberFormat="1" applyFont="1" applyFill="1" applyAlignment="1" applyProtection="1">
      <alignment horizontal="left" vertical="center" wrapText="1"/>
      <protection hidden="1"/>
    </xf>
    <xf numFmtId="172" fontId="46" fillId="2" borderId="48" xfId="8" applyNumberFormat="1" applyFont="1" applyFill="1" applyBorder="1" applyAlignment="1" applyProtection="1">
      <protection hidden="1"/>
    </xf>
    <xf numFmtId="0" fontId="46" fillId="2" borderId="65" xfId="6" applyFont="1" applyFill="1" applyBorder="1" applyAlignment="1">
      <alignment horizontal="left" wrapText="1"/>
    </xf>
    <xf numFmtId="10" fontId="45" fillId="2" borderId="67" xfId="7" applyNumberFormat="1" applyFont="1" applyFill="1" applyBorder="1" applyAlignment="1" applyProtection="1">
      <alignment horizontal="left"/>
      <protection hidden="1"/>
    </xf>
    <xf numFmtId="172" fontId="45" fillId="2" borderId="69" xfId="8" applyNumberFormat="1" applyFont="1" applyFill="1" applyBorder="1" applyAlignment="1" applyProtection="1">
      <alignment horizontal="right"/>
      <protection hidden="1"/>
    </xf>
    <xf numFmtId="172" fontId="45" fillId="28" borderId="41" xfId="8" applyNumberFormat="1" applyFont="1" applyFill="1" applyBorder="1" applyAlignment="1" applyProtection="1">
      <alignment horizontal="right"/>
      <protection hidden="1"/>
    </xf>
    <xf numFmtId="10" fontId="45" fillId="28" borderId="42" xfId="7" applyNumberFormat="1" applyFont="1" applyFill="1" applyBorder="1" applyAlignment="1" applyProtection="1">
      <alignment horizontal="left"/>
      <protection hidden="1"/>
    </xf>
    <xf numFmtId="172" fontId="45" fillId="28" borderId="43" xfId="8" applyNumberFormat="1" applyFont="1" applyFill="1" applyBorder="1" applyAlignment="1" applyProtection="1">
      <protection hidden="1"/>
    </xf>
    <xf numFmtId="172" fontId="45" fillId="28" borderId="42" xfId="8" applyNumberFormat="1" applyFont="1" applyFill="1" applyBorder="1" applyAlignment="1" applyProtection="1">
      <alignment horizontal="right"/>
      <protection hidden="1"/>
    </xf>
    <xf numFmtId="10" fontId="45" fillId="28" borderId="42" xfId="8" applyNumberFormat="1" applyFont="1" applyFill="1" applyBorder="1" applyAlignment="1" applyProtection="1">
      <alignment horizontal="left"/>
      <protection hidden="1"/>
    </xf>
    <xf numFmtId="172" fontId="51" fillId="28" borderId="71" xfId="8" applyNumberFormat="1" applyFont="1" applyFill="1" applyBorder="1" applyAlignment="1" applyProtection="1">
      <protection hidden="1"/>
    </xf>
    <xf numFmtId="172" fontId="50" fillId="27" borderId="41" xfId="8" applyNumberFormat="1" applyFont="1" applyFill="1" applyBorder="1" applyAlignment="1" applyProtection="1">
      <alignment horizontal="right"/>
      <protection hidden="1"/>
    </xf>
    <xf numFmtId="172" fontId="45" fillId="2" borderId="41" xfId="8" applyNumberFormat="1" applyFont="1" applyFill="1" applyBorder="1" applyAlignment="1" applyProtection="1">
      <alignment horizontal="right"/>
      <protection hidden="1"/>
    </xf>
    <xf numFmtId="10" fontId="45" fillId="2" borderId="42" xfId="8" applyNumberFormat="1" applyFont="1" applyFill="1" applyBorder="1" applyAlignment="1" applyProtection="1">
      <alignment horizontal="left"/>
      <protection hidden="1"/>
    </xf>
    <xf numFmtId="172" fontId="46" fillId="2" borderId="43" xfId="8" applyNumberFormat="1" applyFont="1" applyFill="1" applyBorder="1" applyAlignment="1" applyProtection="1">
      <alignment horizontal="right"/>
      <protection hidden="1"/>
    </xf>
    <xf numFmtId="0" fontId="47" fillId="21" borderId="45" xfId="6" applyFont="1" applyFill="1" applyBorder="1" applyAlignment="1">
      <alignment horizontal="left" wrapText="1"/>
    </xf>
    <xf numFmtId="172" fontId="49" fillId="2" borderId="48" xfId="8" applyNumberFormat="1" applyFont="1" applyFill="1" applyBorder="1" applyAlignment="1" applyProtection="1">
      <protection hidden="1"/>
    </xf>
    <xf numFmtId="172" fontId="50" fillId="27" borderId="71" xfId="8" applyNumberFormat="1" applyFont="1" applyFill="1" applyBorder="1" applyAlignment="1" applyProtection="1">
      <protection hidden="1"/>
    </xf>
    <xf numFmtId="172" fontId="49" fillId="2" borderId="71" xfId="8" applyNumberFormat="1" applyFont="1" applyFill="1" applyBorder="1" applyAlignment="1" applyProtection="1">
      <protection hidden="1"/>
    </xf>
    <xf numFmtId="172" fontId="53" fillId="27" borderId="71" xfId="8" applyNumberFormat="1" applyFont="1" applyFill="1" applyBorder="1" applyAlignment="1" applyProtection="1">
      <protection hidden="1"/>
    </xf>
    <xf numFmtId="172" fontId="51" fillId="2" borderId="71" xfId="8" applyNumberFormat="1" applyFont="1" applyFill="1" applyBorder="1" applyAlignment="1" applyProtection="1">
      <protection hidden="1"/>
    </xf>
    <xf numFmtId="0" fontId="47" fillId="21" borderId="47" xfId="6" applyFont="1" applyFill="1" applyBorder="1" applyAlignment="1">
      <alignment horizontal="left" wrapText="1"/>
    </xf>
    <xf numFmtId="0" fontId="51" fillId="2" borderId="47" xfId="6" applyFont="1" applyFill="1" applyBorder="1" applyAlignment="1">
      <alignment horizontal="left" wrapText="1"/>
    </xf>
    <xf numFmtId="10" fontId="51" fillId="2" borderId="0" xfId="7" applyNumberFormat="1" applyFont="1" applyFill="1" applyBorder="1" applyAlignment="1" applyProtection="1">
      <alignment horizontal="left"/>
      <protection hidden="1"/>
    </xf>
    <xf numFmtId="172" fontId="51" fillId="2" borderId="48" xfId="8" applyNumberFormat="1" applyFont="1" applyFill="1" applyBorder="1" applyAlignment="1" applyProtection="1">
      <protection hidden="1"/>
    </xf>
    <xf numFmtId="0" fontId="50" fillId="27" borderId="47" xfId="6" applyFont="1" applyFill="1" applyBorder="1" applyAlignment="1">
      <alignment horizontal="left" wrapText="1"/>
    </xf>
    <xf numFmtId="10" fontId="50" fillId="27" borderId="0" xfId="7" applyNumberFormat="1" applyFont="1" applyFill="1" applyBorder="1" applyAlignment="1" applyProtection="1">
      <alignment horizontal="left"/>
      <protection hidden="1"/>
    </xf>
    <xf numFmtId="172" fontId="50" fillId="27" borderId="48" xfId="8" applyNumberFormat="1" applyFont="1" applyFill="1" applyBorder="1" applyAlignment="1" applyProtection="1">
      <protection hidden="1"/>
    </xf>
    <xf numFmtId="172" fontId="51" fillId="2" borderId="0" xfId="8" applyNumberFormat="1" applyFont="1" applyFill="1" applyBorder="1" applyAlignment="1" applyProtection="1">
      <protection hidden="1"/>
    </xf>
    <xf numFmtId="172" fontId="50" fillId="27" borderId="0" xfId="8" applyNumberFormat="1" applyFont="1" applyFill="1" applyBorder="1" applyAlignment="1" applyProtection="1">
      <protection hidden="1"/>
    </xf>
    <xf numFmtId="10" fontId="51" fillId="28" borderId="48" xfId="7" applyNumberFormat="1" applyFont="1" applyFill="1" applyBorder="1" applyAlignment="1" applyProtection="1">
      <protection hidden="1"/>
    </xf>
    <xf numFmtId="10" fontId="53" fillId="27" borderId="48" xfId="7" applyNumberFormat="1" applyFont="1" applyFill="1" applyBorder="1" applyAlignment="1" applyProtection="1">
      <protection hidden="1"/>
    </xf>
    <xf numFmtId="10" fontId="51" fillId="2" borderId="48" xfId="7" applyNumberFormat="1" applyFont="1" applyFill="1" applyBorder="1" applyAlignment="1" applyProtection="1">
      <protection hidden="1"/>
    </xf>
    <xf numFmtId="0" fontId="51" fillId="21" borderId="49" xfId="6" applyFont="1" applyFill="1" applyBorder="1" applyAlignment="1">
      <alignment horizontal="left" wrapText="1"/>
    </xf>
    <xf numFmtId="0" fontId="51" fillId="2" borderId="49" xfId="6" applyFont="1" applyFill="1" applyBorder="1" applyAlignment="1">
      <alignment horizontal="left" wrapText="1"/>
    </xf>
    <xf numFmtId="10" fontId="51" fillId="2" borderId="50" xfId="7" applyNumberFormat="1" applyFont="1" applyFill="1" applyBorder="1" applyAlignment="1" applyProtection="1">
      <alignment horizontal="left"/>
      <protection hidden="1"/>
    </xf>
    <xf numFmtId="172" fontId="51" fillId="2" borderId="51" xfId="8" applyNumberFormat="1" applyFont="1" applyFill="1" applyBorder="1" applyAlignment="1" applyProtection="1">
      <protection hidden="1"/>
    </xf>
    <xf numFmtId="0" fontId="50" fillId="27" borderId="49" xfId="6" applyFont="1" applyFill="1" applyBorder="1" applyAlignment="1">
      <alignment horizontal="left" wrapText="1"/>
    </xf>
    <xf numFmtId="10" fontId="50" fillId="27" borderId="50" xfId="7" applyNumberFormat="1" applyFont="1" applyFill="1" applyBorder="1" applyAlignment="1" applyProtection="1">
      <alignment horizontal="left"/>
      <protection hidden="1"/>
    </xf>
    <xf numFmtId="172" fontId="50" fillId="27" borderId="51" xfId="8" applyNumberFormat="1" applyFont="1" applyFill="1" applyBorder="1" applyAlignment="1" applyProtection="1">
      <protection hidden="1"/>
    </xf>
    <xf numFmtId="172" fontId="51" fillId="2" borderId="50" xfId="8" applyNumberFormat="1" applyFont="1" applyFill="1" applyBorder="1" applyAlignment="1" applyProtection="1">
      <protection hidden="1"/>
    </xf>
    <xf numFmtId="172" fontId="50" fillId="27" borderId="50" xfId="8" applyNumberFormat="1" applyFont="1" applyFill="1" applyBorder="1" applyAlignment="1" applyProtection="1">
      <protection hidden="1"/>
    </xf>
    <xf numFmtId="172" fontId="51" fillId="28" borderId="49" xfId="8" applyNumberFormat="1" applyFont="1" applyFill="1" applyBorder="1" applyAlignment="1" applyProtection="1">
      <alignment horizontal="right"/>
      <protection hidden="1"/>
    </xf>
    <xf numFmtId="10" fontId="51" fillId="28" borderId="50" xfId="7" applyNumberFormat="1" applyFont="1" applyFill="1" applyBorder="1" applyAlignment="1" applyProtection="1">
      <alignment horizontal="left"/>
      <protection hidden="1"/>
    </xf>
    <xf numFmtId="173" fontId="51" fillId="28" borderId="51" xfId="8" applyNumberFormat="1" applyFont="1" applyFill="1" applyBorder="1" applyAlignment="1" applyProtection="1">
      <protection hidden="1"/>
    </xf>
    <xf numFmtId="172" fontId="51" fillId="28" borderId="50" xfId="8" applyNumberFormat="1" applyFont="1" applyFill="1" applyBorder="1" applyAlignment="1" applyProtection="1">
      <alignment horizontal="right"/>
      <protection hidden="1"/>
    </xf>
    <xf numFmtId="10" fontId="51" fillId="28" borderId="50" xfId="8" applyNumberFormat="1" applyFont="1" applyFill="1" applyBorder="1" applyAlignment="1" applyProtection="1">
      <alignment horizontal="left"/>
      <protection hidden="1"/>
    </xf>
    <xf numFmtId="172" fontId="53" fillId="27" borderId="49" xfId="8" applyNumberFormat="1" applyFont="1" applyFill="1" applyBorder="1" applyAlignment="1" applyProtection="1">
      <alignment horizontal="right"/>
      <protection hidden="1"/>
    </xf>
    <xf numFmtId="10" fontId="53" fillId="27" borderId="50" xfId="8" applyNumberFormat="1" applyFont="1" applyFill="1" applyBorder="1" applyAlignment="1" applyProtection="1">
      <alignment horizontal="left"/>
      <protection hidden="1"/>
    </xf>
    <xf numFmtId="168" fontId="53" fillId="27" borderId="51" xfId="8" applyFont="1" applyFill="1" applyBorder="1" applyAlignment="1" applyProtection="1">
      <protection hidden="1"/>
    </xf>
    <xf numFmtId="172" fontId="51" fillId="2" borderId="49" xfId="8" applyNumberFormat="1" applyFont="1" applyFill="1" applyBorder="1" applyAlignment="1" applyProtection="1">
      <alignment horizontal="right"/>
      <protection hidden="1"/>
    </xf>
    <xf numFmtId="10" fontId="51" fillId="2" borderId="50" xfId="8" applyNumberFormat="1" applyFont="1" applyFill="1" applyBorder="1" applyAlignment="1" applyProtection="1">
      <alignment horizontal="left"/>
      <protection hidden="1"/>
    </xf>
    <xf numFmtId="168" fontId="51" fillId="2" borderId="51" xfId="8" applyFont="1" applyFill="1" applyBorder="1" applyAlignment="1" applyProtection="1">
      <protection hidden="1"/>
    </xf>
    <xf numFmtId="0" fontId="45" fillId="21" borderId="41" xfId="6" applyFont="1" applyFill="1" applyBorder="1" applyAlignment="1">
      <alignment horizontal="left" wrapText="1"/>
    </xf>
    <xf numFmtId="172" fontId="45" fillId="2" borderId="43" xfId="8" applyNumberFormat="1" applyFont="1" applyFill="1" applyBorder="1" applyAlignment="1" applyProtection="1">
      <protection hidden="1"/>
    </xf>
    <xf numFmtId="172" fontId="46" fillId="2" borderId="42" xfId="8" applyNumberFormat="1" applyFont="1" applyFill="1" applyBorder="1" applyAlignment="1" applyProtection="1">
      <protection hidden="1"/>
    </xf>
    <xf numFmtId="0" fontId="46" fillId="2" borderId="41" xfId="6" applyFont="1" applyFill="1" applyBorder="1" applyAlignment="1">
      <alignment horizontal="left" wrapText="1"/>
    </xf>
    <xf numFmtId="10" fontId="46" fillId="2" borderId="42" xfId="7" applyNumberFormat="1" applyFont="1" applyFill="1" applyBorder="1" applyAlignment="1" applyProtection="1">
      <alignment horizontal="left"/>
      <protection hidden="1"/>
    </xf>
    <xf numFmtId="172" fontId="53" fillId="27" borderId="41" xfId="8" applyNumberFormat="1" applyFont="1" applyFill="1" applyBorder="1" applyAlignment="1" applyProtection="1">
      <alignment horizontal="right"/>
      <protection hidden="1"/>
    </xf>
    <xf numFmtId="10" fontId="53" fillId="27" borderId="42" xfId="8" applyNumberFormat="1" applyFont="1" applyFill="1" applyBorder="1" applyAlignment="1" applyProtection="1">
      <alignment horizontal="left"/>
      <protection hidden="1"/>
    </xf>
    <xf numFmtId="172" fontId="53" fillId="27" borderId="43" xfId="8" applyNumberFormat="1" applyFont="1" applyFill="1" applyBorder="1" applyAlignment="1" applyProtection="1">
      <protection hidden="1"/>
    </xf>
    <xf numFmtId="0" fontId="54" fillId="0" borderId="0" xfId="6" applyFont="1" applyAlignment="1" applyProtection="1">
      <protection hidden="1"/>
    </xf>
    <xf numFmtId="0" fontId="54" fillId="0" borderId="47" xfId="6" applyFont="1" applyBorder="1" applyAlignment="1" applyProtection="1">
      <protection hidden="1"/>
    </xf>
    <xf numFmtId="44" fontId="54" fillId="0" borderId="0" xfId="6" applyNumberFormat="1" applyFont="1" applyAlignment="1" applyProtection="1">
      <protection hidden="1"/>
    </xf>
    <xf numFmtId="0" fontId="28" fillId="0" borderId="47" xfId="6" applyBorder="1" applyAlignment="1" applyProtection="1">
      <protection hidden="1"/>
    </xf>
    <xf numFmtId="174" fontId="0" fillId="11" borderId="59" xfId="8" applyNumberFormat="1" applyFont="1" applyFill="1" applyBorder="1" applyAlignment="1" applyProtection="1">
      <protection hidden="1"/>
    </xf>
    <xf numFmtId="0" fontId="28" fillId="0" borderId="0" xfId="6" applyAlignment="1" applyProtection="1">
      <protection hidden="1"/>
    </xf>
    <xf numFmtId="0" fontId="28" fillId="0" borderId="48" xfId="6" applyBorder="1" applyAlignment="1" applyProtection="1">
      <protection hidden="1"/>
    </xf>
    <xf numFmtId="10" fontId="54" fillId="0" borderId="0" xfId="6" applyNumberFormat="1" applyFont="1" applyAlignment="1" applyProtection="1">
      <protection hidden="1"/>
    </xf>
    <xf numFmtId="10" fontId="28" fillId="0" borderId="0" xfId="6" applyNumberFormat="1" applyAlignment="1" applyProtection="1">
      <protection hidden="1"/>
    </xf>
    <xf numFmtId="0" fontId="54" fillId="29" borderId="47" xfId="6" applyFont="1" applyFill="1" applyBorder="1" applyAlignment="1" applyProtection="1">
      <protection hidden="1"/>
    </xf>
    <xf numFmtId="10" fontId="54" fillId="29" borderId="0" xfId="6" applyNumberFormat="1" applyFont="1" applyFill="1" applyAlignment="1" applyProtection="1">
      <protection hidden="1"/>
    </xf>
    <xf numFmtId="0" fontId="54" fillId="29" borderId="0" xfId="6" applyFont="1" applyFill="1" applyAlignment="1" applyProtection="1">
      <protection hidden="1"/>
    </xf>
    <xf numFmtId="0" fontId="28" fillId="11" borderId="47" xfId="6" applyFill="1" applyBorder="1" applyAlignment="1" applyProtection="1">
      <protection hidden="1"/>
    </xf>
    <xf numFmtId="10" fontId="28" fillId="11" borderId="0" xfId="6" applyNumberFormat="1" applyFill="1" applyAlignment="1" applyProtection="1">
      <protection hidden="1"/>
    </xf>
    <xf numFmtId="0" fontId="28" fillId="11" borderId="0" xfId="6" applyFill="1" applyAlignment="1" applyProtection="1">
      <protection hidden="1"/>
    </xf>
    <xf numFmtId="0" fontId="28" fillId="11" borderId="48" xfId="6" applyFill="1" applyBorder="1" applyAlignment="1" applyProtection="1">
      <protection hidden="1"/>
    </xf>
    <xf numFmtId="9" fontId="54" fillId="0" borderId="0" xfId="6" applyNumberFormat="1" applyFont="1" applyAlignment="1" applyProtection="1">
      <protection hidden="1"/>
    </xf>
    <xf numFmtId="0" fontId="54" fillId="29" borderId="72" xfId="6" applyFont="1" applyFill="1" applyBorder="1" applyAlignment="1" applyProtection="1">
      <protection hidden="1"/>
    </xf>
    <xf numFmtId="9" fontId="54" fillId="29" borderId="73" xfId="6" applyNumberFormat="1" applyFont="1" applyFill="1" applyBorder="1" applyAlignment="1" applyProtection="1">
      <protection hidden="1"/>
    </xf>
    <xf numFmtId="10" fontId="54" fillId="29" borderId="73" xfId="6" applyNumberFormat="1" applyFont="1" applyFill="1" applyBorder="1" applyAlignment="1" applyProtection="1">
      <protection hidden="1"/>
    </xf>
    <xf numFmtId="10" fontId="54" fillId="29" borderId="74" xfId="6" applyNumberFormat="1" applyFont="1" applyFill="1" applyBorder="1" applyAlignment="1" applyProtection="1">
      <protection hidden="1"/>
    </xf>
    <xf numFmtId="0" fontId="28" fillId="11" borderId="72" xfId="6" applyFill="1" applyBorder="1" applyAlignment="1" applyProtection="1">
      <protection hidden="1"/>
    </xf>
    <xf numFmtId="9" fontId="28" fillId="11" borderId="73" xfId="6" applyNumberFormat="1" applyFill="1" applyBorder="1" applyAlignment="1" applyProtection="1">
      <protection hidden="1"/>
    </xf>
    <xf numFmtId="10" fontId="0" fillId="11" borderId="73" xfId="7" applyNumberFormat="1" applyFont="1" applyFill="1" applyBorder="1" applyAlignment="1" applyProtection="1">
      <protection hidden="1"/>
    </xf>
    <xf numFmtId="10" fontId="0" fillId="11" borderId="74" xfId="7" applyNumberFormat="1" applyFont="1" applyFill="1" applyBorder="1" applyAlignment="1" applyProtection="1">
      <protection hidden="1"/>
    </xf>
    <xf numFmtId="10" fontId="55" fillId="0" borderId="0" xfId="6" applyNumberFormat="1" applyFont="1" applyAlignment="1" applyProtection="1">
      <protection hidden="1"/>
    </xf>
    <xf numFmtId="44" fontId="54" fillId="29" borderId="59" xfId="6" applyNumberFormat="1" applyFont="1" applyFill="1" applyBorder="1" applyAlignment="1" applyProtection="1">
      <protection hidden="1"/>
    </xf>
    <xf numFmtId="10" fontId="1" fillId="30" borderId="45" xfId="7" applyNumberFormat="1" applyFont="1" applyFill="1" applyBorder="1" applyAlignment="1" applyProtection="1">
      <protection hidden="1"/>
    </xf>
    <xf numFmtId="10" fontId="1" fillId="30" borderId="46" xfId="7" applyNumberFormat="1" applyFont="1" applyFill="1" applyBorder="1" applyAlignment="1" applyProtection="1">
      <protection hidden="1"/>
    </xf>
    <xf numFmtId="10" fontId="1" fillId="30" borderId="71" xfId="7" applyNumberFormat="1" applyFont="1" applyFill="1" applyBorder="1" applyAlignment="1" applyProtection="1">
      <protection hidden="1"/>
    </xf>
    <xf numFmtId="10" fontId="0" fillId="11" borderId="0" xfId="7" applyNumberFormat="1" applyFont="1" applyFill="1" applyBorder="1" applyAlignment="1" applyProtection="1">
      <protection hidden="1"/>
    </xf>
    <xf numFmtId="10" fontId="27" fillId="11" borderId="0" xfId="7" applyNumberFormat="1" applyFont="1" applyFill="1" applyBorder="1" applyAlignment="1" applyProtection="1">
      <protection hidden="1"/>
    </xf>
    <xf numFmtId="10" fontId="25" fillId="11" borderId="0" xfId="7" applyNumberFormat="1" applyFont="1" applyFill="1" applyBorder="1" applyAlignment="1" applyProtection="1">
      <protection hidden="1"/>
    </xf>
    <xf numFmtId="10" fontId="0" fillId="11" borderId="61" xfId="7" applyNumberFormat="1" applyFont="1" applyFill="1" applyBorder="1" applyAlignment="1" applyProtection="1">
      <protection hidden="1"/>
    </xf>
    <xf numFmtId="10" fontId="1" fillId="30" borderId="47" xfId="7" applyNumberFormat="1" applyFont="1" applyFill="1" applyBorder="1" applyAlignment="1" applyProtection="1">
      <protection hidden="1"/>
    </xf>
    <xf numFmtId="10" fontId="1" fillId="30" borderId="0" xfId="7" applyNumberFormat="1" applyFont="1" applyFill="1" applyBorder="1" applyAlignment="1" applyProtection="1">
      <protection hidden="1"/>
    </xf>
    <xf numFmtId="10" fontId="1" fillId="30" borderId="48" xfId="7" applyNumberFormat="1" applyFont="1" applyFill="1" applyBorder="1" applyAlignment="1" applyProtection="1">
      <protection hidden="1"/>
    </xf>
    <xf numFmtId="10" fontId="1" fillId="30" borderId="49" xfId="7" applyNumberFormat="1" applyFont="1" applyFill="1" applyBorder="1" applyAlignment="1" applyProtection="1">
      <protection hidden="1"/>
    </xf>
    <xf numFmtId="10" fontId="1" fillId="30" borderId="50" xfId="7" applyNumberFormat="1" applyFont="1" applyFill="1" applyBorder="1" applyAlignment="1" applyProtection="1">
      <protection hidden="1"/>
    </xf>
    <xf numFmtId="10" fontId="1" fillId="30" borderId="51" xfId="7" applyNumberFormat="1" applyFont="1" applyFill="1" applyBorder="1" applyAlignment="1" applyProtection="1">
      <protection hidden="1"/>
    </xf>
    <xf numFmtId="174" fontId="0" fillId="11" borderId="75" xfId="8" applyNumberFormat="1" applyFont="1" applyFill="1" applyBorder="1" applyAlignment="1" applyProtection="1">
      <protection hidden="1"/>
    </xf>
    <xf numFmtId="10" fontId="0" fillId="11" borderId="76" xfId="7" applyNumberFormat="1" applyFont="1" applyFill="1" applyBorder="1" applyAlignment="1" applyProtection="1">
      <protection hidden="1"/>
    </xf>
    <xf numFmtId="10" fontId="27" fillId="11" borderId="76" xfId="7" applyNumberFormat="1" applyFont="1" applyFill="1" applyBorder="1" applyAlignment="1" applyProtection="1">
      <protection hidden="1"/>
    </xf>
    <xf numFmtId="10" fontId="0" fillId="11" borderId="77" xfId="7" applyNumberFormat="1" applyFont="1" applyFill="1" applyBorder="1" applyAlignment="1" applyProtection="1">
      <protection hidden="1"/>
    </xf>
    <xf numFmtId="10" fontId="55" fillId="0" borderId="0" xfId="6" applyNumberFormat="1" applyFont="1" applyProtection="1">
      <alignment vertical="center"/>
      <protection hidden="1"/>
    </xf>
    <xf numFmtId="44" fontId="54" fillId="29" borderId="0" xfId="6" applyNumberFormat="1" applyFont="1" applyFill="1" applyAlignment="1" applyProtection="1">
      <protection hidden="1"/>
    </xf>
    <xf numFmtId="174" fontId="0" fillId="11" borderId="0" xfId="8" applyNumberFormat="1" applyFont="1" applyFill="1" applyAlignment="1" applyProtection="1">
      <protection hidden="1"/>
    </xf>
    <xf numFmtId="44" fontId="54" fillId="29" borderId="0" xfId="6" applyNumberFormat="1" applyFont="1" applyFill="1" applyAlignment="1" applyProtection="1">
      <alignment horizontal="center"/>
      <protection hidden="1"/>
    </xf>
    <xf numFmtId="0" fontId="54" fillId="29" borderId="0" xfId="6" applyFont="1" applyFill="1" applyAlignment="1" applyProtection="1">
      <alignment horizontal="center"/>
      <protection hidden="1"/>
    </xf>
    <xf numFmtId="168" fontId="0" fillId="11" borderId="0" xfId="8" applyFont="1" applyFill="1" applyAlignment="1" applyProtection="1">
      <protection hidden="1"/>
    </xf>
    <xf numFmtId="10" fontId="0" fillId="11" borderId="48" xfId="7" applyNumberFormat="1" applyFont="1" applyFill="1" applyBorder="1" applyAlignment="1" applyProtection="1">
      <protection hidden="1"/>
    </xf>
    <xf numFmtId="44" fontId="54" fillId="0" borderId="0" xfId="6" applyNumberFormat="1" applyFont="1" applyAlignment="1" applyProtection="1">
      <alignment horizontal="center"/>
      <protection hidden="1"/>
    </xf>
    <xf numFmtId="0" fontId="54" fillId="0" borderId="0" xfId="6" applyFont="1" applyAlignment="1" applyProtection="1">
      <alignment horizontal="center"/>
      <protection hidden="1"/>
    </xf>
    <xf numFmtId="168" fontId="0" fillId="11" borderId="0" xfId="8" applyFont="1" applyFill="1" applyAlignment="1" applyProtection="1">
      <alignment horizontal="center"/>
      <protection hidden="1"/>
    </xf>
    <xf numFmtId="0" fontId="28" fillId="11" borderId="0" xfId="6" applyFill="1" applyAlignment="1" applyProtection="1">
      <alignment horizontal="center"/>
      <protection hidden="1"/>
    </xf>
    <xf numFmtId="10" fontId="0" fillId="11" borderId="0" xfId="7" applyNumberFormat="1" applyFont="1" applyFill="1" applyAlignment="1" applyProtection="1">
      <protection hidden="1"/>
    </xf>
    <xf numFmtId="10" fontId="56" fillId="0" borderId="0" xfId="6" applyNumberFormat="1" applyFont="1" applyAlignment="1" applyProtection="1">
      <protection hidden="1"/>
    </xf>
    <xf numFmtId="10" fontId="56" fillId="31" borderId="0" xfId="6" applyNumberFormat="1" applyFont="1" applyFill="1" applyAlignment="1" applyProtection="1">
      <protection hidden="1"/>
    </xf>
    <xf numFmtId="10" fontId="7" fillId="32" borderId="0" xfId="7" applyNumberFormat="1" applyFont="1" applyFill="1" applyAlignment="1" applyProtection="1">
      <protection hidden="1"/>
    </xf>
    <xf numFmtId="10" fontId="54" fillId="29" borderId="47" xfId="6" applyNumberFormat="1" applyFont="1" applyFill="1" applyBorder="1" applyAlignment="1" applyProtection="1">
      <protection hidden="1"/>
    </xf>
    <xf numFmtId="10" fontId="0" fillId="11" borderId="47" xfId="7" applyNumberFormat="1" applyFont="1" applyFill="1" applyBorder="1" applyAlignment="1" applyProtection="1">
      <protection hidden="1"/>
    </xf>
    <xf numFmtId="10" fontId="54" fillId="29" borderId="49" xfId="6" applyNumberFormat="1" applyFont="1" applyFill="1" applyBorder="1" applyAlignment="1" applyProtection="1">
      <protection hidden="1"/>
    </xf>
    <xf numFmtId="0" fontId="54" fillId="29" borderId="50" xfId="6" applyFont="1" applyFill="1" applyBorder="1" applyAlignment="1" applyProtection="1">
      <protection hidden="1"/>
    </xf>
    <xf numFmtId="10" fontId="0" fillId="11" borderId="49" xfId="7" applyNumberFormat="1" applyFont="1" applyFill="1" applyBorder="1" applyAlignment="1" applyProtection="1">
      <protection hidden="1"/>
    </xf>
    <xf numFmtId="0" fontId="28" fillId="11" borderId="50" xfId="6" applyFill="1" applyBorder="1" applyAlignment="1" applyProtection="1">
      <protection hidden="1"/>
    </xf>
    <xf numFmtId="0" fontId="28" fillId="11" borderId="51" xfId="6" applyFill="1" applyBorder="1" applyAlignment="1" applyProtection="1">
      <protection hidden="1"/>
    </xf>
    <xf numFmtId="0" fontId="32" fillId="33" borderId="0" xfId="6" applyFont="1" applyFill="1" applyAlignment="1" applyProtection="1">
      <protection hidden="1"/>
    </xf>
    <xf numFmtId="10" fontId="32" fillId="33" borderId="0" xfId="6" applyNumberFormat="1" applyFont="1" applyFill="1" applyAlignment="1" applyProtection="1">
      <protection hidden="1"/>
    </xf>
    <xf numFmtId="0" fontId="32" fillId="33" borderId="72" xfId="6" applyFont="1" applyFill="1" applyBorder="1" applyAlignment="1" applyProtection="1">
      <protection hidden="1"/>
    </xf>
    <xf numFmtId="10" fontId="32" fillId="33" borderId="73" xfId="7" applyNumberFormat="1" applyFont="1" applyFill="1" applyBorder="1" applyAlignment="1" applyProtection="1">
      <protection hidden="1"/>
    </xf>
    <xf numFmtId="10" fontId="1" fillId="33" borderId="74" xfId="7" applyNumberFormat="1" applyFont="1" applyFill="1" applyBorder="1" applyAlignment="1" applyProtection="1">
      <protection hidden="1"/>
    </xf>
    <xf numFmtId="10" fontId="32" fillId="33" borderId="0" xfId="7" applyNumberFormat="1" applyFont="1" applyFill="1" applyAlignment="1" applyProtection="1">
      <protection hidden="1"/>
    </xf>
    <xf numFmtId="168" fontId="32" fillId="33" borderId="59" xfId="8" applyFont="1" applyFill="1" applyBorder="1" applyAlignment="1" applyProtection="1">
      <protection hidden="1"/>
    </xf>
    <xf numFmtId="10" fontId="1" fillId="33" borderId="0" xfId="7" applyNumberFormat="1" applyFont="1" applyFill="1" applyBorder="1" applyAlignment="1" applyProtection="1">
      <protection hidden="1"/>
    </xf>
    <xf numFmtId="10" fontId="32" fillId="33" borderId="0" xfId="7" applyNumberFormat="1" applyFont="1" applyFill="1" applyBorder="1" applyAlignment="1" applyProtection="1">
      <protection hidden="1"/>
    </xf>
    <xf numFmtId="10" fontId="32" fillId="33" borderId="0" xfId="8" applyNumberFormat="1" applyFont="1" applyFill="1" applyBorder="1" applyAlignment="1" applyProtection="1">
      <protection hidden="1"/>
    </xf>
    <xf numFmtId="10" fontId="32" fillId="33" borderId="61" xfId="7" applyNumberFormat="1" applyFont="1" applyFill="1" applyBorder="1" applyAlignment="1" applyProtection="1">
      <protection hidden="1"/>
    </xf>
    <xf numFmtId="44" fontId="57" fillId="29" borderId="59" xfId="6" applyNumberFormat="1" applyFont="1" applyFill="1" applyBorder="1" applyAlignment="1" applyProtection="1">
      <protection hidden="1"/>
    </xf>
    <xf numFmtId="168" fontId="32" fillId="33" borderId="75" xfId="8" applyFont="1" applyFill="1" applyBorder="1" applyAlignment="1" applyProtection="1">
      <protection hidden="1"/>
    </xf>
    <xf numFmtId="10" fontId="32" fillId="33" borderId="76" xfId="8" applyNumberFormat="1" applyFont="1" applyFill="1" applyBorder="1" applyAlignment="1" applyProtection="1">
      <protection hidden="1"/>
    </xf>
    <xf numFmtId="10" fontId="32" fillId="33" borderId="76" xfId="7" applyNumberFormat="1" applyFont="1" applyFill="1" applyBorder="1" applyAlignment="1" applyProtection="1">
      <protection hidden="1"/>
    </xf>
    <xf numFmtId="10" fontId="32" fillId="33" borderId="77" xfId="7" applyNumberFormat="1" applyFont="1" applyFill="1" applyBorder="1" applyAlignment="1" applyProtection="1">
      <protection hidden="1"/>
    </xf>
    <xf numFmtId="168" fontId="32" fillId="33" borderId="0" xfId="8" applyFont="1" applyFill="1" applyAlignment="1" applyProtection="1">
      <protection hidden="1"/>
    </xf>
    <xf numFmtId="168" fontId="32" fillId="33" borderId="0" xfId="8" applyFont="1" applyFill="1" applyAlignment="1" applyProtection="1">
      <alignment horizontal="center"/>
      <protection hidden="1"/>
    </xf>
    <xf numFmtId="0" fontId="32" fillId="33" borderId="0" xfId="6" applyFont="1" applyFill="1" applyAlignment="1" applyProtection="1">
      <alignment horizontal="center"/>
      <protection hidden="1"/>
    </xf>
    <xf numFmtId="10" fontId="1" fillId="33" borderId="0" xfId="8" applyNumberFormat="1" applyFont="1" applyFill="1" applyBorder="1" applyAlignment="1" applyProtection="1">
      <protection hidden="1"/>
    </xf>
    <xf numFmtId="0" fontId="32" fillId="33" borderId="0" xfId="6" applyFont="1" applyFill="1" applyAlignment="1" applyProtection="1">
      <alignment horizontal="left"/>
      <protection hidden="1"/>
    </xf>
    <xf numFmtId="10" fontId="7" fillId="32" borderId="0" xfId="7" applyNumberFormat="1" applyFont="1" applyFill="1" applyBorder="1" applyAlignment="1" applyProtection="1">
      <protection hidden="1"/>
    </xf>
    <xf numFmtId="0" fontId="32" fillId="11" borderId="72" xfId="6" applyFont="1" applyFill="1" applyBorder="1" applyAlignment="1" applyProtection="1">
      <protection hidden="1"/>
    </xf>
    <xf numFmtId="9" fontId="32" fillId="11" borderId="73" xfId="6" applyNumberFormat="1" applyFont="1" applyFill="1" applyBorder="1" applyAlignment="1" applyProtection="1">
      <protection hidden="1"/>
    </xf>
    <xf numFmtId="10" fontId="32" fillId="11" borderId="73" xfId="7" applyNumberFormat="1" applyFont="1" applyFill="1" applyBorder="1" applyAlignment="1" applyProtection="1">
      <protection hidden="1"/>
    </xf>
    <xf numFmtId="10" fontId="32" fillId="11" borderId="74" xfId="7" applyNumberFormat="1" applyFont="1" applyFill="1" applyBorder="1" applyAlignment="1" applyProtection="1">
      <protection hidden="1"/>
    </xf>
    <xf numFmtId="44" fontId="1" fillId="29" borderId="59" xfId="6" applyNumberFormat="1" applyFont="1" applyFill="1" applyBorder="1" applyAlignment="1" applyProtection="1">
      <protection hidden="1"/>
    </xf>
    <xf numFmtId="10" fontId="32" fillId="11" borderId="0" xfId="7" applyNumberFormat="1" applyFont="1" applyFill="1" applyBorder="1" applyAlignment="1" applyProtection="1">
      <protection hidden="1"/>
    </xf>
    <xf numFmtId="10" fontId="2" fillId="11" borderId="0" xfId="7" applyNumberFormat="1" applyFont="1" applyFill="1" applyBorder="1" applyAlignment="1" applyProtection="1">
      <protection hidden="1"/>
    </xf>
    <xf numFmtId="10" fontId="2" fillId="11" borderId="76" xfId="7" applyNumberFormat="1" applyFont="1" applyFill="1" applyBorder="1" applyAlignment="1" applyProtection="1">
      <protection hidden="1"/>
    </xf>
    <xf numFmtId="10" fontId="2" fillId="11" borderId="73" xfId="7" applyNumberFormat="1" applyFont="1" applyFill="1" applyBorder="1" applyAlignment="1" applyProtection="1">
      <alignment vertical="center"/>
      <protection hidden="1"/>
    </xf>
    <xf numFmtId="168" fontId="32" fillId="11" borderId="0" xfId="8" applyFont="1" applyFill="1" applyAlignment="1" applyProtection="1">
      <protection hidden="1"/>
    </xf>
    <xf numFmtId="0" fontId="32" fillId="11" borderId="0" xfId="6" applyFont="1" applyFill="1" applyAlignment="1" applyProtection="1">
      <protection hidden="1"/>
    </xf>
    <xf numFmtId="168" fontId="32" fillId="11" borderId="0" xfId="8" applyFont="1" applyFill="1" applyAlignment="1" applyProtection="1">
      <alignment horizontal="center"/>
      <protection hidden="1"/>
    </xf>
    <xf numFmtId="0" fontId="32" fillId="11" borderId="0" xfId="6" applyFont="1" applyFill="1" applyAlignment="1" applyProtection="1">
      <alignment horizontal="center"/>
      <protection hidden="1"/>
    </xf>
    <xf numFmtId="0" fontId="32" fillId="11" borderId="2" xfId="6" applyFont="1" applyFill="1" applyBorder="1" applyAlignment="1" applyProtection="1">
      <protection hidden="1"/>
    </xf>
    <xf numFmtId="10" fontId="2" fillId="11" borderId="2" xfId="7" applyNumberFormat="1" applyFont="1" applyFill="1" applyBorder="1" applyAlignment="1" applyProtection="1">
      <alignment vertical="center"/>
      <protection hidden="1"/>
    </xf>
    <xf numFmtId="10" fontId="0" fillId="10" borderId="0" xfId="7" applyNumberFormat="1" applyFont="1" applyFill="1" applyAlignment="1" applyProtection="1">
      <protection hidden="1"/>
    </xf>
    <xf numFmtId="0" fontId="28" fillId="5" borderId="0" xfId="6" applyFill="1" applyAlignment="1" applyProtection="1">
      <protection hidden="1"/>
    </xf>
    <xf numFmtId="10" fontId="0" fillId="5" borderId="0" xfId="7" applyNumberFormat="1" applyFont="1" applyFill="1" applyBorder="1" applyAlignment="1" applyProtection="1">
      <protection hidden="1"/>
    </xf>
    <xf numFmtId="10" fontId="28" fillId="5" borderId="0" xfId="6" applyNumberFormat="1" applyFill="1" applyAlignment="1" applyProtection="1">
      <protection hidden="1"/>
    </xf>
    <xf numFmtId="10" fontId="0" fillId="5" borderId="0" xfId="7" applyNumberFormat="1" applyFont="1" applyFill="1" applyBorder="1" applyAlignment="1" applyProtection="1">
      <alignment horizontal="right"/>
      <protection hidden="1"/>
    </xf>
    <xf numFmtId="0" fontId="32" fillId="5" borderId="45" xfId="6" applyFont="1" applyFill="1" applyBorder="1" applyAlignment="1" applyProtection="1">
      <protection hidden="1"/>
    </xf>
    <xf numFmtId="10" fontId="32" fillId="5" borderId="46" xfId="7" applyNumberFormat="1" applyFont="1" applyFill="1" applyBorder="1" applyAlignment="1" applyProtection="1">
      <protection hidden="1"/>
    </xf>
    <xf numFmtId="10" fontId="2" fillId="5" borderId="46" xfId="7" applyNumberFormat="1" applyFont="1" applyFill="1" applyBorder="1" applyAlignment="1" applyProtection="1">
      <alignment horizontal="center"/>
      <protection hidden="1"/>
    </xf>
    <xf numFmtId="0" fontId="32" fillId="5" borderId="0" xfId="6" applyFont="1" applyFill="1" applyAlignment="1" applyProtection="1">
      <protection hidden="1"/>
    </xf>
    <xf numFmtId="10" fontId="2" fillId="5" borderId="0" xfId="7" applyNumberFormat="1" applyFont="1" applyFill="1" applyBorder="1" applyAlignment="1" applyProtection="1">
      <protection hidden="1"/>
    </xf>
    <xf numFmtId="10" fontId="2" fillId="5" borderId="48" xfId="7" applyNumberFormat="1" applyFont="1" applyFill="1" applyBorder="1" applyAlignment="1" applyProtection="1">
      <alignment horizontal="center"/>
      <protection hidden="1"/>
    </xf>
    <xf numFmtId="10" fontId="2" fillId="5" borderId="50" xfId="7" applyNumberFormat="1" applyFont="1" applyFill="1" applyBorder="1" applyAlignment="1" applyProtection="1">
      <protection hidden="1"/>
    </xf>
    <xf numFmtId="10" fontId="2" fillId="5" borderId="51" xfId="7" applyNumberFormat="1" applyFont="1" applyFill="1" applyBorder="1" applyAlignment="1" applyProtection="1">
      <alignment horizontal="center"/>
      <protection hidden="1"/>
    </xf>
    <xf numFmtId="168" fontId="32" fillId="5" borderId="0" xfId="8" applyFont="1" applyFill="1" applyBorder="1" applyAlignment="1" applyProtection="1">
      <protection hidden="1"/>
    </xf>
    <xf numFmtId="10" fontId="32" fillId="5" borderId="0" xfId="7" applyNumberFormat="1" applyFont="1" applyFill="1" applyBorder="1" applyAlignment="1" applyProtection="1">
      <alignment horizontal="right"/>
      <protection hidden="1"/>
    </xf>
    <xf numFmtId="168" fontId="32" fillId="5" borderId="0" xfId="8" applyFont="1" applyFill="1" applyBorder="1" applyAlignment="1" applyProtection="1">
      <alignment horizontal="center"/>
      <protection hidden="1"/>
    </xf>
    <xf numFmtId="0" fontId="32" fillId="5" borderId="0" xfId="6" applyFont="1" applyFill="1" applyAlignment="1" applyProtection="1">
      <alignment horizontal="center"/>
      <protection hidden="1"/>
    </xf>
    <xf numFmtId="10" fontId="32" fillId="5" borderId="0" xfId="7" applyNumberFormat="1" applyFont="1" applyFill="1" applyBorder="1" applyAlignment="1" applyProtection="1">
      <protection hidden="1"/>
    </xf>
    <xf numFmtId="0" fontId="1" fillId="5" borderId="45" xfId="6" applyFont="1" applyFill="1" applyBorder="1" applyAlignment="1" applyProtection="1">
      <protection hidden="1"/>
    </xf>
    <xf numFmtId="10" fontId="2" fillId="5" borderId="41" xfId="7" applyNumberFormat="1" applyFont="1" applyFill="1" applyBorder="1" applyAlignment="1" applyProtection="1">
      <alignment horizontal="center"/>
      <protection hidden="1"/>
    </xf>
    <xf numFmtId="10" fontId="2" fillId="5" borderId="42" xfId="7" applyNumberFormat="1" applyFont="1" applyFill="1" applyBorder="1" applyAlignment="1" applyProtection="1">
      <alignment horizontal="center"/>
      <protection hidden="1"/>
    </xf>
    <xf numFmtId="9" fontId="2" fillId="5" borderId="42" xfId="6" applyNumberFormat="1" applyFont="1" applyFill="1" applyBorder="1" applyAlignment="1" applyProtection="1">
      <alignment horizontal="center"/>
      <protection hidden="1"/>
    </xf>
    <xf numFmtId="9" fontId="2" fillId="5" borderId="43" xfId="6" applyNumberFormat="1" applyFont="1" applyFill="1" applyBorder="1" applyAlignment="1" applyProtection="1">
      <alignment horizontal="center"/>
      <protection hidden="1"/>
    </xf>
    <xf numFmtId="10" fontId="2" fillId="5" borderId="48" xfId="7" applyNumberFormat="1" applyFont="1" applyFill="1" applyBorder="1" applyAlignment="1" applyProtection="1">
      <protection hidden="1"/>
    </xf>
    <xf numFmtId="168" fontId="0" fillId="5" borderId="0" xfId="8" applyFont="1" applyFill="1" applyBorder="1" applyAlignment="1" applyProtection="1">
      <protection hidden="1"/>
    </xf>
    <xf numFmtId="10" fontId="2" fillId="5" borderId="51" xfId="7" applyNumberFormat="1" applyFont="1" applyFill="1" applyBorder="1" applyAlignment="1" applyProtection="1">
      <protection hidden="1"/>
    </xf>
    <xf numFmtId="10" fontId="0" fillId="5" borderId="0" xfId="7" applyNumberFormat="1" applyFont="1" applyFill="1" applyAlignment="1" applyProtection="1">
      <protection hidden="1"/>
    </xf>
    <xf numFmtId="0" fontId="31" fillId="34" borderId="0" xfId="6" applyFont="1" applyFill="1" applyAlignment="1" applyProtection="1">
      <alignment wrapText="1"/>
      <protection hidden="1"/>
    </xf>
    <xf numFmtId="0" fontId="28" fillId="35" borderId="0" xfId="6" applyFill="1" applyAlignment="1" applyProtection="1">
      <protection hidden="1"/>
    </xf>
    <xf numFmtId="0" fontId="28" fillId="35" borderId="45" xfId="6" applyFill="1" applyBorder="1" applyAlignment="1" applyProtection="1">
      <protection hidden="1"/>
    </xf>
    <xf numFmtId="10" fontId="0" fillId="35" borderId="46" xfId="7" applyNumberFormat="1" applyFont="1" applyFill="1" applyBorder="1" applyAlignment="1" applyProtection="1">
      <protection hidden="1"/>
    </xf>
    <xf numFmtId="10" fontId="0" fillId="35" borderId="71" xfId="7" applyNumberFormat="1" applyFont="1" applyFill="1" applyBorder="1" applyAlignment="1" applyProtection="1">
      <protection hidden="1"/>
    </xf>
    <xf numFmtId="10" fontId="0" fillId="35" borderId="0" xfId="7" applyNumberFormat="1" applyFont="1" applyFill="1" applyAlignment="1" applyProtection="1">
      <protection hidden="1"/>
    </xf>
    <xf numFmtId="10" fontId="0" fillId="35" borderId="48" xfId="7" applyNumberFormat="1" applyFont="1" applyFill="1" applyBorder="1" applyAlignment="1" applyProtection="1">
      <protection hidden="1"/>
    </xf>
    <xf numFmtId="10" fontId="0" fillId="35" borderId="50" xfId="7" applyNumberFormat="1" applyFont="1" applyFill="1" applyBorder="1" applyAlignment="1" applyProtection="1">
      <protection hidden="1"/>
    </xf>
    <xf numFmtId="10" fontId="0" fillId="35" borderId="51" xfId="7" applyNumberFormat="1" applyFont="1" applyFill="1" applyBorder="1" applyAlignment="1" applyProtection="1">
      <protection hidden="1"/>
    </xf>
    <xf numFmtId="10" fontId="0" fillId="35" borderId="0" xfId="7" applyNumberFormat="1" applyFont="1" applyFill="1" applyBorder="1" applyAlignment="1" applyProtection="1">
      <protection hidden="1"/>
    </xf>
    <xf numFmtId="0" fontId="28" fillId="35" borderId="0" xfId="6" applyFill="1" applyAlignment="1" applyProtection="1">
      <alignment horizontal="center"/>
      <protection hidden="1"/>
    </xf>
    <xf numFmtId="10" fontId="7" fillId="35" borderId="0" xfId="7" applyNumberFormat="1" applyFont="1" applyFill="1" applyBorder="1" applyAlignment="1" applyProtection="1">
      <protection hidden="1"/>
    </xf>
    <xf numFmtId="10" fontId="1" fillId="35" borderId="45" xfId="7" applyNumberFormat="1" applyFont="1" applyFill="1" applyBorder="1" applyAlignment="1" applyProtection="1">
      <protection hidden="1"/>
    </xf>
    <xf numFmtId="10" fontId="1" fillId="35" borderId="46" xfId="7" applyNumberFormat="1" applyFont="1" applyFill="1" applyBorder="1" applyAlignment="1" applyProtection="1">
      <protection hidden="1"/>
    </xf>
    <xf numFmtId="10" fontId="1" fillId="35" borderId="71" xfId="7" applyNumberFormat="1" applyFont="1" applyFill="1" applyBorder="1" applyAlignment="1" applyProtection="1">
      <protection hidden="1"/>
    </xf>
    <xf numFmtId="0" fontId="32" fillId="35" borderId="0" xfId="6" applyFont="1" applyFill="1" applyAlignment="1" applyProtection="1">
      <protection hidden="1"/>
    </xf>
    <xf numFmtId="44" fontId="58" fillId="29" borderId="59" xfId="6" applyNumberFormat="1" applyFont="1" applyFill="1" applyBorder="1" applyAlignment="1" applyProtection="1">
      <protection hidden="1"/>
    </xf>
    <xf numFmtId="10" fontId="1" fillId="35" borderId="47" xfId="7" applyNumberFormat="1" applyFont="1" applyFill="1" applyBorder="1" applyAlignment="1" applyProtection="1">
      <protection hidden="1"/>
    </xf>
    <xf numFmtId="10" fontId="1" fillId="35" borderId="0" xfId="7" applyNumberFormat="1" applyFont="1" applyFill="1" applyBorder="1" applyAlignment="1" applyProtection="1">
      <protection hidden="1"/>
    </xf>
    <xf numFmtId="10" fontId="1" fillId="35" borderId="48" xfId="7" applyNumberFormat="1" applyFont="1" applyFill="1" applyBorder="1" applyAlignment="1" applyProtection="1">
      <protection hidden="1"/>
    </xf>
    <xf numFmtId="10" fontId="1" fillId="35" borderId="49" xfId="7" applyNumberFormat="1" applyFont="1" applyFill="1" applyBorder="1" applyAlignment="1" applyProtection="1">
      <protection hidden="1"/>
    </xf>
    <xf numFmtId="10" fontId="1" fillId="35" borderId="50" xfId="7" applyNumberFormat="1" applyFont="1" applyFill="1" applyBorder="1" applyAlignment="1" applyProtection="1">
      <protection hidden="1"/>
    </xf>
    <xf numFmtId="10" fontId="1" fillId="35" borderId="51" xfId="7" applyNumberFormat="1" applyFont="1" applyFill="1" applyBorder="1" applyAlignment="1" applyProtection="1">
      <protection hidden="1"/>
    </xf>
    <xf numFmtId="10" fontId="32" fillId="35" borderId="0" xfId="7" applyNumberFormat="1" applyFont="1" applyFill="1" applyBorder="1" applyAlignment="1" applyProtection="1">
      <protection hidden="1"/>
    </xf>
    <xf numFmtId="0" fontId="28" fillId="0" borderId="0" xfId="6" applyAlignment="1"/>
    <xf numFmtId="171" fontId="33" fillId="0" borderId="0" xfId="8" applyNumberFormat="1" applyFont="1" applyFill="1" applyBorder="1" applyAlignment="1" applyProtection="1"/>
    <xf numFmtId="0" fontId="33" fillId="0" borderId="0" xfId="6" applyFont="1" applyAlignment="1">
      <alignment horizontal="left" vertical="center"/>
    </xf>
    <xf numFmtId="0" fontId="33" fillId="0" borderId="0" xfId="6" applyFont="1" applyAlignment="1" applyProtection="1">
      <alignment horizontal="center"/>
      <protection locked="0"/>
    </xf>
    <xf numFmtId="0" fontId="28" fillId="30" borderId="0" xfId="6" applyFill="1" applyAlignment="1" applyProtection="1">
      <protection hidden="1"/>
    </xf>
    <xf numFmtId="10" fontId="0" fillId="30" borderId="0" xfId="7" applyNumberFormat="1" applyFont="1" applyFill="1" applyBorder="1" applyAlignment="1" applyProtection="1">
      <protection hidden="1"/>
    </xf>
    <xf numFmtId="0" fontId="59" fillId="0" borderId="0" xfId="6" applyFont="1" applyAlignment="1">
      <alignment wrapText="1"/>
    </xf>
    <xf numFmtId="0" fontId="28" fillId="30" borderId="0" xfId="6" applyFill="1" applyAlignment="1"/>
    <xf numFmtId="169" fontId="0" fillId="30" borderId="0" xfId="8" applyNumberFormat="1" applyFont="1" applyFill="1" applyBorder="1" applyAlignment="1" applyProtection="1">
      <protection hidden="1"/>
    </xf>
    <xf numFmtId="169" fontId="0" fillId="0" borderId="0" xfId="8" applyNumberFormat="1" applyFont="1" applyFill="1" applyBorder="1" applyAlignment="1" applyProtection="1">
      <protection hidden="1"/>
    </xf>
    <xf numFmtId="10" fontId="0" fillId="0" borderId="0" xfId="7" applyNumberFormat="1" applyFont="1" applyFill="1" applyBorder="1" applyAlignment="1" applyProtection="1">
      <protection hidden="1"/>
    </xf>
    <xf numFmtId="168" fontId="0" fillId="0" borderId="0" xfId="8" applyFont="1" applyFill="1" applyBorder="1" applyAlignment="1" applyProtection="1">
      <protection hidden="1"/>
    </xf>
    <xf numFmtId="168" fontId="0" fillId="0" borderId="0" xfId="8" applyFont="1" applyFill="1" applyBorder="1" applyAlignment="1" applyProtection="1">
      <alignment horizontal="center"/>
      <protection hidden="1"/>
    </xf>
    <xf numFmtId="0" fontId="28" fillId="0" borderId="0" xfId="6" applyAlignment="1" applyProtection="1">
      <alignment horizontal="center"/>
      <protection hidden="1"/>
    </xf>
    <xf numFmtId="10" fontId="28" fillId="18" borderId="0" xfId="7" applyNumberFormat="1" applyFont="1" applyFill="1" applyBorder="1" applyAlignment="1" applyProtection="1">
      <protection hidden="1"/>
    </xf>
    <xf numFmtId="0" fontId="31" fillId="0" borderId="0" xfId="6" applyFont="1" applyAlignment="1">
      <alignment wrapText="1"/>
    </xf>
    <xf numFmtId="0" fontId="32" fillId="36" borderId="0" xfId="6" applyFont="1" applyFill="1" applyAlignment="1" applyProtection="1">
      <protection hidden="1"/>
    </xf>
    <xf numFmtId="10" fontId="1" fillId="36" borderId="0" xfId="7" applyNumberFormat="1" applyFont="1" applyFill="1" applyBorder="1" applyAlignment="1" applyProtection="1">
      <protection hidden="1"/>
    </xf>
    <xf numFmtId="10" fontId="32" fillId="36" borderId="0" xfId="7" applyNumberFormat="1" applyFont="1" applyFill="1" applyBorder="1" applyAlignment="1" applyProtection="1">
      <protection hidden="1"/>
    </xf>
    <xf numFmtId="0" fontId="28" fillId="36" borderId="0" xfId="6" applyFill="1" applyAlignment="1" applyProtection="1">
      <protection hidden="1"/>
    </xf>
    <xf numFmtId="10" fontId="0" fillId="36" borderId="0" xfId="7" applyNumberFormat="1" applyFont="1" applyFill="1" applyBorder="1" applyAlignment="1" applyProtection="1">
      <protection hidden="1"/>
    </xf>
    <xf numFmtId="0" fontId="28" fillId="36" borderId="0" xfId="6" applyFill="1" applyAlignment="1"/>
    <xf numFmtId="169" fontId="32" fillId="30" borderId="0" xfId="8" applyNumberFormat="1" applyFont="1" applyFill="1" applyBorder="1" applyAlignment="1" applyProtection="1">
      <protection hidden="1"/>
    </xf>
    <xf numFmtId="10" fontId="32" fillId="36" borderId="45" xfId="7" applyNumberFormat="1" applyFont="1" applyFill="1" applyBorder="1" applyAlignment="1" applyProtection="1">
      <protection hidden="1"/>
    </xf>
    <xf numFmtId="10" fontId="32" fillId="36" borderId="46" xfId="7" applyNumberFormat="1" applyFont="1" applyFill="1" applyBorder="1" applyAlignment="1" applyProtection="1">
      <protection hidden="1"/>
    </xf>
    <xf numFmtId="10" fontId="32" fillId="36" borderId="71" xfId="7" applyNumberFormat="1" applyFont="1" applyFill="1" applyBorder="1" applyAlignment="1" applyProtection="1">
      <protection hidden="1"/>
    </xf>
    <xf numFmtId="10" fontId="0" fillId="36" borderId="45" xfId="7" applyNumberFormat="1" applyFont="1" applyFill="1" applyBorder="1" applyAlignment="1" applyProtection="1">
      <protection hidden="1"/>
    </xf>
    <xf numFmtId="10" fontId="0" fillId="36" borderId="71" xfId="7" applyNumberFormat="1" applyFont="1" applyFill="1" applyBorder="1" applyAlignment="1" applyProtection="1">
      <protection hidden="1"/>
    </xf>
    <xf numFmtId="10" fontId="32" fillId="36" borderId="49" xfId="7" applyNumberFormat="1" applyFont="1" applyFill="1" applyBorder="1" applyAlignment="1" applyProtection="1">
      <protection hidden="1"/>
    </xf>
    <xf numFmtId="10" fontId="32" fillId="36" borderId="50" xfId="7" applyNumberFormat="1" applyFont="1" applyFill="1" applyBorder="1" applyAlignment="1" applyProtection="1">
      <protection hidden="1"/>
    </xf>
    <xf numFmtId="10" fontId="32" fillId="36" borderId="51" xfId="7" applyNumberFormat="1" applyFont="1" applyFill="1" applyBorder="1" applyAlignment="1" applyProtection="1">
      <protection hidden="1"/>
    </xf>
    <xf numFmtId="10" fontId="0" fillId="36" borderId="49" xfId="7" applyNumberFormat="1" applyFont="1" applyFill="1" applyBorder="1" applyAlignment="1" applyProtection="1">
      <protection hidden="1"/>
    </xf>
    <xf numFmtId="10" fontId="0" fillId="36" borderId="51" xfId="7" applyNumberFormat="1" applyFont="1" applyFill="1" applyBorder="1" applyAlignment="1" applyProtection="1">
      <protection hidden="1"/>
    </xf>
    <xf numFmtId="168" fontId="32" fillId="36" borderId="0" xfId="8" applyFont="1" applyFill="1" applyBorder="1" applyAlignment="1" applyProtection="1">
      <protection hidden="1"/>
    </xf>
    <xf numFmtId="168" fontId="0" fillId="36" borderId="0" xfId="8" applyFont="1" applyFill="1" applyBorder="1" applyAlignment="1" applyProtection="1">
      <protection hidden="1"/>
    </xf>
    <xf numFmtId="168" fontId="32" fillId="36" borderId="0" xfId="8" applyFont="1" applyFill="1" applyBorder="1" applyAlignment="1" applyProtection="1">
      <alignment horizontal="center"/>
      <protection hidden="1"/>
    </xf>
    <xf numFmtId="0" fontId="32" fillId="36" borderId="0" xfId="6" applyFont="1" applyFill="1" applyAlignment="1" applyProtection="1">
      <alignment horizontal="center"/>
      <protection hidden="1"/>
    </xf>
    <xf numFmtId="168" fontId="0" fillId="36" borderId="0" xfId="8" applyFont="1" applyFill="1" applyBorder="1" applyAlignment="1" applyProtection="1">
      <alignment horizontal="center"/>
      <protection hidden="1"/>
    </xf>
    <xf numFmtId="10" fontId="60" fillId="36" borderId="0" xfId="6" applyNumberFormat="1" applyFont="1" applyFill="1" applyAlignment="1" applyProtection="1">
      <protection hidden="1"/>
    </xf>
    <xf numFmtId="10" fontId="28" fillId="36" borderId="0" xfId="6" applyNumberFormat="1" applyFill="1" applyAlignment="1" applyProtection="1">
      <protection hidden="1"/>
    </xf>
    <xf numFmtId="0" fontId="32" fillId="30" borderId="0" xfId="6" applyFont="1" applyFill="1" applyAlignment="1" applyProtection="1">
      <protection hidden="1"/>
    </xf>
    <xf numFmtId="10" fontId="32" fillId="30" borderId="0" xfId="7" applyNumberFormat="1" applyFont="1" applyFill="1" applyBorder="1" applyAlignment="1" applyProtection="1">
      <protection hidden="1"/>
    </xf>
    <xf numFmtId="10" fontId="0" fillId="30" borderId="45" xfId="7" applyNumberFormat="1" applyFont="1" applyFill="1" applyBorder="1" applyAlignment="1" applyProtection="1">
      <protection hidden="1"/>
    </xf>
    <xf numFmtId="10" fontId="0" fillId="30" borderId="46" xfId="7" applyNumberFormat="1" applyFont="1" applyFill="1" applyBorder="1" applyAlignment="1" applyProtection="1">
      <protection hidden="1"/>
    </xf>
    <xf numFmtId="10" fontId="0" fillId="30" borderId="71" xfId="7" applyNumberFormat="1" applyFont="1" applyFill="1" applyBorder="1" applyAlignment="1" applyProtection="1">
      <protection hidden="1"/>
    </xf>
    <xf numFmtId="169" fontId="60" fillId="30" borderId="0" xfId="8" applyNumberFormat="1" applyFont="1" applyFill="1" applyBorder="1" applyAlignment="1" applyProtection="1">
      <protection hidden="1"/>
    </xf>
    <xf numFmtId="10" fontId="0" fillId="30" borderId="47" xfId="7" applyNumberFormat="1" applyFont="1" applyFill="1" applyBorder="1" applyAlignment="1" applyProtection="1">
      <protection hidden="1"/>
    </xf>
    <xf numFmtId="10" fontId="61" fillId="30" borderId="0" xfId="7" applyNumberFormat="1" applyFont="1" applyFill="1" applyBorder="1" applyAlignment="1" applyProtection="1">
      <protection hidden="1"/>
    </xf>
    <xf numFmtId="10" fontId="0" fillId="30" borderId="48" xfId="7" applyNumberFormat="1" applyFont="1" applyFill="1" applyBorder="1" applyAlignment="1" applyProtection="1">
      <protection hidden="1"/>
    </xf>
    <xf numFmtId="10" fontId="0" fillId="30" borderId="49" xfId="7" applyNumberFormat="1" applyFont="1" applyFill="1" applyBorder="1" applyAlignment="1" applyProtection="1">
      <protection hidden="1"/>
    </xf>
    <xf numFmtId="10" fontId="0" fillId="30" borderId="50" xfId="7" applyNumberFormat="1" applyFont="1" applyFill="1" applyBorder="1" applyAlignment="1" applyProtection="1">
      <protection hidden="1"/>
    </xf>
    <xf numFmtId="10" fontId="0" fillId="30" borderId="51" xfId="7" applyNumberFormat="1" applyFont="1" applyFill="1" applyBorder="1" applyAlignment="1" applyProtection="1">
      <protection hidden="1"/>
    </xf>
    <xf numFmtId="168" fontId="0" fillId="30" borderId="0" xfId="8" applyFont="1" applyFill="1" applyBorder="1" applyAlignment="1" applyProtection="1">
      <protection hidden="1"/>
    </xf>
    <xf numFmtId="168" fontId="32" fillId="30" borderId="0" xfId="8" applyFont="1" applyFill="1" applyBorder="1" applyAlignment="1" applyProtection="1">
      <protection hidden="1"/>
    </xf>
    <xf numFmtId="168" fontId="0" fillId="30" borderId="0" xfId="8" applyFont="1" applyFill="1" applyBorder="1" applyAlignment="1" applyProtection="1">
      <alignment horizontal="center"/>
      <protection hidden="1"/>
    </xf>
    <xf numFmtId="0" fontId="28" fillId="30" borderId="0" xfId="6" applyFill="1" applyAlignment="1" applyProtection="1">
      <alignment horizontal="center"/>
      <protection hidden="1"/>
    </xf>
    <xf numFmtId="168" fontId="32" fillId="30" borderId="0" xfId="8" applyFont="1" applyFill="1" applyBorder="1" applyAlignment="1" applyProtection="1">
      <alignment horizontal="center"/>
      <protection hidden="1"/>
    </xf>
    <xf numFmtId="0" fontId="32" fillId="30" borderId="0" xfId="6" applyFont="1" applyFill="1" applyAlignment="1" applyProtection="1">
      <alignment horizontal="center"/>
      <protection hidden="1"/>
    </xf>
    <xf numFmtId="10" fontId="32" fillId="30" borderId="45" xfId="7" applyNumberFormat="1" applyFont="1" applyFill="1" applyBorder="1" applyAlignment="1" applyProtection="1">
      <protection hidden="1"/>
    </xf>
    <xf numFmtId="10" fontId="32" fillId="30" borderId="71" xfId="7" applyNumberFormat="1" applyFont="1" applyFill="1" applyBorder="1" applyAlignment="1" applyProtection="1">
      <protection hidden="1"/>
    </xf>
    <xf numFmtId="10" fontId="28" fillId="30" borderId="0" xfId="6" applyNumberFormat="1" applyFill="1" applyAlignment="1" applyProtection="1">
      <protection hidden="1"/>
    </xf>
    <xf numFmtId="10" fontId="0" fillId="20" borderId="0" xfId="7" applyNumberFormat="1" applyFont="1" applyFill="1" applyBorder="1" applyAlignment="1" applyProtection="1">
      <protection hidden="1"/>
    </xf>
    <xf numFmtId="169" fontId="61" fillId="0" borderId="0" xfId="8" applyNumberFormat="1" applyFont="1" applyFill="1" applyBorder="1" applyAlignment="1" applyProtection="1">
      <protection hidden="1"/>
    </xf>
    <xf numFmtId="10" fontId="28" fillId="18" borderId="3" xfId="7" applyNumberFormat="1" applyFont="1" applyFill="1" applyBorder="1" applyAlignment="1" applyProtection="1">
      <protection hidden="1"/>
    </xf>
    <xf numFmtId="10" fontId="0" fillId="0" borderId="0" xfId="7" applyNumberFormat="1" applyFont="1" applyAlignment="1"/>
    <xf numFmtId="10" fontId="25" fillId="36" borderId="0" xfId="7" applyNumberFormat="1" applyFont="1" applyFill="1" applyBorder="1" applyAlignment="1" applyProtection="1">
      <protection hidden="1"/>
    </xf>
    <xf numFmtId="0" fontId="54" fillId="0" borderId="0" xfId="6" applyFont="1" applyAlignment="1"/>
    <xf numFmtId="175" fontId="54" fillId="0" borderId="0" xfId="6" applyNumberFormat="1" applyFont="1" applyAlignment="1"/>
    <xf numFmtId="0" fontId="54" fillId="0" borderId="0" xfId="6" applyFont="1" applyAlignment="1">
      <alignment horizontal="center"/>
    </xf>
    <xf numFmtId="7" fontId="54" fillId="0" borderId="0" xfId="6" applyNumberFormat="1" applyFont="1" applyAlignment="1">
      <alignment horizontal="center"/>
    </xf>
    <xf numFmtId="0" fontId="62" fillId="0" borderId="0" xfId="6" applyFont="1" applyAlignment="1">
      <alignment horizontal="center"/>
    </xf>
    <xf numFmtId="0" fontId="54" fillId="29" borderId="0" xfId="6" applyFont="1" applyFill="1" applyAlignment="1"/>
    <xf numFmtId="0" fontId="54" fillId="29" borderId="0" xfId="6" applyFont="1" applyFill="1" applyAlignment="1">
      <alignment horizontal="center"/>
    </xf>
    <xf numFmtId="0" fontId="54" fillId="29" borderId="0" xfId="6" applyFont="1" applyFill="1" applyAlignment="1">
      <alignment horizontal="center" wrapText="1"/>
    </xf>
    <xf numFmtId="10" fontId="54" fillId="29" borderId="0" xfId="6" applyNumberFormat="1" applyFont="1" applyFill="1" applyAlignment="1">
      <alignment horizontal="center" wrapText="1"/>
    </xf>
    <xf numFmtId="10" fontId="54" fillId="0" borderId="0" xfId="6" applyNumberFormat="1" applyFont="1" applyAlignment="1">
      <alignment horizontal="center" wrapText="1"/>
    </xf>
    <xf numFmtId="8" fontId="54" fillId="29" borderId="0" xfId="6" applyNumberFormat="1" applyFont="1" applyFill="1" applyAlignment="1"/>
    <xf numFmtId="10" fontId="63" fillId="37" borderId="0" xfId="6" applyNumberFormat="1" applyFont="1" applyFill="1" applyAlignment="1">
      <alignment horizontal="center"/>
    </xf>
    <xf numFmtId="10" fontId="54" fillId="29" borderId="0" xfId="6" applyNumberFormat="1" applyFont="1" applyFill="1" applyAlignment="1">
      <alignment horizontal="center"/>
    </xf>
    <xf numFmtId="10" fontId="54" fillId="0" borderId="0" xfId="6" applyNumberFormat="1" applyFont="1" applyAlignment="1">
      <alignment horizontal="center"/>
    </xf>
    <xf numFmtId="8" fontId="54" fillId="29" borderId="14" xfId="6" applyNumberFormat="1" applyFont="1" applyFill="1" applyBorder="1" applyAlignment="1">
      <alignment horizontal="center"/>
    </xf>
    <xf numFmtId="8" fontId="54" fillId="29" borderId="0" xfId="6" applyNumberFormat="1" applyFont="1" applyFill="1" applyAlignment="1">
      <alignment horizontal="center"/>
    </xf>
    <xf numFmtId="8" fontId="54" fillId="0" borderId="0" xfId="6" applyNumberFormat="1" applyFont="1" applyAlignment="1">
      <alignment horizontal="center"/>
    </xf>
    <xf numFmtId="10" fontId="56" fillId="31" borderId="0" xfId="6" applyNumberFormat="1" applyFont="1" applyFill="1" applyAlignment="1">
      <alignment horizontal="center"/>
    </xf>
    <xf numFmtId="8" fontId="54" fillId="0" borderId="0" xfId="6" applyNumberFormat="1" applyFont="1" applyAlignment="1"/>
    <xf numFmtId="44" fontId="34" fillId="10" borderId="14" xfId="6" applyNumberFormat="1" applyFont="1" applyFill="1" applyBorder="1" applyAlignment="1" applyProtection="1">
      <protection locked="0"/>
    </xf>
    <xf numFmtId="0" fontId="34" fillId="10" borderId="14" xfId="6" applyFont="1" applyFill="1" applyBorder="1" applyAlignment="1" applyProtection="1">
      <protection locked="0"/>
    </xf>
    <xf numFmtId="0" fontId="33" fillId="20" borderId="0" xfId="6" applyFont="1" applyFill="1" applyAlignment="1" applyProtection="1">
      <protection locked="0"/>
    </xf>
    <xf numFmtId="0" fontId="33" fillId="20" borderId="48" xfId="6" applyFont="1" applyFill="1" applyBorder="1" applyAlignment="1" applyProtection="1">
      <protection locked="0"/>
    </xf>
    <xf numFmtId="44" fontId="67" fillId="3" borderId="0" xfId="1" applyFont="1" applyFill="1" applyBorder="1" applyProtection="1"/>
    <xf numFmtId="44" fontId="66" fillId="3" borderId="0" xfId="1" applyFont="1" applyFill="1" applyBorder="1" applyProtection="1"/>
    <xf numFmtId="44" fontId="68" fillId="4" borderId="78" xfId="1" applyFont="1" applyFill="1" applyBorder="1" applyAlignment="1" applyProtection="1">
      <alignment horizontal="right"/>
      <protection locked="0"/>
    </xf>
    <xf numFmtId="44" fontId="72" fillId="3" borderId="0" xfId="1" applyFont="1" applyFill="1" applyBorder="1" applyProtection="1"/>
    <xf numFmtId="0" fontId="0" fillId="0" borderId="0" xfId="0" applyAlignment="1">
      <alignment vertical="center"/>
    </xf>
    <xf numFmtId="0" fontId="54" fillId="0" borderId="0" xfId="0" applyFont="1" applyProtection="1">
      <protection hidden="1"/>
    </xf>
    <xf numFmtId="0" fontId="54" fillId="0" borderId="47" xfId="0" applyFont="1" applyBorder="1" applyProtection="1">
      <protection hidden="1"/>
    </xf>
    <xf numFmtId="44" fontId="54" fillId="0" borderId="0" xfId="0" applyNumberFormat="1" applyFont="1" applyProtection="1">
      <protection hidden="1"/>
    </xf>
    <xf numFmtId="0" fontId="0" fillId="0" borderId="47" xfId="0" applyBorder="1" applyProtection="1">
      <protection hidden="1"/>
    </xf>
    <xf numFmtId="0" fontId="0" fillId="0" borderId="0" xfId="0" applyProtection="1">
      <protection hidden="1"/>
    </xf>
    <xf numFmtId="0" fontId="0" fillId="0" borderId="48" xfId="0" applyBorder="1" applyProtection="1">
      <protection hidden="1"/>
    </xf>
    <xf numFmtId="10" fontId="54" fillId="0" borderId="0" xfId="0" applyNumberFormat="1" applyFont="1" applyProtection="1">
      <protection hidden="1"/>
    </xf>
    <xf numFmtId="10" fontId="0" fillId="0" borderId="0" xfId="0" applyNumberFormat="1" applyProtection="1">
      <protection hidden="1"/>
    </xf>
    <xf numFmtId="0" fontId="54" fillId="29" borderId="47" xfId="0" applyFont="1" applyFill="1" applyBorder="1" applyProtection="1">
      <protection hidden="1"/>
    </xf>
    <xf numFmtId="10" fontId="54" fillId="29" borderId="0" xfId="0" applyNumberFormat="1" applyFont="1" applyFill="1" applyProtection="1">
      <protection hidden="1"/>
    </xf>
    <xf numFmtId="0" fontId="54" fillId="29" borderId="0" xfId="0" applyFont="1" applyFill="1" applyProtection="1">
      <protection hidden="1"/>
    </xf>
    <xf numFmtId="0" fontId="0" fillId="11" borderId="47" xfId="0" applyFill="1" applyBorder="1" applyProtection="1">
      <protection hidden="1"/>
    </xf>
    <xf numFmtId="10" fontId="0" fillId="11" borderId="0" xfId="0" applyNumberFormat="1" applyFill="1" applyProtection="1">
      <protection hidden="1"/>
    </xf>
    <xf numFmtId="0" fontId="0" fillId="11" borderId="0" xfId="0" applyFill="1" applyProtection="1">
      <protection hidden="1"/>
    </xf>
    <xf numFmtId="0" fontId="0" fillId="11" borderId="48" xfId="0" applyFill="1" applyBorder="1" applyProtection="1">
      <protection hidden="1"/>
    </xf>
    <xf numFmtId="9" fontId="54" fillId="0" borderId="0" xfId="0" applyNumberFormat="1" applyFont="1" applyProtection="1">
      <protection hidden="1"/>
    </xf>
    <xf numFmtId="0" fontId="54" fillId="29" borderId="72" xfId="0" applyFont="1" applyFill="1" applyBorder="1" applyProtection="1">
      <protection hidden="1"/>
    </xf>
    <xf numFmtId="9" fontId="54" fillId="29" borderId="73" xfId="0" applyNumberFormat="1" applyFont="1" applyFill="1" applyBorder="1" applyProtection="1">
      <protection hidden="1"/>
    </xf>
    <xf numFmtId="10" fontId="54" fillId="29" borderId="73" xfId="0" applyNumberFormat="1" applyFont="1" applyFill="1" applyBorder="1" applyProtection="1">
      <protection hidden="1"/>
    </xf>
    <xf numFmtId="10" fontId="54" fillId="29" borderId="74" xfId="0" applyNumberFormat="1" applyFont="1" applyFill="1" applyBorder="1" applyProtection="1">
      <protection hidden="1"/>
    </xf>
    <xf numFmtId="0" fontId="0" fillId="11" borderId="72" xfId="0" applyFill="1" applyBorder="1" applyProtection="1">
      <protection hidden="1"/>
    </xf>
    <xf numFmtId="9" fontId="0" fillId="11" borderId="73" xfId="0" applyNumberFormat="1" applyFill="1" applyBorder="1" applyProtection="1">
      <protection hidden="1"/>
    </xf>
    <xf numFmtId="10" fontId="55" fillId="0" borderId="0" xfId="0" applyNumberFormat="1" applyFont="1" applyProtection="1">
      <protection hidden="1"/>
    </xf>
    <xf numFmtId="44" fontId="54" fillId="29" borderId="59" xfId="0" applyNumberFormat="1" applyFont="1" applyFill="1" applyBorder="1" applyProtection="1">
      <protection hidden="1"/>
    </xf>
    <xf numFmtId="44" fontId="54" fillId="29" borderId="75" xfId="0" applyNumberFormat="1" applyFont="1" applyFill="1" applyBorder="1" applyProtection="1">
      <protection hidden="1"/>
    </xf>
    <xf numFmtId="10" fontId="55" fillId="0" borderId="0" xfId="0" applyNumberFormat="1" applyFont="1" applyAlignment="1" applyProtection="1">
      <alignment vertical="center"/>
      <protection hidden="1"/>
    </xf>
    <xf numFmtId="44" fontId="54" fillId="29" borderId="0" xfId="0" applyNumberFormat="1" applyFont="1" applyFill="1" applyProtection="1">
      <protection hidden="1"/>
    </xf>
    <xf numFmtId="44" fontId="54" fillId="29" borderId="0" xfId="0" applyNumberFormat="1" applyFont="1" applyFill="1" applyAlignment="1" applyProtection="1">
      <alignment horizontal="center"/>
      <protection hidden="1"/>
    </xf>
    <xf numFmtId="0" fontId="54" fillId="29" borderId="0" xfId="0" applyFont="1" applyFill="1" applyAlignment="1" applyProtection="1">
      <alignment horizontal="center"/>
      <protection hidden="1"/>
    </xf>
    <xf numFmtId="44" fontId="54" fillId="0" borderId="0" xfId="0" applyNumberFormat="1" applyFont="1" applyAlignment="1" applyProtection="1">
      <alignment horizontal="center"/>
      <protection hidden="1"/>
    </xf>
    <xf numFmtId="0" fontId="54" fillId="0" borderId="0" xfId="0" applyFont="1" applyAlignment="1" applyProtection="1">
      <alignment horizontal="center"/>
      <protection hidden="1"/>
    </xf>
    <xf numFmtId="0" fontId="0" fillId="11" borderId="0" xfId="0" applyFill="1" applyAlignment="1" applyProtection="1">
      <alignment horizontal="center"/>
      <protection hidden="1"/>
    </xf>
    <xf numFmtId="10" fontId="56" fillId="0" borderId="0" xfId="0" applyNumberFormat="1" applyFont="1" applyProtection="1">
      <protection hidden="1"/>
    </xf>
    <xf numFmtId="10" fontId="56" fillId="31" borderId="0" xfId="0" applyNumberFormat="1" applyFont="1" applyFill="1" applyProtection="1">
      <protection hidden="1"/>
    </xf>
    <xf numFmtId="10" fontId="54" fillId="29" borderId="47" xfId="0" applyNumberFormat="1" applyFont="1" applyFill="1" applyBorder="1" applyProtection="1">
      <protection hidden="1"/>
    </xf>
    <xf numFmtId="10" fontId="54" fillId="29" borderId="49" xfId="0" applyNumberFormat="1" applyFont="1" applyFill="1" applyBorder="1" applyProtection="1">
      <protection hidden="1"/>
    </xf>
    <xf numFmtId="0" fontId="54" fillId="29" borderId="50" xfId="0" applyFont="1" applyFill="1" applyBorder="1" applyProtection="1">
      <protection hidden="1"/>
    </xf>
    <xf numFmtId="0" fontId="0" fillId="11" borderId="50" xfId="0" applyFill="1" applyBorder="1" applyProtection="1">
      <protection hidden="1"/>
    </xf>
    <xf numFmtId="0" fontId="0" fillId="11" borderId="51" xfId="0" applyFill="1" applyBorder="1" applyProtection="1">
      <protection hidden="1"/>
    </xf>
    <xf numFmtId="0" fontId="32" fillId="33" borderId="0" xfId="0" applyFont="1" applyFill="1" applyProtection="1">
      <protection hidden="1"/>
    </xf>
    <xf numFmtId="10" fontId="32" fillId="33" borderId="0" xfId="0" applyNumberFormat="1" applyFont="1" applyFill="1" applyProtection="1">
      <protection hidden="1"/>
    </xf>
    <xf numFmtId="0" fontId="32" fillId="33" borderId="72" xfId="0" applyFont="1" applyFill="1" applyBorder="1" applyProtection="1">
      <protection hidden="1"/>
    </xf>
    <xf numFmtId="44" fontId="57" fillId="29" borderId="59" xfId="0" applyNumberFormat="1" applyFont="1" applyFill="1" applyBorder="1" applyProtection="1">
      <protection hidden="1"/>
    </xf>
    <xf numFmtId="0" fontId="32" fillId="33" borderId="0" xfId="0" applyFont="1" applyFill="1" applyAlignment="1" applyProtection="1">
      <alignment horizontal="center"/>
      <protection hidden="1"/>
    </xf>
    <xf numFmtId="0" fontId="32" fillId="33" borderId="0" xfId="0" applyFont="1" applyFill="1" applyAlignment="1" applyProtection="1">
      <alignment horizontal="left"/>
      <protection hidden="1"/>
    </xf>
    <xf numFmtId="0" fontId="32" fillId="11" borderId="72" xfId="0" applyFont="1" applyFill="1" applyBorder="1" applyProtection="1">
      <protection hidden="1"/>
    </xf>
    <xf numFmtId="9" fontId="32" fillId="11" borderId="73" xfId="0" applyNumberFormat="1" applyFont="1" applyFill="1" applyBorder="1" applyProtection="1">
      <protection hidden="1"/>
    </xf>
    <xf numFmtId="44" fontId="1" fillId="29" borderId="59" xfId="0" applyNumberFormat="1" applyFont="1" applyFill="1" applyBorder="1" applyProtection="1">
      <protection hidden="1"/>
    </xf>
    <xf numFmtId="0" fontId="32" fillId="11" borderId="0" xfId="0" applyFont="1" applyFill="1" applyProtection="1">
      <protection hidden="1"/>
    </xf>
    <xf numFmtId="0" fontId="32" fillId="11" borderId="0" xfId="0" applyFont="1" applyFill="1" applyAlignment="1" applyProtection="1">
      <alignment horizontal="center"/>
      <protection hidden="1"/>
    </xf>
    <xf numFmtId="0" fontId="32" fillId="11" borderId="2" xfId="0" applyFont="1" applyFill="1" applyBorder="1" applyProtection="1">
      <protection hidden="1"/>
    </xf>
    <xf numFmtId="0" fontId="0" fillId="5" borderId="0" xfId="0" applyFill="1" applyProtection="1">
      <protection hidden="1"/>
    </xf>
    <xf numFmtId="10" fontId="0" fillId="5" borderId="0" xfId="0" applyNumberFormat="1" applyFill="1" applyProtection="1">
      <protection hidden="1"/>
    </xf>
    <xf numFmtId="0" fontId="32" fillId="5" borderId="45" xfId="0" applyFont="1" applyFill="1" applyBorder="1" applyProtection="1">
      <protection hidden="1"/>
    </xf>
    <xf numFmtId="0" fontId="32" fillId="5" borderId="0" xfId="0" applyFont="1" applyFill="1" applyProtection="1">
      <protection hidden="1"/>
    </xf>
    <xf numFmtId="0" fontId="32" fillId="5" borderId="0" xfId="0" applyFont="1" applyFill="1" applyAlignment="1" applyProtection="1">
      <alignment horizontal="center"/>
      <protection hidden="1"/>
    </xf>
    <xf numFmtId="0" fontId="1" fillId="5" borderId="45" xfId="0" applyFont="1" applyFill="1" applyBorder="1" applyProtection="1">
      <protection hidden="1"/>
    </xf>
    <xf numFmtId="9" fontId="2" fillId="5" borderId="42" xfId="0" applyNumberFormat="1" applyFont="1" applyFill="1" applyBorder="1" applyAlignment="1" applyProtection="1">
      <alignment horizontal="center"/>
      <protection hidden="1"/>
    </xf>
    <xf numFmtId="9" fontId="2" fillId="5" borderId="43" xfId="0" applyNumberFormat="1" applyFont="1" applyFill="1" applyBorder="1" applyAlignment="1" applyProtection="1">
      <alignment horizontal="center"/>
      <protection hidden="1"/>
    </xf>
    <xf numFmtId="0" fontId="31" fillId="34" borderId="0" xfId="0" applyFont="1" applyFill="1" applyAlignment="1" applyProtection="1">
      <alignment wrapText="1"/>
      <protection hidden="1"/>
    </xf>
    <xf numFmtId="0" fontId="0" fillId="35" borderId="0" xfId="0" applyFill="1" applyProtection="1">
      <protection hidden="1"/>
    </xf>
    <xf numFmtId="0" fontId="0" fillId="35" borderId="45" xfId="0" applyFill="1" applyBorder="1" applyProtection="1">
      <protection hidden="1"/>
    </xf>
    <xf numFmtId="0" fontId="0" fillId="35" borderId="0" xfId="0" applyFill="1" applyAlignment="1" applyProtection="1">
      <alignment horizontal="center"/>
      <protection hidden="1"/>
    </xf>
    <xf numFmtId="0" fontId="32" fillId="35" borderId="0" xfId="0" applyFont="1" applyFill="1" applyProtection="1">
      <protection hidden="1"/>
    </xf>
    <xf numFmtId="44" fontId="58" fillId="29" borderId="59" xfId="0" applyNumberFormat="1" applyFont="1" applyFill="1" applyBorder="1" applyProtection="1">
      <protection hidden="1"/>
    </xf>
    <xf numFmtId="0" fontId="73" fillId="3" borderId="0" xfId="6" applyFont="1" applyFill="1">
      <alignment vertical="center"/>
    </xf>
    <xf numFmtId="0" fontId="74" fillId="3" borderId="0" xfId="6" applyFont="1" applyFill="1">
      <alignment vertical="center"/>
    </xf>
    <xf numFmtId="0" fontId="75" fillId="2" borderId="79" xfId="6" applyFont="1" applyFill="1" applyBorder="1">
      <alignment vertical="center"/>
    </xf>
    <xf numFmtId="0" fontId="76" fillId="2" borderId="80" xfId="6" applyFont="1" applyFill="1" applyBorder="1">
      <alignment vertical="center"/>
    </xf>
    <xf numFmtId="0" fontId="76" fillId="2" borderId="81" xfId="6" applyFont="1" applyFill="1" applyBorder="1">
      <alignment vertical="center"/>
    </xf>
    <xf numFmtId="0" fontId="79" fillId="3" borderId="0" xfId="6" applyFont="1" applyFill="1" applyAlignment="1">
      <alignment vertical="center" wrapText="1"/>
    </xf>
    <xf numFmtId="10" fontId="80" fillId="3" borderId="0" xfId="7" applyNumberFormat="1" applyFont="1" applyFill="1" applyBorder="1" applyAlignment="1">
      <alignment horizontal="center" vertical="center"/>
    </xf>
    <xf numFmtId="0" fontId="77" fillId="3" borderId="0" xfId="6" applyFont="1" applyFill="1">
      <alignment vertical="center"/>
    </xf>
    <xf numFmtId="10" fontId="80" fillId="3" borderId="0" xfId="7" applyNumberFormat="1" applyFont="1" applyFill="1" applyBorder="1" applyAlignment="1">
      <alignment horizontal="center" vertical="center" wrapText="1"/>
    </xf>
    <xf numFmtId="0" fontId="80" fillId="3" borderId="0" xfId="6" applyFont="1" applyFill="1">
      <alignment vertical="center"/>
    </xf>
    <xf numFmtId="0" fontId="75" fillId="2" borderId="82" xfId="6" applyFont="1" applyFill="1" applyBorder="1">
      <alignment vertical="center"/>
    </xf>
    <xf numFmtId="0" fontId="82" fillId="8" borderId="86" xfId="6" applyFont="1" applyFill="1" applyBorder="1" applyAlignment="1" applyProtection="1">
      <alignment horizontal="center" vertical="center"/>
      <protection hidden="1"/>
    </xf>
    <xf numFmtId="0" fontId="83" fillId="8" borderId="0" xfId="6" applyFont="1" applyFill="1" applyAlignment="1" applyProtection="1">
      <alignment horizontal="left" vertical="center"/>
      <protection hidden="1"/>
    </xf>
    <xf numFmtId="172" fontId="78" fillId="8" borderId="87" xfId="8" applyNumberFormat="1" applyFont="1" applyFill="1" applyBorder="1" applyAlignment="1" applyProtection="1">
      <alignment vertical="center"/>
      <protection hidden="1"/>
    </xf>
    <xf numFmtId="172" fontId="83" fillId="8" borderId="86" xfId="8" applyNumberFormat="1" applyFont="1" applyFill="1" applyBorder="1" applyAlignment="1" applyProtection="1">
      <alignment vertical="center"/>
      <protection hidden="1"/>
    </xf>
    <xf numFmtId="172" fontId="83" fillId="8" borderId="0" xfId="8" applyNumberFormat="1" applyFont="1" applyFill="1" applyBorder="1" applyAlignment="1" applyProtection="1">
      <alignment vertical="center"/>
      <protection hidden="1"/>
    </xf>
    <xf numFmtId="0" fontId="83" fillId="8" borderId="86" xfId="6" applyFont="1" applyFill="1" applyBorder="1" applyAlignment="1" applyProtection="1">
      <alignment horizontal="left" vertical="center"/>
      <protection hidden="1"/>
    </xf>
    <xf numFmtId="172" fontId="78" fillId="8" borderId="87" xfId="8" applyNumberFormat="1" applyFont="1" applyFill="1" applyBorder="1" applyAlignment="1" applyProtection="1">
      <alignment horizontal="right" vertical="center"/>
      <protection hidden="1"/>
    </xf>
    <xf numFmtId="172" fontId="83" fillId="8" borderId="0" xfId="8" applyNumberFormat="1" applyFont="1" applyFill="1" applyBorder="1" applyAlignment="1" applyProtection="1">
      <alignment horizontal="left" vertical="center"/>
      <protection hidden="1"/>
    </xf>
    <xf numFmtId="0" fontId="82" fillId="3" borderId="86" xfId="6" applyFont="1" applyFill="1" applyBorder="1" applyAlignment="1" applyProtection="1">
      <alignment horizontal="center" vertical="center"/>
      <protection hidden="1"/>
    </xf>
    <xf numFmtId="0" fontId="83" fillId="3" borderId="0" xfId="6" applyFont="1" applyFill="1" applyAlignment="1" applyProtection="1">
      <alignment horizontal="left" vertical="center"/>
      <protection hidden="1"/>
    </xf>
    <xf numFmtId="172" fontId="78" fillId="3" borderId="87" xfId="8" applyNumberFormat="1" applyFont="1" applyFill="1" applyBorder="1" applyAlignment="1" applyProtection="1">
      <alignment vertical="center"/>
      <protection hidden="1"/>
    </xf>
    <xf numFmtId="172" fontId="83" fillId="3" borderId="86" xfId="8" applyNumberFormat="1" applyFont="1" applyFill="1" applyBorder="1" applyAlignment="1" applyProtection="1">
      <alignment vertical="center"/>
      <protection hidden="1"/>
    </xf>
    <xf numFmtId="172" fontId="83" fillId="3" borderId="0" xfId="8" applyNumberFormat="1" applyFont="1" applyFill="1" applyBorder="1" applyAlignment="1" applyProtection="1">
      <alignment vertical="center"/>
      <protection hidden="1"/>
    </xf>
    <xf numFmtId="0" fontId="83" fillId="3" borderId="86" xfId="6" applyFont="1" applyFill="1" applyBorder="1" applyAlignment="1" applyProtection="1">
      <alignment horizontal="left" vertical="center"/>
      <protection hidden="1"/>
    </xf>
    <xf numFmtId="172" fontId="78" fillId="3" borderId="87" xfId="8" applyNumberFormat="1" applyFont="1" applyFill="1" applyBorder="1" applyAlignment="1" applyProtection="1">
      <alignment horizontal="right" vertical="center"/>
      <protection hidden="1"/>
    </xf>
    <xf numFmtId="172" fontId="83" fillId="3" borderId="0" xfId="8" applyNumberFormat="1" applyFont="1" applyFill="1" applyBorder="1" applyAlignment="1" applyProtection="1">
      <alignment horizontal="left" vertical="center"/>
      <protection hidden="1"/>
    </xf>
    <xf numFmtId="7" fontId="83" fillId="3" borderId="86" xfId="8" applyNumberFormat="1" applyFont="1" applyFill="1" applyBorder="1" applyAlignment="1" applyProtection="1">
      <alignment horizontal="right" vertical="center"/>
      <protection hidden="1"/>
    </xf>
    <xf numFmtId="10" fontId="83" fillId="3" borderId="0" xfId="8" applyNumberFormat="1" applyFont="1" applyFill="1" applyBorder="1" applyAlignment="1" applyProtection="1">
      <alignment horizontal="right" vertical="center"/>
      <protection hidden="1"/>
    </xf>
    <xf numFmtId="10" fontId="83" fillId="8" borderId="0" xfId="7" applyNumberFormat="1" applyFont="1" applyFill="1" applyBorder="1" applyAlignment="1" applyProtection="1">
      <alignment horizontal="left" vertical="center" wrapText="1"/>
      <protection hidden="1"/>
    </xf>
    <xf numFmtId="10" fontId="83" fillId="8" borderId="0" xfId="6" applyNumberFormat="1" applyFont="1" applyFill="1" applyAlignment="1" applyProtection="1">
      <alignment horizontal="left" vertical="center" wrapText="1"/>
      <protection hidden="1"/>
    </xf>
    <xf numFmtId="10" fontId="83" fillId="8" borderId="0" xfId="8" applyNumberFormat="1" applyFont="1" applyFill="1" applyBorder="1" applyAlignment="1" applyProtection="1">
      <alignment horizontal="center" vertical="center"/>
      <protection hidden="1"/>
    </xf>
    <xf numFmtId="10" fontId="83" fillId="3" borderId="0" xfId="6" applyNumberFormat="1" applyFont="1" applyFill="1" applyAlignment="1" applyProtection="1">
      <alignment horizontal="left" vertical="center"/>
      <protection hidden="1"/>
    </xf>
    <xf numFmtId="10" fontId="83" fillId="3" borderId="0" xfId="8" applyNumberFormat="1" applyFont="1" applyFill="1" applyBorder="1" applyAlignment="1" applyProtection="1">
      <alignment horizontal="left" vertical="center"/>
      <protection hidden="1"/>
    </xf>
    <xf numFmtId="10" fontId="83" fillId="3" borderId="0" xfId="8" applyNumberFormat="1" applyFont="1" applyFill="1" applyBorder="1" applyAlignment="1" applyProtection="1">
      <alignment horizontal="center" vertical="center"/>
      <protection hidden="1"/>
    </xf>
    <xf numFmtId="0" fontId="73" fillId="3" borderId="0" xfId="6" applyFont="1" applyFill="1" applyAlignment="1">
      <alignment horizontal="left" vertical="center"/>
    </xf>
    <xf numFmtId="10" fontId="83" fillId="8" borderId="0" xfId="6" applyNumberFormat="1" applyFont="1" applyFill="1" applyAlignment="1" applyProtection="1">
      <alignment horizontal="left" vertical="center"/>
      <protection hidden="1"/>
    </xf>
    <xf numFmtId="7" fontId="78" fillId="8" borderId="87" xfId="8" applyNumberFormat="1" applyFont="1" applyFill="1" applyBorder="1" applyAlignment="1" applyProtection="1">
      <alignment horizontal="right" vertical="center"/>
      <protection hidden="1"/>
    </xf>
    <xf numFmtId="7" fontId="83" fillId="8" borderId="86" xfId="8" applyNumberFormat="1" applyFont="1" applyFill="1" applyBorder="1" applyAlignment="1" applyProtection="1">
      <alignment horizontal="right" vertical="center"/>
      <protection hidden="1"/>
    </xf>
    <xf numFmtId="7" fontId="83" fillId="8" borderId="0" xfId="8" applyNumberFormat="1" applyFont="1" applyFill="1" applyBorder="1" applyAlignment="1" applyProtection="1">
      <alignment horizontal="right" vertical="center"/>
      <protection hidden="1"/>
    </xf>
    <xf numFmtId="10" fontId="84" fillId="8" borderId="0" xfId="6" applyNumberFormat="1" applyFont="1" applyFill="1" applyAlignment="1" applyProtection="1">
      <alignment vertical="center" wrapText="1"/>
      <protection hidden="1"/>
    </xf>
    <xf numFmtId="10" fontId="83" fillId="8" borderId="0" xfId="8" applyNumberFormat="1" applyFont="1" applyFill="1" applyBorder="1" applyAlignment="1" applyProtection="1">
      <alignment horizontal="left" vertical="center"/>
      <protection hidden="1"/>
    </xf>
    <xf numFmtId="7" fontId="78" fillId="3" borderId="87" xfId="8" applyNumberFormat="1" applyFont="1" applyFill="1" applyBorder="1" applyAlignment="1" applyProtection="1">
      <alignment horizontal="right" vertical="center"/>
      <protection hidden="1"/>
    </xf>
    <xf numFmtId="7" fontId="83" fillId="3" borderId="0" xfId="8" applyNumberFormat="1" applyFont="1" applyFill="1" applyBorder="1" applyAlignment="1" applyProtection="1">
      <alignment horizontal="right" vertical="center"/>
      <protection hidden="1"/>
    </xf>
    <xf numFmtId="10" fontId="84" fillId="3" borderId="0" xfId="6" applyNumberFormat="1" applyFont="1" applyFill="1" applyAlignment="1" applyProtection="1">
      <alignment vertical="center" wrapText="1"/>
      <protection hidden="1"/>
    </xf>
    <xf numFmtId="10" fontId="84" fillId="8" borderId="0" xfId="6" applyNumberFormat="1" applyFont="1" applyFill="1" applyAlignment="1" applyProtection="1">
      <alignment horizontal="left" vertical="center" wrapText="1"/>
      <protection hidden="1"/>
    </xf>
    <xf numFmtId="10" fontId="83" fillId="3" borderId="0" xfId="7" applyNumberFormat="1" applyFont="1" applyFill="1" applyBorder="1" applyAlignment="1" applyProtection="1">
      <alignment horizontal="left" vertical="center"/>
      <protection hidden="1"/>
    </xf>
    <xf numFmtId="10" fontId="83" fillId="3" borderId="0" xfId="7" applyNumberFormat="1" applyFont="1" applyFill="1" applyBorder="1" applyAlignment="1" applyProtection="1">
      <alignment horizontal="center" vertical="center"/>
      <protection hidden="1"/>
    </xf>
    <xf numFmtId="0" fontId="83" fillId="8" borderId="86" xfId="6" applyFont="1" applyFill="1" applyBorder="1">
      <alignment vertical="center"/>
    </xf>
    <xf numFmtId="0" fontId="83" fillId="8" borderId="0" xfId="6" applyFont="1" applyFill="1">
      <alignment vertical="center"/>
    </xf>
    <xf numFmtId="0" fontId="78" fillId="8" borderId="87" xfId="6" applyFont="1" applyFill="1" applyBorder="1">
      <alignment vertical="center"/>
    </xf>
    <xf numFmtId="10" fontId="83" fillId="8" borderId="0" xfId="7" applyNumberFormat="1" applyFont="1" applyFill="1" applyBorder="1" applyAlignment="1" applyProtection="1">
      <alignment horizontal="left" vertical="center"/>
      <protection hidden="1"/>
    </xf>
    <xf numFmtId="0" fontId="82" fillId="8" borderId="88" xfId="6" applyFont="1" applyFill="1" applyBorder="1" applyAlignment="1">
      <alignment horizontal="center" vertical="center"/>
    </xf>
    <xf numFmtId="10" fontId="83" fillId="8" borderId="89" xfId="7" applyNumberFormat="1" applyFont="1" applyFill="1" applyBorder="1" applyAlignment="1" applyProtection="1">
      <alignment horizontal="left" vertical="center"/>
      <protection hidden="1"/>
    </xf>
    <xf numFmtId="172" fontId="78" fillId="8" borderId="90" xfId="8" applyNumberFormat="1" applyFont="1" applyFill="1" applyBorder="1" applyAlignment="1" applyProtection="1">
      <alignment vertical="center"/>
      <protection hidden="1"/>
    </xf>
    <xf numFmtId="0" fontId="85" fillId="3" borderId="0" xfId="6" applyFont="1" applyFill="1" applyAlignment="1">
      <alignment horizontal="left" vertical="center" wrapText="1"/>
    </xf>
    <xf numFmtId="172" fontId="77" fillId="3" borderId="0" xfId="8" applyNumberFormat="1" applyFont="1" applyFill="1" applyBorder="1" applyAlignment="1" applyProtection="1">
      <alignment vertical="center"/>
      <protection hidden="1"/>
    </xf>
    <xf numFmtId="44" fontId="0" fillId="3" borderId="0" xfId="1" applyFont="1" applyFill="1" applyProtection="1"/>
    <xf numFmtId="0" fontId="0" fillId="6" borderId="0" xfId="0" applyFill="1"/>
    <xf numFmtId="0" fontId="0" fillId="6" borderId="14" xfId="0" applyFill="1" applyBorder="1" applyProtection="1">
      <protection hidden="1"/>
    </xf>
    <xf numFmtId="0" fontId="9" fillId="3" borderId="0" xfId="0" applyFont="1" applyFill="1" applyProtection="1">
      <protection locked="0"/>
    </xf>
    <xf numFmtId="0" fontId="10" fillId="3" borderId="0" xfId="0" applyFont="1" applyFill="1" applyProtection="1">
      <protection locked="0"/>
    </xf>
    <xf numFmtId="0" fontId="11" fillId="3" borderId="0" xfId="0" applyFont="1" applyFill="1" applyProtection="1">
      <protection locked="0"/>
    </xf>
    <xf numFmtId="0" fontId="9" fillId="3" borderId="0" xfId="0" applyFont="1" applyFill="1" applyAlignment="1" applyProtection="1">
      <alignment horizontal="center"/>
      <protection locked="0"/>
    </xf>
    <xf numFmtId="0" fontId="12" fillId="3" borderId="0" xfId="0" applyFont="1" applyFill="1" applyProtection="1">
      <protection locked="0"/>
    </xf>
    <xf numFmtId="0" fontId="7" fillId="3" borderId="0" xfId="0" applyFont="1" applyFill="1" applyProtection="1">
      <protection locked="0" hidden="1"/>
    </xf>
    <xf numFmtId="0" fontId="0" fillId="3" borderId="0" xfId="0" applyFill="1" applyProtection="1">
      <protection locked="0" hidden="1"/>
    </xf>
    <xf numFmtId="0" fontId="0" fillId="3" borderId="0" xfId="0" applyFill="1" applyProtection="1">
      <protection locked="0"/>
    </xf>
    <xf numFmtId="0" fontId="0" fillId="3" borderId="14" xfId="0" applyFill="1" applyBorder="1" applyProtection="1">
      <protection locked="0" hidden="1"/>
    </xf>
    <xf numFmtId="0" fontId="0" fillId="3" borderId="14" xfId="0" applyFill="1" applyBorder="1" applyAlignment="1" applyProtection="1">
      <alignment wrapText="1"/>
      <protection locked="0" hidden="1"/>
    </xf>
    <xf numFmtId="0" fontId="0" fillId="3" borderId="0" xfId="0" applyFill="1" applyAlignment="1" applyProtection="1">
      <alignment wrapText="1"/>
      <protection locked="0" hidden="1"/>
    </xf>
    <xf numFmtId="0" fontId="14" fillId="3" borderId="0" xfId="0" applyFont="1" applyFill="1" applyAlignment="1" applyProtection="1">
      <alignment vertical="center"/>
      <protection locked="0"/>
    </xf>
    <xf numFmtId="0" fontId="15" fillId="6" borderId="19" xfId="0" applyFont="1" applyFill="1" applyBorder="1" applyAlignment="1" applyProtection="1">
      <alignment vertical="center"/>
      <protection locked="0"/>
    </xf>
    <xf numFmtId="0" fontId="16" fillId="6" borderId="20" xfId="0" applyFont="1" applyFill="1" applyBorder="1" applyAlignment="1" applyProtection="1">
      <alignment vertical="center"/>
      <protection locked="0"/>
    </xf>
    <xf numFmtId="0" fontId="14" fillId="0" borderId="0" xfId="0" applyFont="1" applyAlignment="1" applyProtection="1">
      <alignment vertical="center"/>
      <protection locked="0"/>
    </xf>
    <xf numFmtId="0" fontId="0" fillId="17" borderId="14" xfId="0" applyFill="1" applyBorder="1" applyProtection="1">
      <protection locked="0" hidden="1"/>
    </xf>
    <xf numFmtId="0" fontId="18" fillId="3" borderId="0" xfId="0" applyFont="1" applyFill="1" applyProtection="1">
      <protection locked="0"/>
    </xf>
    <xf numFmtId="0" fontId="19" fillId="3" borderId="0" xfId="0" applyFont="1" applyFill="1" applyProtection="1">
      <protection locked="0"/>
    </xf>
    <xf numFmtId="167" fontId="0" fillId="3" borderId="0" xfId="1" applyNumberFormat="1" applyFont="1" applyFill="1" applyBorder="1" applyProtection="1">
      <protection locked="0" hidden="1"/>
    </xf>
    <xf numFmtId="0" fontId="0" fillId="3" borderId="14" xfId="0" applyFill="1" applyBorder="1" applyAlignment="1" applyProtection="1">
      <alignment horizontal="center"/>
      <protection locked="0" hidden="1"/>
    </xf>
    <xf numFmtId="0" fontId="9" fillId="0" borderId="0" xfId="0" applyFont="1" applyProtection="1">
      <protection locked="0"/>
    </xf>
    <xf numFmtId="0" fontId="18" fillId="3" borderId="0" xfId="0" applyFont="1" applyFill="1" applyAlignment="1" applyProtection="1">
      <alignment horizontal="center"/>
      <protection locked="0"/>
    </xf>
    <xf numFmtId="167" fontId="0" fillId="3" borderId="0" xfId="1" applyNumberFormat="1" applyFont="1" applyFill="1" applyBorder="1" applyAlignment="1" applyProtection="1">
      <alignment horizontal="right"/>
      <protection locked="0" hidden="1"/>
    </xf>
    <xf numFmtId="0" fontId="0" fillId="3" borderId="44" xfId="0" applyFill="1" applyBorder="1" applyAlignment="1" applyProtection="1">
      <alignment wrapText="1"/>
      <protection locked="0" hidden="1"/>
    </xf>
    <xf numFmtId="0" fontId="0" fillId="3" borderId="44" xfId="0" applyFill="1" applyBorder="1" applyProtection="1">
      <protection locked="0" hidden="1"/>
    </xf>
    <xf numFmtId="0" fontId="26" fillId="10" borderId="14" xfId="0" applyFont="1" applyFill="1" applyBorder="1" applyProtection="1">
      <protection locked="0" hidden="1"/>
    </xf>
    <xf numFmtId="0" fontId="0" fillId="3" borderId="14" xfId="0" applyFill="1" applyBorder="1" applyAlignment="1" applyProtection="1">
      <alignment horizontal="right"/>
      <protection locked="0" hidden="1"/>
    </xf>
    <xf numFmtId="0" fontId="0" fillId="12" borderId="14" xfId="0" applyFill="1" applyBorder="1" applyProtection="1">
      <protection locked="0" hidden="1"/>
    </xf>
    <xf numFmtId="0" fontId="18" fillId="7" borderId="24" xfId="0" applyFont="1" applyFill="1" applyBorder="1" applyProtection="1">
      <protection locked="0"/>
    </xf>
    <xf numFmtId="0" fontId="0" fillId="18" borderId="14" xfId="0" applyFill="1" applyBorder="1" applyProtection="1">
      <protection locked="0" hidden="1"/>
    </xf>
    <xf numFmtId="2" fontId="0" fillId="3" borderId="39" xfId="0" applyNumberFormat="1" applyFill="1" applyBorder="1" applyProtection="1">
      <protection locked="0" hidden="1"/>
    </xf>
    <xf numFmtId="0" fontId="7" fillId="3" borderId="14" xfId="0" applyFont="1" applyFill="1" applyBorder="1" applyProtection="1">
      <protection locked="0" hidden="1"/>
    </xf>
    <xf numFmtId="44" fontId="0" fillId="3" borderId="0" xfId="0" applyNumberFormat="1" applyFill="1" applyProtection="1">
      <protection locked="0" hidden="1"/>
    </xf>
    <xf numFmtId="0" fontId="0" fillId="3" borderId="0" xfId="0" applyFill="1" applyAlignment="1" applyProtection="1">
      <alignment horizontal="center"/>
      <protection locked="0" hidden="1"/>
    </xf>
    <xf numFmtId="0" fontId="10" fillId="0" borderId="0" xfId="0" applyFont="1" applyProtection="1">
      <protection locked="0"/>
    </xf>
    <xf numFmtId="0" fontId="12" fillId="0" borderId="0" xfId="0" applyFont="1" applyProtection="1">
      <protection locked="0"/>
    </xf>
    <xf numFmtId="0" fontId="21" fillId="3" borderId="0" xfId="0" applyFont="1" applyFill="1" applyProtection="1">
      <protection locked="0"/>
    </xf>
    <xf numFmtId="0" fontId="14" fillId="0" borderId="0" xfId="0" applyFont="1" applyAlignment="1" applyProtection="1">
      <alignment vertical="center"/>
      <protection locked="0" hidden="1"/>
    </xf>
    <xf numFmtId="0" fontId="2" fillId="3" borderId="0" xfId="0" applyFont="1" applyFill="1" applyAlignment="1" applyProtection="1">
      <alignment horizontal="center"/>
      <protection locked="0" hidden="1"/>
    </xf>
    <xf numFmtId="0" fontId="2" fillId="3" borderId="14" xfId="0" applyFont="1" applyFill="1" applyBorder="1" applyAlignment="1" applyProtection="1">
      <alignment horizontal="right"/>
      <protection locked="0" hidden="1"/>
    </xf>
    <xf numFmtId="0" fontId="2" fillId="3" borderId="14" xfId="0" applyFont="1" applyFill="1" applyBorder="1" applyAlignment="1" applyProtection="1">
      <alignment horizontal="center"/>
      <protection locked="0" hidden="1"/>
    </xf>
    <xf numFmtId="0" fontId="17" fillId="3" borderId="14" xfId="0" applyFont="1" applyFill="1" applyBorder="1" applyAlignment="1" applyProtection="1">
      <alignment horizontal="right"/>
      <protection locked="0" hidden="1"/>
    </xf>
    <xf numFmtId="0" fontId="21" fillId="0" borderId="0" xfId="0" applyFont="1" applyProtection="1">
      <protection locked="0"/>
    </xf>
    <xf numFmtId="44" fontId="0" fillId="3" borderId="14" xfId="1" applyFont="1" applyFill="1" applyBorder="1" applyProtection="1">
      <protection locked="0" hidden="1"/>
    </xf>
    <xf numFmtId="2" fontId="0" fillId="3" borderId="14" xfId="1" applyNumberFormat="1" applyFont="1" applyFill="1" applyBorder="1" applyAlignment="1" applyProtection="1">
      <alignment horizontal="center"/>
      <protection locked="0" hidden="1"/>
    </xf>
    <xf numFmtId="44" fontId="0" fillId="3" borderId="0" xfId="1" applyFont="1" applyFill="1" applyBorder="1" applyProtection="1">
      <protection locked="0" hidden="1"/>
    </xf>
    <xf numFmtId="2" fontId="0" fillId="3" borderId="0" xfId="1" applyNumberFormat="1" applyFont="1" applyFill="1" applyBorder="1" applyAlignment="1" applyProtection="1">
      <alignment horizontal="center"/>
      <protection locked="0" hidden="1"/>
    </xf>
    <xf numFmtId="0" fontId="2" fillId="3" borderId="0" xfId="0" applyFont="1" applyFill="1" applyProtection="1">
      <protection locked="0" hidden="1"/>
    </xf>
    <xf numFmtId="0" fontId="0" fillId="3" borderId="40" xfId="0" applyFill="1" applyBorder="1" applyProtection="1">
      <protection locked="0" hidden="1"/>
    </xf>
    <xf numFmtId="0" fontId="0" fillId="3" borderId="0" xfId="0" applyFill="1" applyAlignment="1" applyProtection="1">
      <alignment horizontal="right"/>
      <protection locked="0" hidden="1"/>
    </xf>
    <xf numFmtId="2" fontId="0" fillId="3" borderId="0" xfId="0" applyNumberFormat="1" applyFill="1" applyAlignment="1" applyProtection="1">
      <alignment horizontal="center"/>
      <protection locked="0" hidden="1"/>
    </xf>
    <xf numFmtId="0" fontId="6" fillId="3" borderId="0" xfId="0" applyFont="1" applyFill="1" applyProtection="1">
      <protection locked="0" hidden="1"/>
    </xf>
    <xf numFmtId="0" fontId="2" fillId="3" borderId="14" xfId="0" applyFont="1" applyFill="1" applyBorder="1" applyProtection="1">
      <protection locked="0" hidden="1"/>
    </xf>
    <xf numFmtId="2" fontId="2" fillId="3" borderId="14" xfId="0" applyNumberFormat="1" applyFont="1" applyFill="1" applyBorder="1" applyAlignment="1" applyProtection="1">
      <alignment horizontal="center"/>
      <protection locked="0" hidden="1"/>
    </xf>
    <xf numFmtId="44" fontId="0" fillId="3" borderId="0" xfId="1" applyFont="1" applyFill="1" applyProtection="1">
      <protection locked="0" hidden="1"/>
    </xf>
    <xf numFmtId="0" fontId="2" fillId="3" borderId="0" xfId="0" applyFont="1" applyFill="1" applyProtection="1">
      <protection locked="0"/>
    </xf>
    <xf numFmtId="0" fontId="21" fillId="3" borderId="0" xfId="0" applyFont="1" applyFill="1" applyAlignment="1" applyProtection="1">
      <alignment horizontal="center"/>
      <protection locked="0"/>
    </xf>
    <xf numFmtId="49" fontId="0" fillId="3" borderId="0" xfId="0" applyNumberFormat="1" applyFill="1" applyProtection="1">
      <protection locked="0" hidden="1"/>
    </xf>
    <xf numFmtId="44" fontId="0" fillId="3" borderId="0" xfId="0" applyNumberFormat="1" applyFill="1" applyProtection="1">
      <protection locked="0"/>
    </xf>
    <xf numFmtId="0" fontId="21" fillId="0" borderId="0" xfId="0" applyFont="1" applyAlignment="1" applyProtection="1">
      <alignment horizontal="center"/>
      <protection locked="0"/>
    </xf>
    <xf numFmtId="0" fontId="2" fillId="3" borderId="0" xfId="0" applyFont="1" applyFill="1" applyAlignment="1" applyProtection="1">
      <alignment horizontal="center"/>
      <protection locked="0"/>
    </xf>
    <xf numFmtId="0" fontId="6" fillId="3" borderId="0" xfId="0" applyFont="1" applyFill="1" applyAlignment="1" applyProtection="1">
      <alignment horizontal="center"/>
      <protection locked="0" hidden="1"/>
    </xf>
    <xf numFmtId="44" fontId="2" fillId="3" borderId="0" xfId="0" applyNumberFormat="1" applyFont="1" applyFill="1" applyProtection="1">
      <protection locked="0" hidden="1"/>
    </xf>
    <xf numFmtId="44" fontId="0" fillId="3" borderId="0" xfId="0" applyNumberFormat="1" applyFill="1" applyAlignment="1" applyProtection="1">
      <alignment horizontal="center"/>
      <protection locked="0" hidden="1"/>
    </xf>
    <xf numFmtId="165" fontId="8" fillId="11" borderId="0" xfId="4" applyNumberFormat="1" applyFont="1" applyFill="1" applyAlignment="1" applyProtection="1">
      <alignment horizontal="left"/>
      <protection locked="0" hidden="1"/>
    </xf>
    <xf numFmtId="165" fontId="8" fillId="3" borderId="0" xfId="4" applyNumberFormat="1" applyFont="1" applyFill="1" applyAlignment="1" applyProtection="1">
      <alignment horizontal="left"/>
      <protection locked="0" hidden="1"/>
    </xf>
    <xf numFmtId="9" fontId="0" fillId="11" borderId="0" xfId="0" applyNumberFormat="1" applyFill="1" applyProtection="1">
      <protection locked="0" hidden="1"/>
    </xf>
    <xf numFmtId="0" fontId="0" fillId="11" borderId="0" xfId="0" applyFill="1" applyProtection="1">
      <protection locked="0" hidden="1"/>
    </xf>
    <xf numFmtId="0" fontId="2" fillId="3" borderId="0" xfId="0" applyFont="1" applyFill="1" applyAlignment="1" applyProtection="1">
      <alignment horizontal="right"/>
      <protection locked="0" hidden="1"/>
    </xf>
    <xf numFmtId="0" fontId="9" fillId="0" borderId="0" xfId="0" applyFont="1" applyAlignment="1" applyProtection="1">
      <alignment horizontal="center"/>
      <protection locked="0"/>
    </xf>
    <xf numFmtId="0" fontId="11" fillId="0" borderId="0" xfId="0" applyFont="1" applyProtection="1">
      <protection locked="0"/>
    </xf>
    <xf numFmtId="44" fontId="0" fillId="11" borderId="0" xfId="0" applyNumberFormat="1" applyFill="1" applyProtection="1">
      <protection locked="0" hidden="1"/>
    </xf>
    <xf numFmtId="167" fontId="0" fillId="3" borderId="14" xfId="0" applyNumberFormat="1" applyFill="1" applyBorder="1" applyProtection="1">
      <protection locked="0" hidden="1"/>
    </xf>
    <xf numFmtId="167" fontId="0" fillId="11" borderId="14" xfId="0" applyNumberFormat="1" applyFill="1" applyBorder="1" applyProtection="1">
      <protection locked="0" hidden="1"/>
    </xf>
    <xf numFmtId="0" fontId="9" fillId="14" borderId="0" xfId="0" applyFont="1" applyFill="1" applyProtection="1">
      <protection locked="0"/>
    </xf>
    <xf numFmtId="0" fontId="14" fillId="14" borderId="0" xfId="0" applyFont="1" applyFill="1" applyAlignment="1" applyProtection="1">
      <alignment vertical="center"/>
      <protection locked="0"/>
    </xf>
    <xf numFmtId="0" fontId="21" fillId="14" borderId="0" xfId="0" applyFont="1" applyFill="1" applyProtection="1">
      <protection locked="0"/>
    </xf>
    <xf numFmtId="0" fontId="0" fillId="3" borderId="39" xfId="0" applyFill="1" applyBorder="1" applyProtection="1">
      <protection locked="0" hidden="1"/>
    </xf>
    <xf numFmtId="0" fontId="21" fillId="14" borderId="0" xfId="0" applyFont="1" applyFill="1" applyAlignment="1" applyProtection="1">
      <alignment horizontal="center"/>
      <protection locked="0"/>
    </xf>
    <xf numFmtId="0" fontId="14" fillId="3" borderId="0" xfId="0" applyFont="1" applyFill="1" applyProtection="1">
      <protection locked="0"/>
    </xf>
    <xf numFmtId="0" fontId="14" fillId="0" borderId="0" xfId="0" applyFont="1" applyProtection="1">
      <protection locked="0"/>
    </xf>
    <xf numFmtId="0" fontId="15" fillId="6" borderId="91" xfId="0" applyFont="1" applyFill="1" applyBorder="1" applyAlignment="1" applyProtection="1">
      <alignment vertical="center"/>
      <protection locked="0"/>
    </xf>
    <xf numFmtId="0" fontId="69" fillId="3" borderId="0" xfId="0" applyFont="1" applyFill="1" applyProtection="1">
      <protection locked="0"/>
    </xf>
    <xf numFmtId="0" fontId="14" fillId="3" borderId="0" xfId="0" applyFont="1" applyFill="1" applyProtection="1">
      <protection locked="0" hidden="1"/>
    </xf>
    <xf numFmtId="0" fontId="66" fillId="3" borderId="0" xfId="0" applyFont="1" applyFill="1" applyProtection="1">
      <protection locked="0"/>
    </xf>
    <xf numFmtId="0" fontId="66" fillId="0" borderId="0" xfId="0" applyFont="1" applyProtection="1">
      <protection locked="0"/>
    </xf>
    <xf numFmtId="0" fontId="68" fillId="3" borderId="0" xfId="0" applyFont="1" applyFill="1" applyProtection="1">
      <protection locked="0"/>
    </xf>
    <xf numFmtId="0" fontId="66" fillId="3" borderId="0" xfId="0" applyFont="1" applyFill="1" applyAlignment="1" applyProtection="1">
      <alignment horizontal="center"/>
      <protection locked="0"/>
    </xf>
    <xf numFmtId="0" fontId="66" fillId="6" borderId="20" xfId="0" applyFont="1" applyFill="1" applyBorder="1" applyAlignment="1" applyProtection="1">
      <alignment vertical="center"/>
      <protection locked="0"/>
    </xf>
    <xf numFmtId="0" fontId="66" fillId="6" borderId="21" xfId="0" applyFont="1" applyFill="1" applyBorder="1" applyAlignment="1" applyProtection="1">
      <alignment horizontal="center" vertical="center"/>
      <protection locked="0"/>
    </xf>
    <xf numFmtId="44" fontId="14" fillId="0" borderId="0" xfId="1" applyFont="1" applyProtection="1">
      <protection locked="0"/>
    </xf>
    <xf numFmtId="0" fontId="18" fillId="7" borderId="93" xfId="0" applyFont="1" applyFill="1" applyBorder="1" applyProtection="1">
      <protection locked="0"/>
    </xf>
    <xf numFmtId="0" fontId="68" fillId="4" borderId="78" xfId="0" applyFont="1" applyFill="1" applyBorder="1" applyProtection="1">
      <protection locked="0"/>
    </xf>
    <xf numFmtId="0" fontId="68" fillId="4" borderId="94" xfId="0" applyFont="1" applyFill="1" applyBorder="1" applyProtection="1">
      <protection locked="0"/>
    </xf>
    <xf numFmtId="44" fontId="68" fillId="4" borderId="94" xfId="1" applyFont="1" applyFill="1" applyBorder="1" applyAlignment="1" applyProtection="1">
      <protection locked="0"/>
    </xf>
    <xf numFmtId="44" fontId="14" fillId="0" borderId="0" xfId="0" applyNumberFormat="1" applyFont="1" applyProtection="1">
      <protection locked="0"/>
    </xf>
    <xf numFmtId="0" fontId="14" fillId="3" borderId="22" xfId="0" applyFont="1" applyFill="1" applyBorder="1" applyProtection="1">
      <protection locked="0"/>
    </xf>
    <xf numFmtId="0" fontId="14" fillId="3" borderId="95" xfId="0" applyFont="1" applyFill="1" applyBorder="1" applyProtection="1">
      <protection locked="0"/>
    </xf>
    <xf numFmtId="0" fontId="65" fillId="6" borderId="20" xfId="0" applyFont="1" applyFill="1" applyBorder="1" applyAlignment="1" applyProtection="1">
      <alignment vertical="center"/>
      <protection locked="0"/>
    </xf>
    <xf numFmtId="0" fontId="16" fillId="6" borderId="21" xfId="0" applyFont="1" applyFill="1" applyBorder="1" applyAlignment="1" applyProtection="1">
      <alignment vertical="center"/>
      <protection locked="0"/>
    </xf>
    <xf numFmtId="0" fontId="66" fillId="3" borderId="95" xfId="0" applyFont="1" applyFill="1" applyBorder="1" applyAlignment="1" applyProtection="1">
      <alignment horizontal="center"/>
      <protection locked="0"/>
    </xf>
    <xf numFmtId="44" fontId="14" fillId="3" borderId="0" xfId="1" applyFont="1" applyFill="1" applyBorder="1" applyProtection="1">
      <protection locked="0"/>
    </xf>
    <xf numFmtId="0" fontId="14" fillId="3" borderId="0" xfId="0" applyFont="1" applyFill="1" applyAlignment="1" applyProtection="1">
      <alignment horizontal="right"/>
      <protection locked="0"/>
    </xf>
    <xf numFmtId="0" fontId="66" fillId="0" borderId="0" xfId="0" applyFont="1" applyAlignment="1" applyProtection="1">
      <alignment horizontal="center"/>
      <protection locked="0"/>
    </xf>
    <xf numFmtId="44" fontId="70" fillId="8" borderId="25" xfId="1" applyFont="1" applyFill="1" applyBorder="1" applyAlignment="1" applyProtection="1">
      <alignment horizontal="center"/>
      <protection locked="0"/>
    </xf>
    <xf numFmtId="0" fontId="14" fillId="3" borderId="22" xfId="0" applyFont="1" applyFill="1" applyBorder="1" applyAlignment="1" applyProtection="1">
      <alignment horizontal="right"/>
      <protection locked="0"/>
    </xf>
    <xf numFmtId="0" fontId="66" fillId="3" borderId="22" xfId="0" applyFont="1" applyFill="1" applyBorder="1" applyAlignment="1" applyProtection="1">
      <alignment horizontal="right"/>
      <protection locked="0"/>
    </xf>
    <xf numFmtId="44" fontId="66" fillId="3" borderId="0" xfId="1" applyFont="1" applyFill="1" applyBorder="1" applyProtection="1">
      <protection locked="0"/>
    </xf>
    <xf numFmtId="0" fontId="0" fillId="3" borderId="10" xfId="0" applyFill="1" applyBorder="1" applyProtection="1">
      <protection locked="0" hidden="1"/>
    </xf>
    <xf numFmtId="0" fontId="0" fillId="3" borderId="13" xfId="0" applyFill="1" applyBorder="1" applyProtection="1">
      <protection locked="0" hidden="1"/>
    </xf>
    <xf numFmtId="167" fontId="26" fillId="3" borderId="14" xfId="0" applyNumberFormat="1" applyFont="1" applyFill="1" applyBorder="1" applyProtection="1">
      <protection hidden="1"/>
    </xf>
    <xf numFmtId="0" fontId="26" fillId="3" borderId="14" xfId="0" applyFont="1" applyFill="1" applyBorder="1" applyProtection="1">
      <protection locked="0" hidden="1"/>
    </xf>
    <xf numFmtId="0" fontId="0" fillId="3" borderId="16" xfId="0" applyFill="1" applyBorder="1" applyProtection="1">
      <protection locked="0" hidden="1"/>
    </xf>
    <xf numFmtId="44" fontId="21" fillId="3" borderId="0" xfId="0" applyNumberFormat="1" applyFont="1" applyFill="1" applyProtection="1">
      <protection locked="0"/>
    </xf>
    <xf numFmtId="0" fontId="14" fillId="3" borderId="0" xfId="0" applyFont="1" applyFill="1" applyAlignment="1" applyProtection="1">
      <alignment vertical="center"/>
      <protection locked="0" hidden="1"/>
    </xf>
    <xf numFmtId="0" fontId="21" fillId="3" borderId="0" xfId="0" applyFont="1" applyFill="1" applyProtection="1">
      <protection hidden="1"/>
    </xf>
    <xf numFmtId="44" fontId="21" fillId="3" borderId="0" xfId="0" applyNumberFormat="1" applyFont="1" applyFill="1" applyProtection="1">
      <protection hidden="1"/>
    </xf>
    <xf numFmtId="44" fontId="21" fillId="3" borderId="0" xfId="0" applyNumberFormat="1" applyFont="1" applyFill="1" applyProtection="1">
      <protection locked="0" hidden="1"/>
    </xf>
    <xf numFmtId="44" fontId="0" fillId="3" borderId="14" xfId="1" applyFont="1" applyFill="1" applyBorder="1" applyAlignment="1" applyProtection="1">
      <alignment horizontal="right"/>
      <protection locked="0" hidden="1"/>
    </xf>
    <xf numFmtId="44" fontId="0" fillId="3" borderId="0" xfId="0" quotePrefix="1" applyNumberFormat="1" applyFill="1" applyProtection="1">
      <protection hidden="1"/>
    </xf>
    <xf numFmtId="9" fontId="0" fillId="3" borderId="0" xfId="0" applyNumberFormat="1" applyFill="1" applyProtection="1">
      <protection locked="0" hidden="1"/>
    </xf>
    <xf numFmtId="0" fontId="0" fillId="20" borderId="0" xfId="0" applyFill="1"/>
    <xf numFmtId="0" fontId="90" fillId="3" borderId="0" xfId="6" applyFont="1" applyFill="1">
      <alignment vertical="center"/>
    </xf>
    <xf numFmtId="0" fontId="91" fillId="3" borderId="0" xfId="6" applyFont="1" applyFill="1" applyAlignment="1">
      <alignment vertical="center" wrapText="1"/>
    </xf>
    <xf numFmtId="0" fontId="92" fillId="3" borderId="0" xfId="6" applyFont="1" applyFill="1" applyProtection="1">
      <alignment vertical="center"/>
      <protection hidden="1"/>
    </xf>
    <xf numFmtId="0" fontId="92" fillId="3" borderId="0" xfId="6" applyFont="1" applyFill="1">
      <alignment vertical="center"/>
    </xf>
    <xf numFmtId="0" fontId="94" fillId="3" borderId="0" xfId="6" applyFont="1" applyFill="1">
      <alignment vertical="center"/>
    </xf>
    <xf numFmtId="0" fontId="94" fillId="3" borderId="0" xfId="6" applyFont="1" applyFill="1" applyProtection="1">
      <alignment vertical="center"/>
      <protection hidden="1"/>
    </xf>
    <xf numFmtId="10" fontId="94" fillId="3" borderId="0" xfId="7" applyNumberFormat="1" applyFont="1" applyFill="1" applyBorder="1" applyAlignment="1" applyProtection="1">
      <alignment vertical="center"/>
      <protection hidden="1"/>
    </xf>
    <xf numFmtId="9" fontId="94" fillId="3" borderId="0" xfId="6" applyNumberFormat="1" applyFont="1" applyFill="1">
      <alignment vertical="center"/>
    </xf>
    <xf numFmtId="169" fontId="94" fillId="3" borderId="0" xfId="8" applyNumberFormat="1" applyFont="1" applyFill="1" applyBorder="1" applyAlignment="1" applyProtection="1">
      <alignment vertical="center"/>
      <protection hidden="1"/>
    </xf>
    <xf numFmtId="168" fontId="94" fillId="3" borderId="0" xfId="8" applyFont="1" applyFill="1" applyBorder="1" applyAlignment="1" applyProtection="1">
      <alignment vertical="center"/>
      <protection hidden="1"/>
    </xf>
    <xf numFmtId="10" fontId="94" fillId="3" borderId="0" xfId="6" applyNumberFormat="1" applyFont="1" applyFill="1">
      <alignment vertical="center"/>
    </xf>
    <xf numFmtId="0" fontId="93" fillId="3" borderId="0" xfId="6" applyFont="1" applyFill="1" applyAlignment="1">
      <alignment vertical="center" wrapText="1"/>
    </xf>
    <xf numFmtId="169" fontId="94" fillId="3" borderId="0" xfId="8" applyNumberFormat="1" applyFont="1" applyFill="1" applyBorder="1" applyAlignment="1" applyProtection="1">
      <alignment horizontal="left" vertical="center"/>
      <protection hidden="1"/>
    </xf>
    <xf numFmtId="0" fontId="95" fillId="0" borderId="0" xfId="6" applyFont="1" applyAlignment="1"/>
    <xf numFmtId="10" fontId="28" fillId="0" borderId="0" xfId="6" applyNumberFormat="1" applyAlignment="1"/>
    <xf numFmtId="9" fontId="28" fillId="30" borderId="0" xfId="6" applyNumberFormat="1" applyFill="1" applyAlignment="1" applyProtection="1">
      <protection hidden="1"/>
    </xf>
    <xf numFmtId="8" fontId="28" fillId="0" borderId="0" xfId="6" applyNumberFormat="1">
      <alignment vertical="center"/>
    </xf>
    <xf numFmtId="44" fontId="68" fillId="4" borderId="0" xfId="1" applyFont="1" applyFill="1" applyBorder="1" applyAlignment="1" applyProtection="1">
      <alignment horizontal="right"/>
      <protection locked="0"/>
    </xf>
    <xf numFmtId="44" fontId="68" fillId="4" borderId="0" xfId="1" applyFont="1" applyFill="1" applyBorder="1" applyAlignment="1" applyProtection="1">
      <protection locked="0"/>
    </xf>
    <xf numFmtId="44" fontId="68" fillId="4" borderId="95" xfId="1" applyFont="1" applyFill="1" applyBorder="1" applyAlignment="1" applyProtection="1">
      <protection locked="0"/>
    </xf>
    <xf numFmtId="44" fontId="28" fillId="20" borderId="0" xfId="6" applyNumberFormat="1" applyFill="1" applyAlignment="1"/>
    <xf numFmtId="166" fontId="0" fillId="6" borderId="15" xfId="0" applyNumberFormat="1" applyFill="1" applyBorder="1" applyAlignment="1">
      <alignment horizontal="center"/>
    </xf>
    <xf numFmtId="166" fontId="0" fillId="15" borderId="15" xfId="0" applyNumberFormat="1" applyFill="1" applyBorder="1" applyAlignment="1">
      <alignment horizontal="center"/>
    </xf>
    <xf numFmtId="0" fontId="2" fillId="20" borderId="0" xfId="0" applyFont="1" applyFill="1"/>
    <xf numFmtId="0" fontId="2" fillId="20" borderId="0" xfId="0" applyFont="1" applyFill="1" applyAlignment="1">
      <alignment horizontal="center"/>
    </xf>
    <xf numFmtId="0" fontId="0" fillId="20" borderId="0" xfId="0" applyFill="1" applyAlignment="1">
      <alignment horizontal="center"/>
    </xf>
    <xf numFmtId="166" fontId="0" fillId="20" borderId="0" xfId="0" applyNumberFormat="1" applyFill="1" applyAlignment="1">
      <alignment horizontal="center"/>
    </xf>
    <xf numFmtId="44" fontId="0" fillId="40" borderId="0" xfId="0" applyNumberFormat="1" applyFill="1" applyAlignment="1" applyProtection="1">
      <alignment horizontal="center"/>
      <protection hidden="1"/>
    </xf>
    <xf numFmtId="44" fontId="2" fillId="41" borderId="0" xfId="0" applyNumberFormat="1" applyFont="1" applyFill="1" applyAlignment="1" applyProtection="1">
      <alignment horizontal="center"/>
      <protection hidden="1"/>
    </xf>
    <xf numFmtId="44" fontId="0" fillId="41" borderId="0" xfId="0" applyNumberFormat="1" applyFill="1"/>
    <xf numFmtId="44" fontId="0" fillId="42" borderId="0" xfId="0" applyNumberFormat="1" applyFill="1" applyAlignment="1" applyProtection="1">
      <alignment horizontal="center"/>
      <protection hidden="1"/>
    </xf>
    <xf numFmtId="44" fontId="0" fillId="42" borderId="0" xfId="0" applyNumberFormat="1" applyFill="1"/>
    <xf numFmtId="0" fontId="0" fillId="18" borderId="0" xfId="0" applyFill="1" applyProtection="1">
      <protection locked="0" hidden="1"/>
    </xf>
    <xf numFmtId="44" fontId="0" fillId="18" borderId="0" xfId="0" applyNumberFormat="1" applyFill="1" applyAlignment="1" applyProtection="1">
      <alignment horizontal="center"/>
      <protection hidden="1"/>
    </xf>
    <xf numFmtId="0" fontId="0" fillId="18" borderId="0" xfId="0" applyFill="1" applyAlignment="1" applyProtection="1">
      <alignment horizontal="right"/>
      <protection locked="0" hidden="1"/>
    </xf>
    <xf numFmtId="44" fontId="2" fillId="18" borderId="0" xfId="0" applyNumberFormat="1" applyFont="1" applyFill="1" applyAlignment="1" applyProtection="1">
      <alignment horizontal="center"/>
      <protection hidden="1"/>
    </xf>
    <xf numFmtId="0" fontId="0" fillId="15" borderId="0" xfId="0" applyFill="1" applyProtection="1">
      <protection locked="0" hidden="1"/>
    </xf>
    <xf numFmtId="165" fontId="8" fillId="15" borderId="0" xfId="4" applyNumberFormat="1" applyFont="1" applyFill="1" applyAlignment="1" applyProtection="1">
      <alignment horizontal="left"/>
      <protection locked="0" hidden="1"/>
    </xf>
    <xf numFmtId="9" fontId="0" fillId="15" borderId="0" xfId="0" applyNumberFormat="1" applyFill="1" applyProtection="1">
      <protection locked="0" hidden="1"/>
    </xf>
    <xf numFmtId="0" fontId="0" fillId="15" borderId="0" xfId="0" applyFill="1" applyProtection="1">
      <protection hidden="1"/>
    </xf>
    <xf numFmtId="0" fontId="0" fillId="15" borderId="14" xfId="0" applyFill="1" applyBorder="1" applyProtection="1">
      <protection hidden="1"/>
    </xf>
    <xf numFmtId="166" fontId="0" fillId="6" borderId="18" xfId="0" applyNumberFormat="1" applyFill="1" applyBorder="1" applyAlignment="1">
      <alignment horizontal="center"/>
    </xf>
    <xf numFmtId="44" fontId="0" fillId="43" borderId="0" xfId="1" applyFont="1" applyFill="1" applyBorder="1" applyAlignment="1" applyProtection="1">
      <alignment horizontal="center"/>
      <protection hidden="1"/>
    </xf>
    <xf numFmtId="0" fontId="2" fillId="6" borderId="0" xfId="0" applyFont="1" applyFill="1" applyAlignment="1" applyProtection="1">
      <alignment horizontal="right"/>
      <protection locked="0" hidden="1"/>
    </xf>
    <xf numFmtId="0" fontId="0" fillId="6" borderId="0" xfId="0" applyFill="1" applyProtection="1">
      <protection locked="0" hidden="1"/>
    </xf>
    <xf numFmtId="0" fontId="2" fillId="6" borderId="0" xfId="0" applyFont="1" applyFill="1" applyAlignment="1" applyProtection="1">
      <alignment horizontal="center"/>
      <protection locked="0" hidden="1"/>
    </xf>
    <xf numFmtId="44" fontId="0" fillId="10" borderId="0" xfId="0" applyNumberFormat="1" applyFill="1"/>
    <xf numFmtId="0" fontId="0" fillId="28" borderId="0" xfId="0" applyFill="1"/>
    <xf numFmtId="0" fontId="0" fillId="28" borderId="0" xfId="0" applyFill="1" applyAlignment="1" applyProtection="1">
      <alignment horizontal="center"/>
      <protection hidden="1"/>
    </xf>
    <xf numFmtId="0" fontId="0" fillId="28" borderId="0" xfId="0" applyFill="1" applyProtection="1">
      <protection locked="0" hidden="1"/>
    </xf>
    <xf numFmtId="44" fontId="0" fillId="28" borderId="0" xfId="0" applyNumberFormat="1" applyFill="1" applyAlignment="1" applyProtection="1">
      <alignment horizontal="center"/>
      <protection hidden="1"/>
    </xf>
    <xf numFmtId="0" fontId="0" fillId="36" borderId="0" xfId="0" applyFill="1" applyAlignment="1" applyProtection="1">
      <alignment horizontal="center"/>
      <protection locked="0" hidden="1"/>
    </xf>
    <xf numFmtId="0" fontId="0" fillId="36" borderId="0" xfId="0" applyFill="1" applyProtection="1">
      <protection locked="0" hidden="1"/>
    </xf>
    <xf numFmtId="0" fontId="0" fillId="44" borderId="0" xfId="0" applyFill="1" applyProtection="1">
      <protection locked="0" hidden="1"/>
    </xf>
    <xf numFmtId="167" fontId="0" fillId="44" borderId="0" xfId="1" applyNumberFormat="1" applyFont="1" applyFill="1" applyBorder="1" applyProtection="1">
      <protection locked="0" hidden="1"/>
    </xf>
    <xf numFmtId="167" fontId="0" fillId="44" borderId="0" xfId="0" applyNumberFormat="1" applyFill="1" applyProtection="1">
      <protection hidden="1"/>
    </xf>
    <xf numFmtId="0" fontId="0" fillId="10" borderId="0" xfId="0" applyFill="1" applyAlignment="1" applyProtection="1">
      <alignment horizontal="center"/>
      <protection hidden="1"/>
    </xf>
    <xf numFmtId="0" fontId="0" fillId="22" borderId="0" xfId="0" applyFill="1" applyProtection="1">
      <protection locked="0" hidden="1"/>
    </xf>
    <xf numFmtId="8" fontId="0" fillId="22" borderId="0" xfId="0" applyNumberFormat="1" applyFill="1" applyAlignment="1" applyProtection="1">
      <alignment horizontal="center"/>
      <protection hidden="1"/>
    </xf>
    <xf numFmtId="10" fontId="0" fillId="22" borderId="0" xfId="0" applyNumberFormat="1" applyFill="1" applyAlignment="1" applyProtection="1">
      <alignment horizontal="center"/>
      <protection locked="0" hidden="1"/>
    </xf>
    <xf numFmtId="2" fontId="0" fillId="45" borderId="0" xfId="0" applyNumberFormat="1" applyFill="1" applyAlignment="1" applyProtection="1">
      <alignment horizontal="center"/>
      <protection hidden="1"/>
    </xf>
    <xf numFmtId="0" fontId="0" fillId="45" borderId="0" xfId="0" applyFill="1" applyAlignment="1" applyProtection="1">
      <alignment horizontal="center"/>
      <protection hidden="1"/>
    </xf>
    <xf numFmtId="0" fontId="14" fillId="6" borderId="0" xfId="0" applyFont="1" applyFill="1" applyAlignment="1">
      <alignment vertical="center"/>
    </xf>
    <xf numFmtId="0" fontId="0" fillId="6" borderId="0" xfId="0" applyFill="1" applyProtection="1">
      <protection hidden="1"/>
    </xf>
    <xf numFmtId="0" fontId="21" fillId="20" borderId="0" xfId="0" applyFont="1" applyFill="1"/>
    <xf numFmtId="0" fontId="0" fillId="20" borderId="0" xfId="0" applyFill="1" applyProtection="1">
      <protection hidden="1"/>
    </xf>
    <xf numFmtId="44" fontId="21" fillId="11" borderId="0" xfId="0" applyNumberFormat="1" applyFont="1" applyFill="1" applyProtection="1">
      <protection hidden="1"/>
    </xf>
    <xf numFmtId="0" fontId="9" fillId="11" borderId="0" xfId="0" applyFont="1" applyFill="1"/>
    <xf numFmtId="0" fontId="0" fillId="11" borderId="0" xfId="0" applyFill="1"/>
    <xf numFmtId="0" fontId="21" fillId="6" borderId="0" xfId="0" applyFont="1" applyFill="1"/>
    <xf numFmtId="44" fontId="0" fillId="11" borderId="0" xfId="1" applyFont="1" applyFill="1" applyProtection="1">
      <protection hidden="1"/>
    </xf>
    <xf numFmtId="166" fontId="0" fillId="11" borderId="0" xfId="0" applyNumberFormat="1" applyFill="1" applyProtection="1">
      <protection hidden="1"/>
    </xf>
    <xf numFmtId="0" fontId="2" fillId="11" borderId="0" xfId="0" applyFont="1" applyFill="1"/>
    <xf numFmtId="0" fontId="14" fillId="11" borderId="0" xfId="0" applyFont="1" applyFill="1" applyAlignment="1">
      <alignment vertical="center"/>
    </xf>
    <xf numFmtId="44" fontId="0" fillId="11" borderId="0" xfId="0" applyNumberFormat="1" applyFill="1"/>
    <xf numFmtId="0" fontId="2" fillId="11" borderId="0" xfId="0" applyFont="1" applyFill="1" applyAlignment="1" applyProtection="1">
      <alignment horizontal="center"/>
      <protection hidden="1"/>
    </xf>
    <xf numFmtId="0" fontId="2" fillId="11" borderId="0" xfId="0" applyFont="1" applyFill="1" applyAlignment="1">
      <alignment horizontal="center"/>
    </xf>
    <xf numFmtId="0" fontId="21" fillId="11" borderId="0" xfId="0" applyFont="1" applyFill="1"/>
    <xf numFmtId="0" fontId="0" fillId="11" borderId="0" xfId="0" applyFill="1" applyAlignment="1" applyProtection="1">
      <alignment horizontal="right"/>
      <protection hidden="1"/>
    </xf>
    <xf numFmtId="166" fontId="0" fillId="11" borderId="0" xfId="0" applyNumberFormat="1" applyFill="1"/>
    <xf numFmtId="0" fontId="2" fillId="11" borderId="0" xfId="0" applyFont="1" applyFill="1" applyProtection="1">
      <protection hidden="1"/>
    </xf>
    <xf numFmtId="44" fontId="0" fillId="11" borderId="0" xfId="1" applyFont="1" applyFill="1" applyProtection="1"/>
    <xf numFmtId="44" fontId="0" fillId="46" borderId="0" xfId="0" applyNumberFormat="1" applyFill="1" applyProtection="1">
      <protection hidden="1"/>
    </xf>
    <xf numFmtId="0" fontId="2" fillId="6" borderId="14" xfId="0" applyFont="1" applyFill="1" applyBorder="1" applyAlignment="1" applyProtection="1">
      <alignment horizontal="right"/>
      <protection hidden="1"/>
    </xf>
    <xf numFmtId="0" fontId="2" fillId="6" borderId="14" xfId="0" applyFont="1" applyFill="1" applyBorder="1" applyAlignment="1" applyProtection="1">
      <alignment horizontal="center"/>
      <protection hidden="1"/>
    </xf>
    <xf numFmtId="0" fontId="0" fillId="11" borderId="14" xfId="0" applyFill="1" applyBorder="1" applyAlignment="1" applyProtection="1">
      <alignment horizontal="right"/>
      <protection hidden="1"/>
    </xf>
    <xf numFmtId="44" fontId="0" fillId="11" borderId="14" xfId="1" applyFont="1" applyFill="1" applyBorder="1" applyProtection="1">
      <protection hidden="1"/>
    </xf>
    <xf numFmtId="2" fontId="0" fillId="11" borderId="14" xfId="1" applyNumberFormat="1" applyFont="1" applyFill="1" applyBorder="1" applyAlignment="1" applyProtection="1">
      <alignment horizontal="center"/>
      <protection hidden="1"/>
    </xf>
    <xf numFmtId="44" fontId="0" fillId="11" borderId="14" xfId="1" applyFont="1" applyFill="1" applyBorder="1" applyAlignment="1" applyProtection="1">
      <alignment horizontal="right"/>
      <protection hidden="1"/>
    </xf>
    <xf numFmtId="0" fontId="0" fillId="11" borderId="14" xfId="0" applyFill="1" applyBorder="1" applyAlignment="1" applyProtection="1">
      <alignment horizontal="left"/>
      <protection hidden="1"/>
    </xf>
    <xf numFmtId="44" fontId="0" fillId="11" borderId="14" xfId="1" applyFont="1" applyFill="1" applyBorder="1" applyAlignment="1" applyProtection="1">
      <alignment horizontal="center"/>
      <protection hidden="1"/>
    </xf>
    <xf numFmtId="2" fontId="0" fillId="11" borderId="14" xfId="0" applyNumberFormat="1" applyFill="1" applyBorder="1" applyAlignment="1" applyProtection="1">
      <alignment horizontal="center"/>
      <protection hidden="1"/>
    </xf>
    <xf numFmtId="44" fontId="0" fillId="11" borderId="14" xfId="0" applyNumberFormat="1" applyFill="1" applyBorder="1" applyAlignment="1" applyProtection="1">
      <alignment horizontal="center"/>
      <protection hidden="1"/>
    </xf>
    <xf numFmtId="167" fontId="26" fillId="18" borderId="14" xfId="0" applyNumberFormat="1" applyFont="1" applyFill="1" applyBorder="1" applyProtection="1">
      <protection hidden="1"/>
    </xf>
    <xf numFmtId="0" fontId="26" fillId="18" borderId="14" xfId="0" applyFont="1" applyFill="1" applyBorder="1" applyProtection="1">
      <protection hidden="1"/>
    </xf>
    <xf numFmtId="0" fontId="0" fillId="11" borderId="14" xfId="0" applyFill="1" applyBorder="1" applyAlignment="1" applyProtection="1">
      <alignment wrapText="1"/>
      <protection hidden="1"/>
    </xf>
    <xf numFmtId="0" fontId="14" fillId="11" borderId="14" xfId="0" applyFont="1" applyFill="1" applyBorder="1" applyAlignment="1">
      <alignment vertical="center"/>
    </xf>
    <xf numFmtId="2" fontId="0" fillId="11" borderId="14" xfId="0" applyNumberFormat="1" applyFill="1" applyBorder="1" applyProtection="1">
      <protection hidden="1"/>
    </xf>
    <xf numFmtId="2" fontId="0" fillId="11" borderId="0" xfId="0" applyNumberFormat="1" applyFill="1" applyProtection="1">
      <protection hidden="1"/>
    </xf>
    <xf numFmtId="0" fontId="7" fillId="11" borderId="14" xfId="0" applyFont="1" applyFill="1" applyBorder="1" applyProtection="1">
      <protection hidden="1"/>
    </xf>
    <xf numFmtId="0" fontId="0" fillId="18" borderId="0" xfId="0" applyFill="1" applyAlignment="1">
      <alignment horizontal="right"/>
    </xf>
    <xf numFmtId="0" fontId="0" fillId="18" borderId="0" xfId="0" applyFill="1" applyProtection="1">
      <protection hidden="1"/>
    </xf>
    <xf numFmtId="0" fontId="0" fillId="11" borderId="14" xfId="0" applyFill="1" applyBorder="1"/>
    <xf numFmtId="0" fontId="0" fillId="11" borderId="14" xfId="0" applyFill="1" applyBorder="1" applyAlignment="1" applyProtection="1">
      <alignment horizontal="right"/>
      <protection locked="0" hidden="1"/>
    </xf>
    <xf numFmtId="0" fontId="0" fillId="11" borderId="14" xfId="0" applyFill="1" applyBorder="1" applyProtection="1">
      <protection locked="0" hidden="1"/>
    </xf>
    <xf numFmtId="0" fontId="0" fillId="11" borderId="14" xfId="0" applyFill="1" applyBorder="1" applyAlignment="1" applyProtection="1">
      <alignment horizontal="center"/>
      <protection locked="0" hidden="1"/>
    </xf>
    <xf numFmtId="44" fontId="0" fillId="11" borderId="14" xfId="1" applyFont="1" applyFill="1" applyBorder="1" applyProtection="1">
      <protection locked="0" hidden="1"/>
    </xf>
    <xf numFmtId="2" fontId="0" fillId="11" borderId="14" xfId="1" applyNumberFormat="1" applyFont="1" applyFill="1" applyBorder="1" applyAlignment="1" applyProtection="1">
      <alignment horizontal="center"/>
      <protection locked="0" hidden="1"/>
    </xf>
    <xf numFmtId="0" fontId="14" fillId="6" borderId="0" xfId="0" applyFont="1" applyFill="1" applyAlignment="1" applyProtection="1">
      <alignment vertical="center"/>
      <protection locked="0" hidden="1"/>
    </xf>
    <xf numFmtId="0" fontId="21" fillId="11" borderId="0" xfId="0" applyFont="1" applyFill="1" applyProtection="1">
      <protection locked="0"/>
    </xf>
    <xf numFmtId="167" fontId="0" fillId="11" borderId="0" xfId="0" applyNumberFormat="1" applyFill="1" applyProtection="1">
      <protection hidden="1"/>
    </xf>
    <xf numFmtId="0" fontId="0" fillId="18" borderId="40" xfId="0" applyFill="1" applyBorder="1" applyProtection="1">
      <protection locked="0" hidden="1"/>
    </xf>
    <xf numFmtId="44" fontId="0" fillId="18" borderId="39" xfId="0" applyNumberFormat="1" applyFill="1" applyBorder="1" applyProtection="1">
      <protection hidden="1"/>
    </xf>
    <xf numFmtId="167" fontId="0" fillId="18" borderId="39" xfId="0" applyNumberFormat="1" applyFill="1" applyBorder="1" applyProtection="1">
      <protection hidden="1"/>
    </xf>
    <xf numFmtId="167" fontId="0" fillId="11" borderId="0" xfId="1" applyNumberFormat="1" applyFont="1" applyFill="1" applyBorder="1" applyProtection="1">
      <protection locked="0" hidden="1"/>
    </xf>
    <xf numFmtId="0" fontId="7" fillId="11" borderId="0" xfId="0" applyFont="1" applyFill="1" applyProtection="1">
      <protection locked="0" hidden="1"/>
    </xf>
    <xf numFmtId="44" fontId="0" fillId="11" borderId="0" xfId="1" applyFont="1" applyFill="1" applyBorder="1" applyProtection="1">
      <protection locked="0" hidden="1"/>
    </xf>
    <xf numFmtId="0" fontId="0" fillId="11" borderId="0" xfId="0" applyFill="1" applyAlignment="1" applyProtection="1">
      <alignment horizontal="center"/>
      <protection locked="0" hidden="1"/>
    </xf>
    <xf numFmtId="0" fontId="0" fillId="6" borderId="0" xfId="0" applyFill="1" applyAlignment="1" applyProtection="1">
      <alignment horizontal="center"/>
      <protection locked="0" hidden="1"/>
    </xf>
    <xf numFmtId="0" fontId="2" fillId="11" borderId="0" xfId="0" applyFont="1" applyFill="1" applyAlignment="1" applyProtection="1">
      <alignment horizontal="center"/>
      <protection locked="0" hidden="1"/>
    </xf>
    <xf numFmtId="0" fontId="2" fillId="11" borderId="0" xfId="0" applyFont="1" applyFill="1" applyProtection="1">
      <protection locked="0" hidden="1"/>
    </xf>
    <xf numFmtId="0" fontId="0" fillId="11" borderId="0" xfId="0" applyFill="1" applyAlignment="1" applyProtection="1">
      <alignment horizontal="right"/>
      <protection locked="0" hidden="1"/>
    </xf>
    <xf numFmtId="44" fontId="0" fillId="11" borderId="0" xfId="1" applyFont="1" applyFill="1" applyBorder="1" applyAlignment="1" applyProtection="1">
      <alignment horizontal="center"/>
      <protection hidden="1"/>
    </xf>
    <xf numFmtId="2" fontId="0" fillId="11" borderId="0" xfId="0" applyNumberFormat="1" applyFill="1" applyAlignment="1" applyProtection="1">
      <alignment horizontal="center"/>
      <protection hidden="1"/>
    </xf>
    <xf numFmtId="44" fontId="0" fillId="11" borderId="0" xfId="0" applyNumberFormat="1" applyFill="1" applyAlignment="1" applyProtection="1">
      <alignment horizontal="center"/>
      <protection hidden="1"/>
    </xf>
    <xf numFmtId="0" fontId="0" fillId="38" borderId="0" xfId="0" applyFill="1" applyAlignment="1">
      <alignment horizontal="left"/>
    </xf>
    <xf numFmtId="0" fontId="0" fillId="38" borderId="14" xfId="0" applyFill="1" applyBorder="1" applyProtection="1">
      <protection locked="0" hidden="1"/>
    </xf>
    <xf numFmtId="0" fontId="0" fillId="38" borderId="14" xfId="0" applyFill="1" applyBorder="1" applyAlignment="1" applyProtection="1">
      <alignment horizontal="right"/>
      <protection locked="0" hidden="1"/>
    </xf>
    <xf numFmtId="44" fontId="0" fillId="38" borderId="14" xfId="1" applyFont="1" applyFill="1" applyBorder="1" applyAlignment="1" applyProtection="1">
      <alignment horizontal="right"/>
      <protection locked="0" hidden="1"/>
    </xf>
    <xf numFmtId="0" fontId="0" fillId="38" borderId="0" xfId="0" applyFill="1" applyAlignment="1" applyProtection="1">
      <alignment horizontal="center"/>
      <protection locked="0" hidden="1"/>
    </xf>
    <xf numFmtId="0" fontId="0" fillId="38" borderId="0" xfId="0" applyFill="1" applyAlignment="1" applyProtection="1">
      <alignment horizontal="right"/>
      <protection locked="0" hidden="1"/>
    </xf>
    <xf numFmtId="0" fontId="0" fillId="38" borderId="0" xfId="0" applyFill="1" applyProtection="1">
      <protection locked="0" hidden="1"/>
    </xf>
    <xf numFmtId="0" fontId="2" fillId="38" borderId="0" xfId="0" applyFont="1" applyFill="1" applyAlignment="1" applyProtection="1">
      <alignment horizontal="right"/>
      <protection locked="0" hidden="1"/>
    </xf>
    <xf numFmtId="0" fontId="2" fillId="38" borderId="0" xfId="0" applyFont="1" applyFill="1" applyAlignment="1" applyProtection="1">
      <alignment horizontal="center"/>
      <protection locked="0" hidden="1"/>
    </xf>
    <xf numFmtId="0" fontId="0" fillId="21" borderId="0" xfId="0" applyFill="1" applyProtection="1">
      <protection locked="0" hidden="1"/>
    </xf>
    <xf numFmtId="0" fontId="0" fillId="21" borderId="0" xfId="0" applyFill="1" applyAlignment="1" applyProtection="1">
      <alignment horizontal="center"/>
      <protection locked="0" hidden="1"/>
    </xf>
    <xf numFmtId="44" fontId="0" fillId="21" borderId="0" xfId="0" applyNumberFormat="1" applyFill="1" applyProtection="1">
      <protection locked="0" hidden="1"/>
    </xf>
    <xf numFmtId="0" fontId="14" fillId="21" borderId="0" xfId="0" applyFont="1" applyFill="1" applyAlignment="1" applyProtection="1">
      <alignment vertical="center"/>
      <protection locked="0"/>
    </xf>
    <xf numFmtId="0" fontId="0" fillId="21" borderId="14" xfId="0" applyFill="1" applyBorder="1" applyProtection="1">
      <protection locked="0" hidden="1"/>
    </xf>
    <xf numFmtId="0" fontId="0" fillId="21" borderId="0" xfId="0" applyFill="1" applyProtection="1">
      <protection locked="0"/>
    </xf>
    <xf numFmtId="167" fontId="0" fillId="21" borderId="0" xfId="1" applyNumberFormat="1" applyFont="1" applyFill="1" applyBorder="1" applyProtection="1">
      <protection locked="0" hidden="1"/>
    </xf>
    <xf numFmtId="167" fontId="0" fillId="21" borderId="0" xfId="0" applyNumberFormat="1" applyFill="1" applyProtection="1">
      <protection hidden="1"/>
    </xf>
    <xf numFmtId="0" fontId="7" fillId="21" borderId="0" xfId="0" applyFont="1" applyFill="1" applyProtection="1">
      <protection locked="0" hidden="1"/>
    </xf>
    <xf numFmtId="0" fontId="0" fillId="21" borderId="14" xfId="0" applyFill="1" applyBorder="1" applyAlignment="1" applyProtection="1">
      <alignment horizontal="right"/>
      <protection locked="0" hidden="1"/>
    </xf>
    <xf numFmtId="0" fontId="0" fillId="21" borderId="14" xfId="0" applyFill="1" applyBorder="1" applyProtection="1">
      <protection hidden="1"/>
    </xf>
    <xf numFmtId="44" fontId="0" fillId="21" borderId="0" xfId="0" applyNumberFormat="1" applyFill="1" applyProtection="1">
      <protection hidden="1"/>
    </xf>
    <xf numFmtId="0" fontId="21" fillId="21" borderId="0" xfId="0" applyFont="1" applyFill="1" applyProtection="1">
      <protection locked="0"/>
    </xf>
    <xf numFmtId="44" fontId="21" fillId="21" borderId="0" xfId="0" applyNumberFormat="1" applyFont="1" applyFill="1" applyProtection="1">
      <protection locked="0"/>
    </xf>
    <xf numFmtId="0" fontId="2" fillId="21" borderId="0" xfId="0" applyFont="1" applyFill="1" applyAlignment="1" applyProtection="1">
      <alignment horizontal="center"/>
      <protection locked="0" hidden="1"/>
    </xf>
    <xf numFmtId="0" fontId="2" fillId="21" borderId="0" xfId="0" applyFont="1" applyFill="1" applyProtection="1">
      <protection locked="0" hidden="1"/>
    </xf>
    <xf numFmtId="0" fontId="2" fillId="21" borderId="0" xfId="0" applyFont="1" applyFill="1" applyAlignment="1" applyProtection="1">
      <alignment horizontal="right"/>
      <protection locked="0" hidden="1"/>
    </xf>
    <xf numFmtId="2" fontId="2" fillId="21" borderId="0" xfId="0" applyNumberFormat="1" applyFont="1" applyFill="1" applyAlignment="1" applyProtection="1">
      <alignment horizontal="center"/>
      <protection locked="0" hidden="1"/>
    </xf>
    <xf numFmtId="0" fontId="0" fillId="21" borderId="0" xfId="0" applyFill="1" applyAlignment="1" applyProtection="1">
      <alignment horizontal="right"/>
      <protection locked="0" hidden="1"/>
    </xf>
    <xf numFmtId="44" fontId="0" fillId="21" borderId="0" xfId="1" applyFont="1" applyFill="1" applyBorder="1" applyProtection="1">
      <protection locked="0" hidden="1"/>
    </xf>
    <xf numFmtId="2" fontId="0" fillId="21" borderId="0" xfId="1" applyNumberFormat="1" applyFont="1" applyFill="1" applyBorder="1" applyAlignment="1" applyProtection="1">
      <alignment horizontal="center"/>
      <protection locked="0" hidden="1"/>
    </xf>
    <xf numFmtId="0" fontId="14" fillId="21" borderId="0" xfId="0" applyFont="1" applyFill="1" applyAlignment="1" applyProtection="1">
      <alignment vertical="center"/>
      <protection locked="0" hidden="1"/>
    </xf>
    <xf numFmtId="0" fontId="17" fillId="21" borderId="0" xfId="0" applyFont="1" applyFill="1" applyAlignment="1" applyProtection="1">
      <alignment horizontal="right"/>
      <protection locked="0" hidden="1"/>
    </xf>
    <xf numFmtId="0" fontId="6" fillId="21" borderId="0" xfId="0" applyFont="1" applyFill="1" applyProtection="1">
      <protection locked="0" hidden="1"/>
    </xf>
    <xf numFmtId="44" fontId="0" fillId="21" borderId="14" xfId="1" applyFont="1" applyFill="1" applyBorder="1" applyProtection="1">
      <protection hidden="1"/>
    </xf>
    <xf numFmtId="44" fontId="0" fillId="21" borderId="14" xfId="1" applyFont="1" applyFill="1" applyBorder="1" applyProtection="1">
      <protection locked="0" hidden="1"/>
    </xf>
    <xf numFmtId="44" fontId="0" fillId="21" borderId="14" xfId="1" applyFont="1" applyFill="1" applyBorder="1" applyAlignment="1" applyProtection="1">
      <alignment horizontal="right"/>
      <protection locked="0" hidden="1"/>
    </xf>
    <xf numFmtId="2" fontId="0" fillId="21" borderId="14" xfId="1" applyNumberFormat="1" applyFont="1" applyFill="1" applyBorder="1" applyProtection="1">
      <protection hidden="1"/>
    </xf>
    <xf numFmtId="0" fontId="2" fillId="21" borderId="0" xfId="0" applyFont="1" applyFill="1" applyAlignment="1" applyProtection="1">
      <alignment horizontal="center"/>
      <protection locked="0"/>
    </xf>
    <xf numFmtId="0" fontId="6" fillId="21" borderId="0" xfId="0" applyFont="1" applyFill="1" applyAlignment="1" applyProtection="1">
      <alignment horizontal="center"/>
      <protection locked="0" hidden="1"/>
    </xf>
    <xf numFmtId="44" fontId="0" fillId="21" borderId="0" xfId="1" applyFont="1" applyFill="1" applyBorder="1" applyAlignment="1" applyProtection="1">
      <alignment horizontal="center"/>
      <protection hidden="1"/>
    </xf>
    <xf numFmtId="2" fontId="0" fillId="21" borderId="0" xfId="0" applyNumberFormat="1" applyFill="1" applyAlignment="1" applyProtection="1">
      <alignment horizontal="center"/>
      <protection hidden="1"/>
    </xf>
    <xf numFmtId="44" fontId="0" fillId="21" borderId="0" xfId="0" applyNumberFormat="1" applyFill="1" applyAlignment="1" applyProtection="1">
      <alignment horizontal="center"/>
      <protection hidden="1"/>
    </xf>
    <xf numFmtId="0" fontId="9" fillId="21" borderId="0" xfId="0" applyFont="1" applyFill="1" applyProtection="1">
      <protection locked="0"/>
    </xf>
    <xf numFmtId="44" fontId="0" fillId="21" borderId="0" xfId="0" quotePrefix="1" applyNumberFormat="1" applyFill="1" applyProtection="1">
      <protection hidden="1"/>
    </xf>
    <xf numFmtId="9" fontId="0" fillId="21" borderId="0" xfId="0" applyNumberFormat="1" applyFill="1" applyProtection="1">
      <protection locked="0" hidden="1"/>
    </xf>
    <xf numFmtId="167" fontId="0" fillId="21" borderId="0" xfId="1" applyNumberFormat="1" applyFont="1" applyFill="1" applyBorder="1" applyProtection="1">
      <protection hidden="1"/>
    </xf>
    <xf numFmtId="0" fontId="0" fillId="21" borderId="0" xfId="0" applyFill="1" applyProtection="1">
      <protection hidden="1"/>
    </xf>
    <xf numFmtId="44" fontId="0" fillId="21" borderId="0" xfId="0" applyNumberFormat="1" applyFill="1" applyAlignment="1" applyProtection="1">
      <alignment horizontal="right"/>
      <protection locked="0" hidden="1"/>
    </xf>
    <xf numFmtId="44" fontId="0" fillId="38" borderId="0" xfId="0" applyNumberFormat="1" applyFill="1" applyProtection="1">
      <protection hidden="1"/>
    </xf>
    <xf numFmtId="44" fontId="0" fillId="38" borderId="0" xfId="1" applyFont="1" applyFill="1" applyBorder="1" applyAlignment="1" applyProtection="1">
      <alignment horizontal="center"/>
      <protection hidden="1"/>
    </xf>
    <xf numFmtId="0" fontId="14" fillId="6" borderId="0" xfId="0" applyFont="1" applyFill="1" applyAlignment="1" applyProtection="1">
      <alignment vertical="center"/>
      <protection locked="0"/>
    </xf>
    <xf numFmtId="0" fontId="14" fillId="6" borderId="0" xfId="0" applyFont="1" applyFill="1" applyProtection="1">
      <protection locked="0" hidden="1"/>
    </xf>
    <xf numFmtId="0" fontId="14" fillId="6" borderId="0" xfId="0" applyFont="1" applyFill="1" applyAlignment="1" applyProtection="1">
      <alignment horizontal="center"/>
      <protection locked="0" hidden="1"/>
    </xf>
    <xf numFmtId="0" fontId="14" fillId="11" borderId="14" xfId="0" applyFont="1" applyFill="1" applyBorder="1" applyAlignment="1" applyProtection="1">
      <alignment horizontal="left"/>
      <protection locked="0"/>
    </xf>
    <xf numFmtId="44" fontId="14" fillId="11" borderId="0" xfId="1" applyFont="1" applyFill="1" applyProtection="1"/>
    <xf numFmtId="44" fontId="14" fillId="11" borderId="0" xfId="1" applyFont="1" applyFill="1" applyProtection="1">
      <protection locked="0"/>
    </xf>
    <xf numFmtId="0" fontId="14" fillId="5" borderId="0" xfId="0" applyFont="1" applyFill="1" applyAlignment="1" applyProtection="1">
      <alignment horizontal="left"/>
      <protection locked="0"/>
    </xf>
    <xf numFmtId="44" fontId="14" fillId="5" borderId="0" xfId="0" applyNumberFormat="1" applyFont="1" applyFill="1"/>
    <xf numFmtId="0" fontId="0" fillId="3" borderId="14" xfId="0" applyFill="1" applyBorder="1" applyAlignment="1" applyProtection="1">
      <alignment wrapText="1"/>
      <protection hidden="1"/>
    </xf>
    <xf numFmtId="0" fontId="14" fillId="0" borderId="0" xfId="0" applyFont="1" applyAlignment="1">
      <alignment vertical="center"/>
    </xf>
    <xf numFmtId="0" fontId="0" fillId="17" borderId="14" xfId="0" applyFill="1" applyBorder="1" applyProtection="1">
      <protection hidden="1"/>
    </xf>
    <xf numFmtId="0" fontId="0" fillId="3" borderId="44" xfId="0" applyFill="1" applyBorder="1" applyAlignment="1" applyProtection="1">
      <alignment wrapText="1"/>
      <protection hidden="1"/>
    </xf>
    <xf numFmtId="0" fontId="0" fillId="3" borderId="44" xfId="0" applyFill="1" applyBorder="1" applyProtection="1">
      <protection hidden="1"/>
    </xf>
    <xf numFmtId="0" fontId="26" fillId="10" borderId="14" xfId="0" applyFont="1" applyFill="1" applyBorder="1" applyProtection="1">
      <protection hidden="1"/>
    </xf>
    <xf numFmtId="0" fontId="7" fillId="3" borderId="0" xfId="0" applyFont="1" applyFill="1" applyProtection="1">
      <protection hidden="1"/>
    </xf>
    <xf numFmtId="0" fontId="0" fillId="3" borderId="14" xfId="0" applyFill="1" applyBorder="1" applyAlignment="1" applyProtection="1">
      <alignment horizontal="right"/>
      <protection hidden="1"/>
    </xf>
    <xf numFmtId="0" fontId="21" fillId="0" borderId="0" xfId="0" applyFont="1"/>
    <xf numFmtId="0" fontId="7" fillId="3" borderId="14" xfId="0" applyFont="1" applyFill="1" applyBorder="1" applyProtection="1">
      <protection hidden="1"/>
    </xf>
    <xf numFmtId="0" fontId="26" fillId="10" borderId="0" xfId="0" applyFont="1" applyFill="1" applyProtection="1">
      <protection hidden="1"/>
    </xf>
    <xf numFmtId="0" fontId="0" fillId="12" borderId="0" xfId="0" applyFill="1" applyProtection="1">
      <protection hidden="1"/>
    </xf>
    <xf numFmtId="0" fontId="14" fillId="0" borderId="0" xfId="0" applyFont="1" applyAlignment="1" applyProtection="1">
      <alignment vertical="center"/>
      <protection hidden="1"/>
    </xf>
    <xf numFmtId="0" fontId="0" fillId="3" borderId="39" xfId="0" applyFill="1" applyBorder="1" applyProtection="1">
      <protection hidden="1"/>
    </xf>
    <xf numFmtId="0" fontId="21" fillId="3" borderId="0" xfId="0" applyFont="1" applyFill="1"/>
    <xf numFmtId="0" fontId="9" fillId="3" borderId="0" xfId="0" applyFont="1" applyFill="1"/>
    <xf numFmtId="0" fontId="2" fillId="3" borderId="0" xfId="0" applyFont="1" applyFill="1"/>
    <xf numFmtId="0" fontId="2" fillId="3" borderId="0" xfId="0" applyFont="1" applyFill="1" applyAlignment="1">
      <alignment horizontal="center"/>
    </xf>
    <xf numFmtId="14" fontId="14" fillId="3" borderId="0" xfId="0" applyNumberFormat="1" applyFont="1" applyFill="1" applyProtection="1">
      <protection locked="0"/>
    </xf>
    <xf numFmtId="14" fontId="14" fillId="5" borderId="0" xfId="0" applyNumberFormat="1" applyFont="1" applyFill="1" applyProtection="1">
      <protection locked="0"/>
    </xf>
    <xf numFmtId="44" fontId="70" fillId="8" borderId="36" xfId="1" applyFont="1" applyFill="1" applyBorder="1" applyAlignment="1" applyProtection="1">
      <alignment horizontal="center"/>
      <protection hidden="1"/>
    </xf>
    <xf numFmtId="44" fontId="70" fillId="8" borderId="25" xfId="1" applyFont="1" applyFill="1" applyBorder="1" applyAlignment="1" applyProtection="1">
      <alignment horizontal="center"/>
      <protection hidden="1"/>
    </xf>
    <xf numFmtId="44" fontId="70" fillId="8" borderId="25" xfId="1" applyFont="1" applyFill="1" applyBorder="1" applyAlignment="1" applyProtection="1">
      <alignment horizontal="center"/>
      <protection locked="0" hidden="1"/>
    </xf>
    <xf numFmtId="44" fontId="96" fillId="3" borderId="0" xfId="1" applyFont="1" applyFill="1" applyBorder="1" applyAlignment="1" applyProtection="1">
      <alignment vertical="center"/>
      <protection hidden="1"/>
    </xf>
    <xf numFmtId="0" fontId="86" fillId="39" borderId="30" xfId="0" applyFont="1" applyFill="1" applyBorder="1" applyProtection="1">
      <protection hidden="1"/>
    </xf>
    <xf numFmtId="0" fontId="87" fillId="39" borderId="31" xfId="0" applyFont="1" applyFill="1" applyBorder="1" applyProtection="1">
      <protection hidden="1"/>
    </xf>
    <xf numFmtId="0" fontId="88" fillId="39" borderId="31" xfId="0" applyFont="1" applyFill="1" applyBorder="1" applyProtection="1">
      <protection hidden="1"/>
    </xf>
    <xf numFmtId="0" fontId="15" fillId="6" borderId="19" xfId="0" applyFont="1" applyFill="1" applyBorder="1" applyAlignment="1" applyProtection="1">
      <alignment vertical="center"/>
      <protection hidden="1"/>
    </xf>
    <xf numFmtId="0" fontId="87" fillId="39" borderId="32" xfId="0" applyFont="1" applyFill="1" applyBorder="1" applyProtection="1">
      <protection hidden="1"/>
    </xf>
    <xf numFmtId="0" fontId="14" fillId="3" borderId="22" xfId="0" applyFont="1" applyFill="1" applyBorder="1" applyProtection="1">
      <protection hidden="1"/>
    </xf>
    <xf numFmtId="0" fontId="66" fillId="3" borderId="22" xfId="0" applyFont="1" applyFill="1" applyBorder="1" applyAlignment="1" applyProtection="1">
      <alignment horizontal="center"/>
      <protection hidden="1"/>
    </xf>
    <xf numFmtId="0" fontId="15" fillId="9" borderId="30" xfId="0" applyFont="1" applyFill="1" applyBorder="1" applyAlignment="1" applyProtection="1">
      <alignment vertical="center"/>
      <protection hidden="1"/>
    </xf>
    <xf numFmtId="0" fontId="20" fillId="9" borderId="31" xfId="0" applyFont="1" applyFill="1" applyBorder="1" applyAlignment="1" applyProtection="1">
      <alignment vertical="center"/>
      <protection hidden="1"/>
    </xf>
    <xf numFmtId="0" fontId="65" fillId="9" borderId="31" xfId="0" applyFont="1" applyFill="1" applyBorder="1" applyAlignment="1" applyProtection="1">
      <alignment vertical="center"/>
      <protection hidden="1"/>
    </xf>
    <xf numFmtId="0" fontId="15" fillId="9" borderId="32" xfId="0" applyFont="1" applyFill="1" applyBorder="1" applyAlignment="1" applyProtection="1">
      <alignment vertical="center"/>
      <protection hidden="1"/>
    </xf>
    <xf numFmtId="0" fontId="0" fillId="21" borderId="0" xfId="0" applyFill="1"/>
    <xf numFmtId="44" fontId="0" fillId="21" borderId="0" xfId="0" applyNumberFormat="1" applyFill="1"/>
    <xf numFmtId="9" fontId="0" fillId="21" borderId="0" xfId="2" applyFont="1" applyFill="1" applyAlignment="1">
      <alignment horizontal="left"/>
    </xf>
    <xf numFmtId="44" fontId="0" fillId="21" borderId="0" xfId="1" applyFont="1" applyFill="1"/>
    <xf numFmtId="0" fontId="0" fillId="0" borderId="22" xfId="0" applyBorder="1"/>
    <xf numFmtId="0" fontId="0" fillId="0" borderId="95" xfId="0" applyBorder="1"/>
    <xf numFmtId="9" fontId="0" fillId="21" borderId="0" xfId="0" applyNumberFormat="1" applyFill="1" applyAlignment="1">
      <alignment horizontal="left"/>
    </xf>
    <xf numFmtId="0" fontId="2" fillId="21" borderId="0" xfId="0" applyFont="1" applyFill="1"/>
    <xf numFmtId="0" fontId="0" fillId="0" borderId="0" xfId="0" applyAlignment="1">
      <alignment vertical="top" wrapText="1"/>
    </xf>
    <xf numFmtId="0" fontId="0" fillId="0" borderId="95" xfId="0" applyBorder="1" applyAlignment="1">
      <alignment vertical="top" wrapText="1"/>
    </xf>
    <xf numFmtId="0" fontId="0" fillId="0" borderId="0" xfId="0" applyAlignment="1">
      <alignment horizontal="right"/>
    </xf>
    <xf numFmtId="165" fontId="0" fillId="21" borderId="0" xfId="0" applyNumberFormat="1" applyFill="1"/>
    <xf numFmtId="9" fontId="0" fillId="21" borderId="0" xfId="0" applyNumberFormat="1" applyFill="1"/>
    <xf numFmtId="9" fontId="0" fillId="21" borderId="0" xfId="0" applyNumberFormat="1" applyFill="1" applyAlignment="1">
      <alignment horizontal="right"/>
    </xf>
    <xf numFmtId="172" fontId="0" fillId="21" borderId="0" xfId="0" applyNumberFormat="1" applyFill="1"/>
    <xf numFmtId="164" fontId="0" fillId="21" borderId="0" xfId="0" applyNumberFormat="1" applyFill="1"/>
    <xf numFmtId="0" fontId="98" fillId="21" borderId="0" xfId="0" applyFont="1" applyFill="1"/>
    <xf numFmtId="165" fontId="98" fillId="21" borderId="0" xfId="0" applyNumberFormat="1" applyFont="1" applyFill="1"/>
    <xf numFmtId="9" fontId="0" fillId="21" borderId="0" xfId="2" applyFont="1" applyFill="1"/>
    <xf numFmtId="0" fontId="99" fillId="21" borderId="0" xfId="0" applyFont="1" applyFill="1"/>
    <xf numFmtId="0" fontId="25" fillId="21" borderId="0" xfId="0" applyFont="1" applyFill="1"/>
    <xf numFmtId="9" fontId="0" fillId="21" borderId="0" xfId="0" quotePrefix="1" applyNumberFormat="1" applyFill="1" applyAlignment="1">
      <alignment horizontal="right"/>
    </xf>
    <xf numFmtId="0" fontId="15" fillId="9" borderId="99" xfId="0" applyFont="1" applyFill="1" applyBorder="1" applyAlignment="1" applyProtection="1">
      <alignment vertical="center"/>
      <protection hidden="1"/>
    </xf>
    <xf numFmtId="0" fontId="20" fillId="9" borderId="100" xfId="0" applyFont="1" applyFill="1" applyBorder="1" applyAlignment="1" applyProtection="1">
      <alignment vertical="center"/>
      <protection hidden="1"/>
    </xf>
    <xf numFmtId="0" fontId="65" fillId="9" borderId="100" xfId="0" applyFont="1" applyFill="1" applyBorder="1" applyAlignment="1" applyProtection="1">
      <alignment vertical="center"/>
      <protection hidden="1"/>
    </xf>
    <xf numFmtId="0" fontId="15" fillId="9" borderId="101" xfId="0" applyFont="1" applyFill="1" applyBorder="1" applyAlignment="1" applyProtection="1">
      <alignment vertical="center"/>
      <protection hidden="1"/>
    </xf>
    <xf numFmtId="0" fontId="86" fillId="39" borderId="33" xfId="0" applyFont="1" applyFill="1" applyBorder="1" applyProtection="1">
      <protection hidden="1"/>
    </xf>
    <xf numFmtId="0" fontId="87" fillId="39" borderId="35" xfId="0" applyFont="1" applyFill="1" applyBorder="1" applyProtection="1">
      <protection hidden="1"/>
    </xf>
    <xf numFmtId="9" fontId="0" fillId="21" borderId="0" xfId="2" quotePrefix="1" applyFont="1" applyFill="1"/>
    <xf numFmtId="0" fontId="0" fillId="21" borderId="0" xfId="0" quotePrefix="1" applyFill="1"/>
    <xf numFmtId="0" fontId="87" fillId="39" borderId="0" xfId="0" applyFont="1" applyFill="1" applyProtection="1">
      <protection hidden="1"/>
    </xf>
    <xf numFmtId="0" fontId="88" fillId="39" borderId="0" xfId="0" applyFont="1" applyFill="1" applyProtection="1">
      <protection hidden="1"/>
    </xf>
    <xf numFmtId="0" fontId="101" fillId="0" borderId="48" xfId="0" applyFont="1" applyBorder="1" applyAlignment="1">
      <alignment horizontal="right" vertical="center"/>
    </xf>
    <xf numFmtId="44" fontId="54" fillId="29" borderId="59" xfId="1" applyFont="1" applyFill="1" applyBorder="1" applyAlignment="1" applyProtection="1">
      <protection hidden="1"/>
    </xf>
    <xf numFmtId="0" fontId="0" fillId="10" borderId="14" xfId="0" applyFill="1" applyBorder="1" applyAlignment="1" applyProtection="1">
      <alignment horizontal="center"/>
      <protection locked="0" hidden="1"/>
    </xf>
    <xf numFmtId="0" fontId="0" fillId="10" borderId="0" xfId="0" applyFill="1" applyProtection="1">
      <protection locked="0" hidden="1"/>
    </xf>
    <xf numFmtId="0" fontId="13" fillId="3" borderId="0" xfId="0" applyFont="1" applyFill="1" applyAlignment="1" applyProtection="1">
      <alignment horizontal="center" vertical="center" wrapText="1"/>
      <protection locked="0"/>
    </xf>
    <xf numFmtId="0" fontId="68" fillId="3" borderId="22" xfId="0" applyFont="1" applyFill="1" applyBorder="1" applyAlignment="1" applyProtection="1">
      <alignment horizontal="right"/>
      <protection hidden="1"/>
    </xf>
    <xf numFmtId="0" fontId="68" fillId="4" borderId="78" xfId="0" applyFont="1" applyFill="1" applyBorder="1" applyAlignment="1" applyProtection="1">
      <alignment horizontal="right"/>
      <protection locked="0"/>
    </xf>
    <xf numFmtId="44" fontId="68" fillId="4" borderId="78" xfId="1" applyFont="1" applyFill="1" applyBorder="1" applyAlignment="1" applyProtection="1">
      <protection locked="0"/>
    </xf>
    <xf numFmtId="170" fontId="94" fillId="3" borderId="0" xfId="6" applyNumberFormat="1" applyFont="1" applyFill="1" applyAlignment="1">
      <alignment horizontal="left" vertical="center"/>
    </xf>
    <xf numFmtId="0" fontId="28" fillId="36" borderId="0" xfId="6" applyFill="1" applyAlignment="1" applyProtection="1">
      <alignment horizontal="center"/>
      <protection hidden="1"/>
    </xf>
    <xf numFmtId="0" fontId="22" fillId="3" borderId="0" xfId="0" applyFont="1" applyFill="1" applyAlignment="1" applyProtection="1">
      <alignment vertical="top" wrapText="1"/>
      <protection locked="0"/>
    </xf>
    <xf numFmtId="0" fontId="22" fillId="3" borderId="0" xfId="0" applyFont="1" applyFill="1" applyAlignment="1" applyProtection="1">
      <alignment wrapText="1"/>
      <protection locked="0"/>
    </xf>
    <xf numFmtId="44" fontId="66" fillId="3" borderId="96" xfId="1" applyFont="1" applyFill="1" applyBorder="1" applyAlignment="1" applyProtection="1">
      <protection locked="0"/>
    </xf>
    <xf numFmtId="44" fontId="66" fillId="3" borderId="96" xfId="1" applyFont="1" applyFill="1" applyBorder="1" applyAlignment="1" applyProtection="1">
      <protection hidden="1"/>
    </xf>
    <xf numFmtId="10" fontId="14" fillId="3" borderId="0" xfId="0" applyNumberFormat="1" applyFont="1" applyFill="1" applyProtection="1">
      <protection locked="0"/>
    </xf>
    <xf numFmtId="0" fontId="25" fillId="3" borderId="0" xfId="0" applyFont="1" applyFill="1" applyProtection="1">
      <protection locked="0" hidden="1"/>
    </xf>
    <xf numFmtId="10" fontId="104" fillId="0" borderId="104" xfId="0" applyNumberFormat="1" applyFont="1" applyBorder="1"/>
    <xf numFmtId="10" fontId="104" fillId="0" borderId="68" xfId="0" applyNumberFormat="1" applyFont="1" applyBorder="1"/>
    <xf numFmtId="10" fontId="104" fillId="0" borderId="103" xfId="0" applyNumberFormat="1" applyFont="1" applyBorder="1"/>
    <xf numFmtId="0" fontId="27" fillId="0" borderId="104" xfId="0" applyFont="1" applyBorder="1" applyAlignment="1">
      <alignment horizontal="center"/>
    </xf>
    <xf numFmtId="0" fontId="27" fillId="0" borderId="65" xfId="0" applyFont="1" applyBorder="1"/>
    <xf numFmtId="0" fontId="27" fillId="0" borderId="67" xfId="0" applyFont="1" applyBorder="1"/>
    <xf numFmtId="0" fontId="27" fillId="0" borderId="104" xfId="0" applyFont="1" applyBorder="1"/>
    <xf numFmtId="0" fontId="27" fillId="0" borderId="103" xfId="0" applyFont="1" applyBorder="1"/>
    <xf numFmtId="0" fontId="0" fillId="2" borderId="65" xfId="0" applyFill="1" applyBorder="1"/>
    <xf numFmtId="0" fontId="0" fillId="2" borderId="67" xfId="0" applyFill="1" applyBorder="1"/>
    <xf numFmtId="0" fontId="0" fillId="2" borderId="68" xfId="0" applyFill="1" applyBorder="1"/>
    <xf numFmtId="0" fontId="0" fillId="0" borderId="104" xfId="0" applyBorder="1" applyAlignment="1">
      <alignment horizontal="center"/>
    </xf>
    <xf numFmtId="0" fontId="0" fillId="0" borderId="68" xfId="0" applyBorder="1"/>
    <xf numFmtId="0" fontId="0" fillId="0" borderId="65" xfId="0" applyBorder="1"/>
    <xf numFmtId="0" fontId="0" fillId="0" borderId="67" xfId="0" applyBorder="1"/>
    <xf numFmtId="0" fontId="0" fillId="0" borderId="104" xfId="0" applyBorder="1"/>
    <xf numFmtId="0" fontId="0" fillId="0" borderId="103" xfId="0" applyBorder="1"/>
    <xf numFmtId="176" fontId="0" fillId="0" borderId="0" xfId="0" applyNumberFormat="1"/>
    <xf numFmtId="0" fontId="0" fillId="0" borderId="14" xfId="0" applyBorder="1"/>
    <xf numFmtId="0" fontId="0" fillId="0" borderId="44" xfId="0" applyBorder="1"/>
    <xf numFmtId="0" fontId="0" fillId="0" borderId="105" xfId="0" applyBorder="1"/>
    <xf numFmtId="0" fontId="0" fillId="0" borderId="107" xfId="0" applyBorder="1"/>
    <xf numFmtId="0" fontId="0" fillId="2" borderId="105" xfId="0" applyFill="1" applyBorder="1"/>
    <xf numFmtId="0" fontId="0" fillId="2" borderId="108" xfId="0" applyFill="1" applyBorder="1"/>
    <xf numFmtId="0" fontId="0" fillId="2" borderId="106" xfId="0" applyFill="1" applyBorder="1"/>
    <xf numFmtId="0" fontId="6" fillId="27" borderId="14" xfId="0" applyFont="1" applyFill="1" applyBorder="1"/>
    <xf numFmtId="0" fontId="6" fillId="27" borderId="65" xfId="0" applyFont="1" applyFill="1" applyBorder="1"/>
    <xf numFmtId="0" fontId="2" fillId="0" borderId="0" xfId="0" applyFont="1" applyAlignment="1">
      <alignment horizontal="center"/>
    </xf>
    <xf numFmtId="0" fontId="0" fillId="0" borderId="58" xfId="0" applyBorder="1"/>
    <xf numFmtId="0" fontId="99" fillId="0" borderId="106" xfId="0" applyFont="1" applyBorder="1" applyAlignment="1">
      <alignment horizontal="right"/>
    </xf>
    <xf numFmtId="166" fontId="103" fillId="0" borderId="64" xfId="0" applyNumberFormat="1" applyFont="1" applyBorder="1"/>
    <xf numFmtId="166" fontId="103" fillId="0" borderId="68" xfId="0" applyNumberFormat="1" applyFont="1" applyBorder="1"/>
    <xf numFmtId="166" fontId="6" fillId="27" borderId="68" xfId="0" applyNumberFormat="1" applyFont="1" applyFill="1" applyBorder="1"/>
    <xf numFmtId="10" fontId="67" fillId="22" borderId="0" xfId="2" applyNumberFormat="1" applyFont="1" applyFill="1" applyAlignment="1" applyProtection="1">
      <alignment horizontal="center" vertical="center"/>
      <protection locked="0"/>
    </xf>
    <xf numFmtId="10" fontId="105" fillId="0" borderId="0" xfId="0" applyNumberFormat="1" applyFont="1" applyAlignment="1" applyProtection="1">
      <alignment horizontal="center"/>
      <protection locked="0" hidden="1"/>
    </xf>
    <xf numFmtId="0" fontId="105" fillId="0" borderId="0" xfId="0" applyFont="1" applyProtection="1">
      <protection locked="0" hidden="1"/>
    </xf>
    <xf numFmtId="0" fontId="0" fillId="10" borderId="14" xfId="0" applyFill="1" applyBorder="1" applyAlignment="1">
      <alignment horizontal="center"/>
    </xf>
    <xf numFmtId="0" fontId="0" fillId="10" borderId="17" xfId="0" applyFill="1" applyBorder="1" applyAlignment="1">
      <alignment horizontal="center"/>
    </xf>
    <xf numFmtId="177" fontId="7" fillId="3" borderId="0" xfId="0" applyNumberFormat="1" applyFont="1" applyFill="1" applyProtection="1">
      <protection locked="0" hidden="1"/>
    </xf>
    <xf numFmtId="177" fontId="27" fillId="3" borderId="0" xfId="0" applyNumberFormat="1" applyFont="1" applyFill="1" applyProtection="1">
      <protection locked="0" hidden="1"/>
    </xf>
    <xf numFmtId="177" fontId="6" fillId="3" borderId="0" xfId="0" applyNumberFormat="1" applyFont="1" applyFill="1" applyProtection="1">
      <protection locked="0" hidden="1"/>
    </xf>
    <xf numFmtId="177" fontId="6" fillId="3" borderId="0" xfId="0" applyNumberFormat="1" applyFont="1" applyFill="1" applyAlignment="1" applyProtection="1">
      <alignment horizontal="center"/>
      <protection locked="0" hidden="1"/>
    </xf>
    <xf numFmtId="0" fontId="14" fillId="3" borderId="0" xfId="0" quotePrefix="1" applyFont="1" applyFill="1" applyProtection="1">
      <protection locked="0"/>
    </xf>
    <xf numFmtId="10" fontId="0" fillId="0" borderId="0" xfId="0" applyNumberFormat="1"/>
    <xf numFmtId="10" fontId="0" fillId="0" borderId="0" xfId="0" applyNumberFormat="1" applyAlignment="1">
      <alignment horizontal="center"/>
    </xf>
    <xf numFmtId="10" fontId="104" fillId="0" borderId="0" xfId="0" applyNumberFormat="1" applyFont="1" applyAlignment="1">
      <alignment horizontal="center"/>
    </xf>
    <xf numFmtId="0" fontId="104" fillId="0" borderId="0" xfId="0" applyFont="1" applyAlignment="1">
      <alignment horizontal="center"/>
    </xf>
    <xf numFmtId="176" fontId="103" fillId="0" borderId="0" xfId="0" applyNumberFormat="1" applyFont="1" applyAlignment="1">
      <alignment horizontal="center"/>
    </xf>
    <xf numFmtId="176" fontId="0" fillId="0" borderId="0" xfId="0" applyNumberFormat="1" applyAlignment="1">
      <alignment horizontal="center"/>
    </xf>
    <xf numFmtId="176" fontId="6" fillId="0" borderId="0" xfId="0" applyNumberFormat="1" applyFont="1" applyAlignment="1">
      <alignment horizontal="center"/>
    </xf>
    <xf numFmtId="0" fontId="27" fillId="0" borderId="58" xfId="0" applyFont="1" applyBorder="1"/>
    <xf numFmtId="0" fontId="27" fillId="0" borderId="0" xfId="0" applyFont="1"/>
    <xf numFmtId="10" fontId="104" fillId="0" borderId="60" xfId="0" applyNumberFormat="1" applyFont="1" applyBorder="1"/>
    <xf numFmtId="0" fontId="27" fillId="0" borderId="14" xfId="0" applyFont="1" applyBorder="1"/>
    <xf numFmtId="10" fontId="104" fillId="0" borderId="14" xfId="0" applyNumberFormat="1" applyFont="1" applyBorder="1"/>
    <xf numFmtId="10" fontId="99" fillId="0" borderId="104" xfId="0" applyNumberFormat="1" applyFont="1" applyBorder="1"/>
    <xf numFmtId="10" fontId="99" fillId="0" borderId="68" xfId="0" applyNumberFormat="1" applyFont="1" applyBorder="1"/>
    <xf numFmtId="10" fontId="99" fillId="0" borderId="103" xfId="0" applyNumberFormat="1" applyFont="1" applyBorder="1"/>
    <xf numFmtId="10" fontId="99" fillId="0" borderId="60" xfId="0" applyNumberFormat="1" applyFont="1" applyBorder="1"/>
    <xf numFmtId="10" fontId="99" fillId="0" borderId="14" xfId="0" applyNumberFormat="1" applyFont="1" applyBorder="1"/>
    <xf numFmtId="0" fontId="110" fillId="47" borderId="27" xfId="0" applyFont="1" applyFill="1" applyBorder="1" applyAlignment="1" applyProtection="1">
      <alignment horizontal="left"/>
      <protection hidden="1"/>
    </xf>
    <xf numFmtId="10" fontId="110" fillId="3" borderId="0" xfId="2" applyNumberFormat="1" applyFont="1" applyFill="1" applyBorder="1" applyAlignment="1" applyProtection="1">
      <protection hidden="1"/>
    </xf>
    <xf numFmtId="44" fontId="112" fillId="3" borderId="0" xfId="1" applyFont="1" applyFill="1" applyBorder="1" applyAlignment="1" applyProtection="1">
      <protection hidden="1"/>
    </xf>
    <xf numFmtId="44" fontId="110" fillId="3" borderId="0" xfId="1" applyFont="1" applyFill="1" applyBorder="1" applyAlignment="1" applyProtection="1">
      <protection hidden="1"/>
    </xf>
    <xf numFmtId="0" fontId="110" fillId="0" borderId="28" xfId="0" applyFont="1" applyBorder="1" applyProtection="1">
      <protection hidden="1"/>
    </xf>
    <xf numFmtId="10" fontId="112" fillId="0" borderId="29" xfId="2" applyNumberFormat="1" applyFont="1" applyFill="1" applyBorder="1" applyAlignment="1" applyProtection="1">
      <protection hidden="1"/>
    </xf>
    <xf numFmtId="10" fontId="110" fillId="0" borderId="0" xfId="2" applyNumberFormat="1" applyFont="1" applyFill="1" applyBorder="1" applyAlignment="1" applyProtection="1">
      <protection hidden="1"/>
    </xf>
    <xf numFmtId="0" fontId="112" fillId="0" borderId="1" xfId="0" applyFont="1" applyBorder="1" applyProtection="1">
      <protection hidden="1"/>
    </xf>
    <xf numFmtId="44" fontId="110" fillId="3" borderId="0" xfId="1" applyFont="1" applyFill="1" applyBorder="1" applyProtection="1">
      <protection locked="0"/>
    </xf>
    <xf numFmtId="44" fontId="110" fillId="3" borderId="0" xfId="1" applyFont="1" applyFill="1" applyBorder="1" applyProtection="1">
      <protection locked="0" hidden="1"/>
    </xf>
    <xf numFmtId="44" fontId="110" fillId="7" borderId="24" xfId="1" applyFont="1" applyFill="1" applyBorder="1" applyProtection="1">
      <protection hidden="1"/>
    </xf>
    <xf numFmtId="44" fontId="110" fillId="3" borderId="0" xfId="1" applyFont="1" applyFill="1" applyBorder="1" applyAlignment="1" applyProtection="1">
      <alignment horizontal="right"/>
      <protection locked="0"/>
    </xf>
    <xf numFmtId="0" fontId="123" fillId="13" borderId="0" xfId="5" applyFont="1" applyFill="1" applyBorder="1" applyAlignment="1" applyProtection="1">
      <alignment horizontal="center"/>
    </xf>
    <xf numFmtId="2" fontId="110" fillId="8" borderId="98" xfId="0" applyNumberFormat="1" applyFont="1" applyFill="1" applyBorder="1" applyAlignment="1" applyProtection="1">
      <alignment horizontal="center"/>
      <protection hidden="1"/>
    </xf>
    <xf numFmtId="2" fontId="112" fillId="3" borderId="0" xfId="1" applyNumberFormat="1" applyFont="1" applyFill="1" applyBorder="1" applyAlignment="1" applyProtection="1">
      <alignment horizontal="center"/>
      <protection hidden="1"/>
    </xf>
    <xf numFmtId="44" fontId="109" fillId="8" borderId="0" xfId="1" applyFont="1" applyFill="1" applyBorder="1" applyProtection="1"/>
    <xf numFmtId="44" fontId="109" fillId="3" borderId="0" xfId="1" applyFont="1" applyFill="1" applyBorder="1" applyProtection="1">
      <protection locked="0" hidden="1"/>
    </xf>
    <xf numFmtId="44" fontId="109" fillId="3" borderId="0" xfId="1" applyFont="1" applyFill="1" applyBorder="1" applyProtection="1">
      <protection locked="0"/>
    </xf>
    <xf numFmtId="0" fontId="123" fillId="13" borderId="0" xfId="5" applyFont="1" applyFill="1" applyBorder="1" applyAlignment="1" applyProtection="1">
      <alignment horizontal="center"/>
      <protection hidden="1"/>
    </xf>
    <xf numFmtId="44" fontId="110" fillId="3" borderId="0" xfId="1" applyFont="1" applyFill="1" applyBorder="1" applyAlignment="1" applyProtection="1">
      <alignment horizontal="centerContinuous"/>
      <protection locked="0"/>
    </xf>
    <xf numFmtId="44" fontId="131" fillId="3" borderId="0" xfId="1" applyFont="1" applyFill="1" applyBorder="1" applyProtection="1">
      <protection hidden="1"/>
    </xf>
    <xf numFmtId="44" fontId="131" fillId="3" borderId="0" xfId="1" applyFont="1" applyFill="1" applyBorder="1" applyProtection="1">
      <protection locked="0"/>
    </xf>
    <xf numFmtId="0" fontId="110" fillId="7" borderId="27" xfId="0" applyFont="1" applyFill="1" applyBorder="1" applyAlignment="1" applyProtection="1">
      <alignment horizontal="left"/>
      <protection locked="0"/>
    </xf>
    <xf numFmtId="44" fontId="110" fillId="7" borderId="27" xfId="1" applyFont="1" applyFill="1" applyBorder="1" applyProtection="1">
      <protection hidden="1"/>
    </xf>
    <xf numFmtId="0" fontId="14" fillId="3" borderId="0" xfId="0" applyFont="1" applyFill="1" applyAlignment="1" applyProtection="1">
      <alignment horizontal="center" vertical="center"/>
      <protection locked="0" hidden="1"/>
    </xf>
    <xf numFmtId="0" fontId="0" fillId="3" borderId="0" xfId="0" applyFill="1" applyAlignment="1" applyProtection="1">
      <alignment horizontal="center"/>
      <protection locked="0" hidden="1"/>
    </xf>
    <xf numFmtId="0" fontId="110" fillId="47" borderId="27" xfId="0" applyFont="1" applyFill="1" applyBorder="1" applyAlignment="1" applyProtection="1">
      <alignment horizontal="left"/>
      <protection hidden="1"/>
    </xf>
    <xf numFmtId="0" fontId="110" fillId="7" borderId="26" xfId="0" applyFont="1" applyFill="1" applyBorder="1" applyAlignment="1" applyProtection="1">
      <alignment horizontal="left"/>
      <protection hidden="1"/>
    </xf>
    <xf numFmtId="0" fontId="110" fillId="7" borderId="27" xfId="0" applyFont="1" applyFill="1" applyBorder="1" applyAlignment="1" applyProtection="1">
      <alignment horizontal="left"/>
      <protection hidden="1"/>
    </xf>
    <xf numFmtId="0" fontId="13" fillId="3" borderId="0" xfId="0" applyFont="1" applyFill="1" applyAlignment="1" applyProtection="1">
      <alignment horizontal="center" vertical="center" wrapText="1"/>
      <protection locked="0"/>
    </xf>
    <xf numFmtId="0" fontId="14" fillId="21" borderId="0" xfId="0" applyFont="1" applyFill="1" applyAlignment="1" applyProtection="1">
      <alignment horizontal="center" vertical="center"/>
      <protection locked="0" hidden="1"/>
    </xf>
    <xf numFmtId="0" fontId="0" fillId="21" borderId="65" xfId="0" applyFill="1" applyBorder="1" applyAlignment="1" applyProtection="1">
      <alignment horizontal="center"/>
      <protection locked="0" hidden="1"/>
    </xf>
    <xf numFmtId="0" fontId="0" fillId="21" borderId="68" xfId="0" applyFill="1" applyBorder="1" applyAlignment="1" applyProtection="1">
      <alignment horizontal="center"/>
      <protection locked="0" hidden="1"/>
    </xf>
    <xf numFmtId="0" fontId="0" fillId="21" borderId="41" xfId="0" applyFill="1" applyBorder="1" applyAlignment="1" applyProtection="1">
      <alignment horizontal="left"/>
      <protection locked="0" hidden="1"/>
    </xf>
    <xf numFmtId="0" fontId="0" fillId="21" borderId="42" xfId="0" applyFill="1" applyBorder="1" applyAlignment="1" applyProtection="1">
      <alignment horizontal="left"/>
      <protection locked="0" hidden="1"/>
    </xf>
    <xf numFmtId="0" fontId="0" fillId="21" borderId="43" xfId="0" applyFill="1" applyBorder="1" applyAlignment="1" applyProtection="1">
      <alignment horizontal="left"/>
      <protection locked="0" hidden="1"/>
    </xf>
    <xf numFmtId="0" fontId="14" fillId="15" borderId="0" xfId="0" applyFont="1" applyFill="1" applyAlignment="1" applyProtection="1">
      <alignment horizontal="center" vertical="center"/>
      <protection hidden="1"/>
    </xf>
    <xf numFmtId="0" fontId="0" fillId="15" borderId="0" xfId="0" applyFill="1" applyAlignment="1" applyProtection="1">
      <alignment horizontal="center"/>
      <protection hidden="1"/>
    </xf>
    <xf numFmtId="0" fontId="131" fillId="0" borderId="109" xfId="0" applyFont="1" applyBorder="1" applyAlignment="1" applyProtection="1">
      <alignment horizontal="right"/>
      <protection hidden="1"/>
    </xf>
    <xf numFmtId="0" fontId="71" fillId="3" borderId="0" xfId="0" applyFont="1" applyFill="1" applyAlignment="1" applyProtection="1">
      <alignment horizontal="center" vertical="center" wrapText="1"/>
      <protection locked="0"/>
    </xf>
    <xf numFmtId="0" fontId="86" fillId="39" borderId="33" xfId="0" applyFont="1" applyFill="1" applyBorder="1" applyAlignment="1" applyProtection="1">
      <alignment horizontal="left" vertical="top" wrapText="1"/>
      <protection hidden="1"/>
    </xf>
    <xf numFmtId="0" fontId="86" fillId="39" borderId="0" xfId="0" applyFont="1" applyFill="1" applyAlignment="1" applyProtection="1">
      <alignment horizontal="left" vertical="top" wrapText="1"/>
      <protection hidden="1"/>
    </xf>
    <xf numFmtId="0" fontId="86" fillId="39" borderId="35" xfId="0" applyFont="1" applyFill="1" applyBorder="1" applyAlignment="1" applyProtection="1">
      <alignment horizontal="left" vertical="top" wrapText="1"/>
      <protection hidden="1"/>
    </xf>
    <xf numFmtId="0" fontId="86" fillId="39" borderId="37" xfId="0" applyFont="1" applyFill="1" applyBorder="1" applyAlignment="1" applyProtection="1">
      <alignment horizontal="left" vertical="top" wrapText="1"/>
      <protection hidden="1"/>
    </xf>
    <xf numFmtId="0" fontId="86" fillId="39" borderId="34" xfId="0" applyFont="1" applyFill="1" applyBorder="1" applyAlignment="1" applyProtection="1">
      <alignment horizontal="left" vertical="top" wrapText="1"/>
      <protection hidden="1"/>
    </xf>
    <xf numFmtId="0" fontId="86" fillId="39" borderId="38" xfId="0" applyFont="1" applyFill="1" applyBorder="1" applyAlignment="1" applyProtection="1">
      <alignment horizontal="left" vertical="top" wrapText="1"/>
      <protection hidden="1"/>
    </xf>
    <xf numFmtId="10" fontId="18" fillId="8" borderId="20" xfId="2" applyNumberFormat="1" applyFont="1" applyFill="1" applyBorder="1" applyAlignment="1" applyProtection="1">
      <alignment horizontal="right"/>
      <protection hidden="1"/>
    </xf>
    <xf numFmtId="0" fontId="64" fillId="3" borderId="0" xfId="0" applyFont="1" applyFill="1" applyAlignment="1" applyProtection="1">
      <alignment horizontal="center" wrapText="1"/>
      <protection locked="0"/>
    </xf>
    <xf numFmtId="0" fontId="68" fillId="4" borderId="23" xfId="0" applyFont="1" applyFill="1" applyBorder="1" applyAlignment="1" applyProtection="1">
      <alignment horizontal="center"/>
      <protection locked="0"/>
    </xf>
    <xf numFmtId="0" fontId="68" fillId="4" borderId="92" xfId="0" applyFont="1" applyFill="1" applyBorder="1" applyAlignment="1" applyProtection="1">
      <alignment horizontal="center"/>
      <protection locked="0"/>
    </xf>
    <xf numFmtId="0" fontId="68" fillId="4" borderId="78" xfId="0" applyFont="1" applyFill="1" applyBorder="1" applyAlignment="1" applyProtection="1">
      <alignment horizontal="right"/>
      <protection locked="0"/>
    </xf>
    <xf numFmtId="44" fontId="68" fillId="4" borderId="78" xfId="1" applyFont="1" applyFill="1" applyBorder="1" applyAlignment="1" applyProtection="1">
      <alignment horizontal="center"/>
      <protection locked="0"/>
    </xf>
    <xf numFmtId="0" fontId="102" fillId="8" borderId="20" xfId="2" applyNumberFormat="1" applyFont="1" applyFill="1" applyBorder="1" applyAlignment="1" applyProtection="1">
      <alignment horizontal="right"/>
      <protection locked="0"/>
    </xf>
    <xf numFmtId="0" fontId="102" fillId="8" borderId="21" xfId="2" applyNumberFormat="1" applyFont="1" applyFill="1" applyBorder="1" applyAlignment="1" applyProtection="1">
      <alignment horizontal="right"/>
      <protection locked="0"/>
    </xf>
    <xf numFmtId="0" fontId="4" fillId="4" borderId="4" xfId="0" applyFont="1" applyFill="1" applyBorder="1" applyAlignment="1">
      <alignment horizontal="center"/>
    </xf>
    <xf numFmtId="0" fontId="4" fillId="4" borderId="5" xfId="0" applyFont="1" applyFill="1" applyBorder="1" applyAlignment="1">
      <alignment horizontal="center"/>
    </xf>
    <xf numFmtId="0" fontId="4" fillId="4" borderId="6" xfId="0" applyFont="1" applyFill="1" applyBorder="1" applyAlignment="1">
      <alignment horizontal="center"/>
    </xf>
    <xf numFmtId="0" fontId="2" fillId="0" borderId="44" xfId="0" applyFont="1" applyBorder="1" applyAlignment="1">
      <alignment horizontal="center"/>
    </xf>
    <xf numFmtId="0" fontId="0" fillId="0" borderId="65" xfId="0" applyBorder="1" applyAlignment="1">
      <alignment horizontal="center"/>
    </xf>
    <xf numFmtId="0" fontId="0" fillId="0" borderId="108" xfId="0" applyBorder="1" applyAlignment="1">
      <alignment horizontal="center"/>
    </xf>
    <xf numFmtId="0" fontId="0" fillId="0" borderId="10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9" fontId="68" fillId="8" borderId="20" xfId="2" applyFont="1" applyFill="1" applyBorder="1" applyAlignment="1" applyProtection="1">
      <alignment horizontal="right"/>
      <protection hidden="1"/>
    </xf>
    <xf numFmtId="44" fontId="68" fillId="8" borderId="20" xfId="1" applyFont="1" applyFill="1" applyBorder="1" applyAlignment="1" applyProtection="1">
      <alignment horizontal="right"/>
      <protection hidden="1"/>
    </xf>
    <xf numFmtId="0" fontId="87" fillId="39" borderId="33" xfId="0" applyFont="1" applyFill="1" applyBorder="1" applyAlignment="1" applyProtection="1">
      <alignment horizontal="left" vertical="top" wrapText="1"/>
      <protection hidden="1"/>
    </xf>
    <xf numFmtId="0" fontId="87" fillId="39" borderId="0" xfId="0" applyFont="1" applyFill="1" applyAlignment="1" applyProtection="1">
      <alignment horizontal="left" vertical="top" wrapText="1"/>
      <protection hidden="1"/>
    </xf>
    <xf numFmtId="0" fontId="87" fillId="39" borderId="35" xfId="0" applyFont="1" applyFill="1" applyBorder="1" applyAlignment="1" applyProtection="1">
      <alignment horizontal="left" vertical="top" wrapText="1"/>
      <protection hidden="1"/>
    </xf>
    <xf numFmtId="0" fontId="87" fillId="39" borderId="37" xfId="0" applyFont="1" applyFill="1" applyBorder="1" applyAlignment="1" applyProtection="1">
      <alignment horizontal="left" vertical="top" wrapText="1"/>
      <protection hidden="1"/>
    </xf>
    <xf numFmtId="0" fontId="87" fillId="39" borderId="34" xfId="0" applyFont="1" applyFill="1" applyBorder="1" applyAlignment="1" applyProtection="1">
      <alignment horizontal="left" vertical="top" wrapText="1"/>
      <protection hidden="1"/>
    </xf>
    <xf numFmtId="0" fontId="87" fillId="39" borderId="38" xfId="0" applyFont="1" applyFill="1" applyBorder="1" applyAlignment="1" applyProtection="1">
      <alignment horizontal="left" vertical="top" wrapText="1"/>
      <protection hidden="1"/>
    </xf>
    <xf numFmtId="0" fontId="0" fillId="0" borderId="0" xfId="0" applyAlignment="1">
      <alignment horizontal="center" vertical="top" wrapText="1"/>
    </xf>
    <xf numFmtId="0" fontId="0" fillId="0" borderId="95" xfId="0" applyBorder="1" applyAlignment="1">
      <alignment horizontal="center" vertical="top" wrapText="1"/>
    </xf>
    <xf numFmtId="0" fontId="100" fillId="0" borderId="0" xfId="0" applyFont="1" applyAlignment="1" applyProtection="1">
      <alignment horizontal="center" vertical="top" wrapText="1"/>
      <protection hidden="1"/>
    </xf>
    <xf numFmtId="0" fontId="100" fillId="0" borderId="95" xfId="0" applyFont="1" applyBorder="1" applyAlignment="1" applyProtection="1">
      <alignment horizontal="center" vertical="top" wrapText="1"/>
      <protection hidden="1"/>
    </xf>
    <xf numFmtId="0" fontId="100" fillId="0" borderId="34" xfId="0" applyFont="1" applyBorder="1" applyAlignment="1" applyProtection="1">
      <alignment horizontal="center" vertical="top" wrapText="1"/>
      <protection hidden="1"/>
    </xf>
    <xf numFmtId="0" fontId="100" fillId="0" borderId="102" xfId="0" applyFont="1" applyBorder="1" applyAlignment="1" applyProtection="1">
      <alignment horizontal="center" vertical="top" wrapText="1"/>
      <protection hidden="1"/>
    </xf>
    <xf numFmtId="0" fontId="0" fillId="21" borderId="0" xfId="0" applyFill="1" applyAlignment="1">
      <alignment horizontal="center" wrapText="1"/>
    </xf>
    <xf numFmtId="44" fontId="68" fillId="4" borderId="78" xfId="1" applyFont="1" applyFill="1" applyBorder="1" applyAlignment="1" applyProtection="1">
      <protection locked="0"/>
    </xf>
    <xf numFmtId="0" fontId="68" fillId="4" borderId="78" xfId="1" applyNumberFormat="1" applyFont="1" applyFill="1" applyBorder="1" applyAlignment="1" applyProtection="1">
      <alignment horizontal="right"/>
      <protection locked="0"/>
    </xf>
    <xf numFmtId="0" fontId="62" fillId="29" borderId="0" xfId="6" applyFont="1" applyFill="1" applyAlignment="1">
      <alignment horizontal="center"/>
    </xf>
    <xf numFmtId="0" fontId="97" fillId="20" borderId="0" xfId="0" applyFont="1" applyFill="1" applyAlignment="1">
      <alignment horizontal="center" vertical="center"/>
    </xf>
    <xf numFmtId="0" fontId="97" fillId="20" borderId="97" xfId="0" applyFont="1" applyFill="1" applyBorder="1" applyAlignment="1">
      <alignment horizontal="center" vertical="center"/>
    </xf>
    <xf numFmtId="0" fontId="0" fillId="20" borderId="97" xfId="0" applyFill="1" applyBorder="1" applyAlignment="1">
      <alignment horizontal="center"/>
    </xf>
    <xf numFmtId="0" fontId="0" fillId="20" borderId="0" xfId="0" applyFill="1" applyAlignment="1">
      <alignment horizontal="center"/>
    </xf>
    <xf numFmtId="0" fontId="21" fillId="6" borderId="65" xfId="0" applyFont="1" applyFill="1" applyBorder="1" applyAlignment="1" applyProtection="1">
      <alignment horizontal="center"/>
      <protection hidden="1"/>
    </xf>
    <xf numFmtId="0" fontId="21" fillId="6" borderId="67" xfId="0" applyFont="1" applyFill="1" applyBorder="1" applyAlignment="1" applyProtection="1">
      <alignment horizontal="center"/>
      <protection hidden="1"/>
    </xf>
    <xf numFmtId="0" fontId="21" fillId="6" borderId="68" xfId="0" applyFont="1" applyFill="1" applyBorder="1" applyAlignment="1" applyProtection="1">
      <alignment horizontal="center"/>
      <protection hidden="1"/>
    </xf>
    <xf numFmtId="0" fontId="14" fillId="6" borderId="0" xfId="0" applyFont="1" applyFill="1" applyAlignment="1" applyProtection="1">
      <alignment horizontal="center" vertical="center"/>
      <protection hidden="1"/>
    </xf>
    <xf numFmtId="0" fontId="0" fillId="6" borderId="0" xfId="0" applyFill="1" applyAlignment="1" applyProtection="1">
      <alignment horizontal="center"/>
      <protection hidden="1"/>
    </xf>
    <xf numFmtId="0" fontId="2" fillId="6" borderId="65" xfId="0" applyFont="1" applyFill="1" applyBorder="1" applyAlignment="1" applyProtection="1">
      <alignment horizontal="center"/>
      <protection locked="0" hidden="1"/>
    </xf>
    <xf numFmtId="0" fontId="2" fillId="6" borderId="67" xfId="0" applyFont="1" applyFill="1" applyBorder="1" applyAlignment="1" applyProtection="1">
      <alignment horizontal="center"/>
      <protection locked="0" hidden="1"/>
    </xf>
    <xf numFmtId="0" fontId="2" fillId="6" borderId="68" xfId="0" applyFont="1" applyFill="1" applyBorder="1" applyAlignment="1" applyProtection="1">
      <alignment horizontal="center"/>
      <protection locked="0" hidden="1"/>
    </xf>
    <xf numFmtId="0" fontId="2" fillId="6" borderId="0" xfId="0" applyFont="1" applyFill="1" applyAlignment="1">
      <alignment horizontal="center"/>
    </xf>
    <xf numFmtId="0" fontId="0" fillId="6" borderId="0" xfId="0" applyFill="1" applyAlignment="1">
      <alignment horizontal="center"/>
    </xf>
    <xf numFmtId="0" fontId="2" fillId="6" borderId="65" xfId="0" applyFont="1" applyFill="1" applyBorder="1" applyAlignment="1" applyProtection="1">
      <alignment horizontal="center"/>
      <protection hidden="1"/>
    </xf>
    <xf numFmtId="0" fontId="2" fillId="6" borderId="67" xfId="0" applyFont="1" applyFill="1" applyBorder="1" applyAlignment="1" applyProtection="1">
      <alignment horizontal="center"/>
      <protection hidden="1"/>
    </xf>
    <xf numFmtId="0" fontId="2" fillId="6" borderId="68" xfId="0" applyFont="1" applyFill="1" applyBorder="1" applyAlignment="1" applyProtection="1">
      <alignment horizontal="center"/>
      <protection hidden="1"/>
    </xf>
    <xf numFmtId="0" fontId="2" fillId="28" borderId="0" xfId="0" applyFont="1" applyFill="1" applyAlignment="1">
      <alignment horizontal="center" vertical="center"/>
    </xf>
    <xf numFmtId="0" fontId="0" fillId="38" borderId="65" xfId="0" applyFill="1" applyBorder="1" applyAlignment="1" applyProtection="1">
      <alignment horizontal="right"/>
      <protection locked="0" hidden="1"/>
    </xf>
    <xf numFmtId="0" fontId="0" fillId="38" borderId="68" xfId="0" applyFill="1" applyBorder="1" applyAlignment="1" applyProtection="1">
      <alignment horizontal="right"/>
      <protection locked="0" hidden="1"/>
    </xf>
    <xf numFmtId="0" fontId="14" fillId="15" borderId="0" xfId="0" applyFont="1" applyFill="1" applyAlignment="1" applyProtection="1">
      <alignment horizontal="center" vertical="center"/>
      <protection locked="0" hidden="1"/>
    </xf>
    <xf numFmtId="0" fontId="0" fillId="15" borderId="0" xfId="0" applyFill="1" applyAlignment="1" applyProtection="1">
      <alignment horizontal="center"/>
      <protection locked="0" hidden="1"/>
    </xf>
    <xf numFmtId="0" fontId="0" fillId="11" borderId="41" xfId="0" applyFill="1" applyBorder="1" applyAlignment="1" applyProtection="1">
      <alignment horizontal="left"/>
      <protection locked="0" hidden="1"/>
    </xf>
    <xf numFmtId="0" fontId="0" fillId="11" borderId="42" xfId="0" applyFill="1" applyBorder="1" applyAlignment="1" applyProtection="1">
      <alignment horizontal="left"/>
      <protection locked="0" hidden="1"/>
    </xf>
    <xf numFmtId="0" fontId="0" fillId="11" borderId="43" xfId="0" applyFill="1" applyBorder="1" applyAlignment="1" applyProtection="1">
      <alignment horizontal="left"/>
      <protection locked="0" hidden="1"/>
    </xf>
    <xf numFmtId="10" fontId="51" fillId="28" borderId="45" xfId="7" applyNumberFormat="1" applyFont="1" applyFill="1" applyBorder="1" applyAlignment="1" applyProtection="1">
      <alignment horizontal="left"/>
      <protection hidden="1"/>
    </xf>
    <xf numFmtId="10" fontId="51" fillId="28" borderId="46" xfId="7" applyNumberFormat="1" applyFont="1" applyFill="1" applyBorder="1" applyAlignment="1" applyProtection="1">
      <alignment horizontal="left"/>
      <protection hidden="1"/>
    </xf>
    <xf numFmtId="10" fontId="51" fillId="28" borderId="45" xfId="8" applyNumberFormat="1" applyFont="1" applyFill="1" applyBorder="1" applyAlignment="1" applyProtection="1">
      <alignment horizontal="left"/>
      <protection hidden="1"/>
    </xf>
    <xf numFmtId="10" fontId="51" fillId="28" borderId="46" xfId="8" applyNumberFormat="1" applyFont="1" applyFill="1" applyBorder="1" applyAlignment="1" applyProtection="1">
      <alignment horizontal="left"/>
      <protection hidden="1"/>
    </xf>
    <xf numFmtId="10" fontId="50" fillId="27" borderId="45" xfId="8" applyNumberFormat="1" applyFont="1" applyFill="1" applyBorder="1" applyAlignment="1" applyProtection="1">
      <alignment horizontal="left"/>
      <protection hidden="1"/>
    </xf>
    <xf numFmtId="10" fontId="50" fillId="27" borderId="46" xfId="8" applyNumberFormat="1" applyFont="1" applyFill="1" applyBorder="1" applyAlignment="1" applyProtection="1">
      <alignment horizontal="left"/>
      <protection hidden="1"/>
    </xf>
    <xf numFmtId="10" fontId="51" fillId="2" borderId="45" xfId="8" applyNumberFormat="1" applyFont="1" applyFill="1" applyBorder="1" applyAlignment="1" applyProtection="1">
      <alignment horizontal="left"/>
      <protection hidden="1"/>
    </xf>
    <xf numFmtId="10" fontId="51" fillId="2" borderId="46" xfId="8" applyNumberFormat="1" applyFont="1" applyFill="1" applyBorder="1" applyAlignment="1" applyProtection="1">
      <alignment horizontal="left"/>
      <protection hidden="1"/>
    </xf>
    <xf numFmtId="10" fontId="51" fillId="28" borderId="47" xfId="7" applyNumberFormat="1" applyFont="1" applyFill="1" applyBorder="1" applyAlignment="1" applyProtection="1">
      <alignment horizontal="left"/>
      <protection hidden="1"/>
    </xf>
    <xf numFmtId="10" fontId="51" fillId="28" borderId="0" xfId="7" applyNumberFormat="1" applyFont="1" applyFill="1" applyBorder="1" applyAlignment="1" applyProtection="1">
      <alignment horizontal="left"/>
      <protection hidden="1"/>
    </xf>
    <xf numFmtId="10" fontId="51" fillId="28" borderId="47" xfId="8" applyNumberFormat="1" applyFont="1" applyFill="1" applyBorder="1" applyAlignment="1" applyProtection="1">
      <alignment horizontal="left"/>
      <protection hidden="1"/>
    </xf>
    <xf numFmtId="10" fontId="51" fillId="28" borderId="0" xfId="8" applyNumberFormat="1" applyFont="1" applyFill="1" applyBorder="1" applyAlignment="1" applyProtection="1">
      <alignment horizontal="left"/>
      <protection hidden="1"/>
    </xf>
    <xf numFmtId="10" fontId="53" fillId="27" borderId="47" xfId="8" applyNumberFormat="1" applyFont="1" applyFill="1" applyBorder="1" applyAlignment="1" applyProtection="1">
      <alignment horizontal="left"/>
      <protection hidden="1"/>
    </xf>
    <xf numFmtId="10" fontId="53" fillId="27" borderId="0" xfId="8" applyNumberFormat="1" applyFont="1" applyFill="1" applyBorder="1" applyAlignment="1" applyProtection="1">
      <alignment horizontal="left"/>
      <protection hidden="1"/>
    </xf>
    <xf numFmtId="10" fontId="51" fillId="2" borderId="47" xfId="8" applyNumberFormat="1" applyFont="1" applyFill="1" applyBorder="1" applyAlignment="1" applyProtection="1">
      <alignment horizontal="left"/>
      <protection hidden="1"/>
    </xf>
    <xf numFmtId="10" fontId="51" fillId="2" borderId="0" xfId="8" applyNumberFormat="1" applyFont="1" applyFill="1" applyBorder="1" applyAlignment="1" applyProtection="1">
      <alignment horizontal="left"/>
      <protection hidden="1"/>
    </xf>
    <xf numFmtId="10" fontId="48" fillId="3" borderId="0" xfId="6" applyNumberFormat="1" applyFont="1" applyFill="1" applyAlignment="1" applyProtection="1">
      <alignment horizontal="left" vertical="center" wrapText="1"/>
      <protection hidden="1"/>
    </xf>
    <xf numFmtId="10" fontId="48" fillId="3" borderId="63" xfId="6" applyNumberFormat="1" applyFont="1" applyFill="1" applyBorder="1" applyAlignment="1" applyProtection="1">
      <alignment horizontal="left" vertical="center" wrapText="1"/>
      <protection hidden="1"/>
    </xf>
    <xf numFmtId="10" fontId="49" fillId="2" borderId="45" xfId="7" applyNumberFormat="1" applyFont="1" applyFill="1" applyBorder="1" applyAlignment="1" applyProtection="1">
      <alignment horizontal="left"/>
      <protection hidden="1"/>
    </xf>
    <xf numFmtId="10" fontId="49" fillId="2" borderId="46" xfId="7" applyNumberFormat="1" applyFont="1" applyFill="1" applyBorder="1" applyAlignment="1" applyProtection="1">
      <alignment horizontal="left"/>
      <protection hidden="1"/>
    </xf>
    <xf numFmtId="10" fontId="50" fillId="27" borderId="45" xfId="7" applyNumberFormat="1" applyFont="1" applyFill="1" applyBorder="1" applyAlignment="1" applyProtection="1">
      <alignment horizontal="left"/>
      <protection hidden="1"/>
    </xf>
    <xf numFmtId="10" fontId="50" fillId="27" borderId="46" xfId="7" applyNumberFormat="1" applyFont="1" applyFill="1" applyBorder="1" applyAlignment="1" applyProtection="1">
      <alignment horizontal="left"/>
      <protection hidden="1"/>
    </xf>
    <xf numFmtId="172" fontId="49" fillId="2" borderId="45" xfId="8" applyNumberFormat="1" applyFont="1" applyFill="1" applyBorder="1" applyAlignment="1" applyProtection="1">
      <protection hidden="1"/>
    </xf>
    <xf numFmtId="172" fontId="49" fillId="2" borderId="46" xfId="8" applyNumberFormat="1" applyFont="1" applyFill="1" applyBorder="1" applyAlignment="1" applyProtection="1">
      <protection hidden="1"/>
    </xf>
    <xf numFmtId="172" fontId="50" fillId="27" borderId="45" xfId="8" applyNumberFormat="1" applyFont="1" applyFill="1" applyBorder="1" applyAlignment="1" applyProtection="1">
      <protection hidden="1"/>
    </xf>
    <xf numFmtId="172" fontId="50" fillId="27" borderId="46" xfId="8" applyNumberFormat="1" applyFont="1" applyFill="1" applyBorder="1" applyAlignment="1" applyProtection="1">
      <protection hidden="1"/>
    </xf>
    <xf numFmtId="0" fontId="44" fillId="2" borderId="53" xfId="6" applyFont="1" applyFill="1" applyBorder="1" applyAlignment="1">
      <alignment horizontal="center" vertical="center" wrapText="1"/>
    </xf>
    <xf numFmtId="0" fontId="44" fillId="2" borderId="55" xfId="6" applyFont="1" applyFill="1" applyBorder="1" applyAlignment="1">
      <alignment horizontal="center" vertical="center" wrapText="1"/>
    </xf>
    <xf numFmtId="0" fontId="33" fillId="28" borderId="41" xfId="6" applyFont="1" applyFill="1" applyBorder="1" applyAlignment="1">
      <alignment horizontal="center" vertical="center" wrapText="1"/>
    </xf>
    <xf numFmtId="0" fontId="33" fillId="28" borderId="42" xfId="6" applyFont="1" applyFill="1" applyBorder="1" applyAlignment="1">
      <alignment horizontal="center" vertical="center" wrapText="1"/>
    </xf>
    <xf numFmtId="0" fontId="33" fillId="28" borderId="43" xfId="6" applyFont="1" applyFill="1" applyBorder="1" applyAlignment="1">
      <alignment horizontal="center" vertical="center" wrapText="1"/>
    </xf>
    <xf numFmtId="0" fontId="33" fillId="2" borderId="41" xfId="6" applyFont="1" applyFill="1" applyBorder="1" applyAlignment="1">
      <alignment horizontal="center" vertical="center" wrapText="1"/>
    </xf>
    <xf numFmtId="0" fontId="33" fillId="2" borderId="42" xfId="6" applyFont="1" applyFill="1" applyBorder="1" applyAlignment="1">
      <alignment horizontal="center" vertical="center" wrapText="1"/>
    </xf>
    <xf numFmtId="0" fontId="33" fillId="2" borderId="43" xfId="6" applyFont="1" applyFill="1" applyBorder="1" applyAlignment="1">
      <alignment horizontal="center" vertical="center" wrapText="1"/>
    </xf>
    <xf numFmtId="0" fontId="43" fillId="27" borderId="41" xfId="6" applyFont="1" applyFill="1" applyBorder="1" applyAlignment="1">
      <alignment horizontal="center" vertical="center" wrapText="1"/>
    </xf>
    <xf numFmtId="0" fontId="43" fillId="27" borderId="42" xfId="6" applyFont="1" applyFill="1" applyBorder="1" applyAlignment="1">
      <alignment horizontal="center" vertical="center" wrapText="1"/>
    </xf>
    <xf numFmtId="0" fontId="43" fillId="27" borderId="43" xfId="6" applyFont="1" applyFill="1" applyBorder="1" applyAlignment="1">
      <alignment horizontal="center" vertical="center" wrapText="1"/>
    </xf>
    <xf numFmtId="0" fontId="52" fillId="27" borderId="42" xfId="6" applyFont="1" applyFill="1" applyBorder="1" applyAlignment="1">
      <alignment horizontal="center" vertical="center" wrapText="1"/>
    </xf>
    <xf numFmtId="0" fontId="52" fillId="27" borderId="43" xfId="6" applyFont="1" applyFill="1" applyBorder="1" applyAlignment="1">
      <alignment horizontal="center" vertical="center" wrapText="1"/>
    </xf>
    <xf numFmtId="0" fontId="44" fillId="2" borderId="41" xfId="6" applyFont="1" applyFill="1" applyBorder="1" applyAlignment="1">
      <alignment horizontal="center" vertical="center" wrapText="1"/>
    </xf>
    <xf numFmtId="0" fontId="44" fillId="2" borderId="42" xfId="6" applyFont="1" applyFill="1" applyBorder="1" applyAlignment="1">
      <alignment horizontal="center" vertical="center" wrapText="1"/>
    </xf>
    <xf numFmtId="0" fontId="44" fillId="2" borderId="43" xfId="6" applyFont="1" applyFill="1" applyBorder="1" applyAlignment="1">
      <alignment horizontal="center" vertical="center" wrapText="1"/>
    </xf>
    <xf numFmtId="10" fontId="39" fillId="11" borderId="0" xfId="6" applyNumberFormat="1" applyFont="1" applyFill="1" applyAlignment="1">
      <alignment horizontal="center" vertical="center"/>
    </xf>
    <xf numFmtId="0" fontId="39" fillId="11" borderId="0" xfId="6" applyFont="1" applyFill="1" applyAlignment="1">
      <alignment horizontal="center" vertical="center"/>
    </xf>
    <xf numFmtId="0" fontId="39" fillId="12" borderId="0" xfId="6" applyFont="1" applyFill="1" applyAlignment="1">
      <alignment horizontal="center" vertical="center"/>
    </xf>
    <xf numFmtId="0" fontId="42" fillId="0" borderId="0" xfId="6" applyFont="1" applyAlignment="1">
      <alignment horizontal="center" vertical="center"/>
    </xf>
    <xf numFmtId="0" fontId="33" fillId="22" borderId="52" xfId="6" applyFont="1" applyFill="1" applyBorder="1" applyAlignment="1">
      <alignment horizontal="center" vertical="center" wrapText="1"/>
    </xf>
    <xf numFmtId="0" fontId="33" fillId="22" borderId="53" xfId="6" applyFont="1" applyFill="1" applyBorder="1" applyAlignment="1">
      <alignment horizontal="center" vertical="center" wrapText="1"/>
    </xf>
    <xf numFmtId="0" fontId="43" fillId="23" borderId="53" xfId="6" applyFont="1" applyFill="1" applyBorder="1" applyAlignment="1">
      <alignment horizontal="center" vertical="center" wrapText="1"/>
    </xf>
    <xf numFmtId="0" fontId="43" fillId="23" borderId="54" xfId="6" applyFont="1" applyFill="1" applyBorder="1" applyAlignment="1">
      <alignment horizontal="center" vertical="center" wrapText="1"/>
    </xf>
    <xf numFmtId="0" fontId="33" fillId="7" borderId="52" xfId="6" applyFont="1" applyFill="1" applyBorder="1" applyAlignment="1">
      <alignment horizontal="center" vertical="center" wrapText="1"/>
    </xf>
    <xf numFmtId="0" fontId="33" fillId="7" borderId="53" xfId="6" applyFont="1" applyFill="1" applyBorder="1" applyAlignment="1">
      <alignment horizontal="center" vertical="center" wrapText="1"/>
    </xf>
    <xf numFmtId="0" fontId="43" fillId="13" borderId="53" xfId="6" applyFont="1" applyFill="1" applyBorder="1" applyAlignment="1">
      <alignment horizontal="center" vertical="center" wrapText="1"/>
    </xf>
    <xf numFmtId="0" fontId="43" fillId="13" borderId="54" xfId="6" applyFont="1" applyFill="1" applyBorder="1" applyAlignment="1">
      <alignment horizontal="center" vertical="center" wrapText="1"/>
    </xf>
    <xf numFmtId="0" fontId="44" fillId="15" borderId="52" xfId="6" applyFont="1" applyFill="1" applyBorder="1" applyAlignment="1">
      <alignment horizontal="center" vertical="center" wrapText="1"/>
    </xf>
    <xf numFmtId="0" fontId="44" fillId="15" borderId="53" xfId="6" applyFont="1" applyFill="1" applyBorder="1" applyAlignment="1">
      <alignment horizontal="center" vertical="center" wrapText="1"/>
    </xf>
    <xf numFmtId="0" fontId="43" fillId="24" borderId="53" xfId="6" applyFont="1" applyFill="1" applyBorder="1" applyAlignment="1">
      <alignment horizontal="center" vertical="center" wrapText="1"/>
    </xf>
    <xf numFmtId="0" fontId="43" fillId="24" borderId="54" xfId="6" applyFont="1" applyFill="1" applyBorder="1" applyAlignment="1">
      <alignment horizontal="center" vertical="center" wrapText="1"/>
    </xf>
    <xf numFmtId="0" fontId="43" fillId="25" borderId="53" xfId="6" applyFont="1" applyFill="1" applyBorder="1" applyAlignment="1">
      <alignment horizontal="center" vertical="center" wrapText="1"/>
    </xf>
    <xf numFmtId="0" fontId="43" fillId="25" borderId="55" xfId="6" applyFont="1" applyFill="1" applyBorder="1" applyAlignment="1">
      <alignment horizontal="center" vertical="center" wrapText="1"/>
    </xf>
    <xf numFmtId="0" fontId="33" fillId="12" borderId="56" xfId="6" applyFont="1" applyFill="1" applyBorder="1" applyAlignment="1">
      <alignment horizontal="center" vertical="center" wrapText="1"/>
    </xf>
    <xf numFmtId="0" fontId="33" fillId="12" borderId="53" xfId="6" applyFont="1" applyFill="1" applyBorder="1" applyAlignment="1">
      <alignment horizontal="center" vertical="center" wrapText="1"/>
    </xf>
    <xf numFmtId="0" fontId="43" fillId="26" borderId="53" xfId="6" applyFont="1" applyFill="1" applyBorder="1" applyAlignment="1">
      <alignment horizontal="center" vertical="center" wrapText="1"/>
    </xf>
    <xf numFmtId="0" fontId="43" fillId="26" borderId="57" xfId="6" applyFont="1" applyFill="1" applyBorder="1" applyAlignment="1">
      <alignment horizontal="center" vertical="center" wrapText="1"/>
    </xf>
    <xf numFmtId="10" fontId="40" fillId="10" borderId="0" xfId="7" applyNumberFormat="1" applyFont="1" applyFill="1" applyBorder="1" applyAlignment="1" applyProtection="1">
      <alignment horizontal="center"/>
      <protection hidden="1"/>
    </xf>
    <xf numFmtId="0" fontId="33" fillId="20" borderId="47" xfId="6" applyFont="1" applyFill="1" applyBorder="1" applyAlignment="1">
      <alignment horizontal="left" vertical="center"/>
    </xf>
    <xf numFmtId="0" fontId="33" fillId="20" borderId="0" xfId="6" applyFont="1" applyFill="1" applyAlignment="1">
      <alignment horizontal="left" vertical="center"/>
    </xf>
    <xf numFmtId="0" fontId="38" fillId="19" borderId="0" xfId="6" applyFont="1" applyFill="1" applyAlignment="1">
      <alignment horizontal="center" wrapText="1"/>
    </xf>
    <xf numFmtId="10" fontId="40" fillId="10" borderId="0" xfId="6" applyNumberFormat="1" applyFont="1" applyFill="1" applyAlignment="1">
      <alignment horizontal="center" vertical="center"/>
    </xf>
    <xf numFmtId="0" fontId="38" fillId="17" borderId="0" xfId="6" applyFont="1" applyFill="1" applyAlignment="1">
      <alignment horizontal="center" wrapText="1"/>
    </xf>
    <xf numFmtId="0" fontId="38" fillId="12" borderId="0" xfId="6" applyFont="1" applyFill="1" applyAlignment="1">
      <alignment horizontal="center" wrapText="1"/>
    </xf>
    <xf numFmtId="0" fontId="39" fillId="11" borderId="0" xfId="6" applyFont="1" applyFill="1" applyAlignment="1" applyProtection="1">
      <alignment horizontal="center"/>
      <protection hidden="1"/>
    </xf>
    <xf numFmtId="0" fontId="38" fillId="11" borderId="0" xfId="6" applyFont="1" applyFill="1" applyAlignment="1">
      <alignment horizontal="center" vertical="center"/>
    </xf>
    <xf numFmtId="0" fontId="40" fillId="10" borderId="0" xfId="6" applyFont="1" applyFill="1" applyAlignment="1">
      <alignment horizontal="center" vertical="center"/>
    </xf>
    <xf numFmtId="170" fontId="39" fillId="12" borderId="0" xfId="6" applyNumberFormat="1" applyFont="1" applyFill="1" applyAlignment="1">
      <alignment horizontal="left" vertical="center"/>
    </xf>
    <xf numFmtId="171" fontId="34" fillId="10" borderId="14" xfId="8" applyNumberFormat="1" applyFont="1" applyFill="1" applyBorder="1" applyAlignment="1" applyProtection="1">
      <alignment horizontal="center"/>
    </xf>
    <xf numFmtId="0" fontId="39" fillId="19" borderId="0" xfId="6" applyFont="1" applyFill="1" applyAlignment="1" applyProtection="1">
      <alignment horizontal="center"/>
      <protection hidden="1"/>
    </xf>
    <xf numFmtId="0" fontId="39" fillId="12" borderId="0" xfId="6" applyFont="1" applyFill="1" applyAlignment="1" applyProtection="1">
      <alignment horizontal="center"/>
      <protection hidden="1"/>
    </xf>
    <xf numFmtId="0" fontId="39" fillId="17" borderId="0" xfId="6" applyFont="1" applyFill="1" applyAlignment="1" applyProtection="1">
      <alignment horizontal="center"/>
      <protection hidden="1"/>
    </xf>
    <xf numFmtId="0" fontId="39" fillId="19" borderId="0" xfId="6" applyFont="1" applyFill="1" applyAlignment="1">
      <alignment horizontal="center" vertical="center"/>
    </xf>
    <xf numFmtId="0" fontId="39" fillId="17" borderId="0" xfId="6" applyFont="1" applyFill="1" applyAlignment="1">
      <alignment horizontal="center" vertical="center"/>
    </xf>
    <xf numFmtId="0" fontId="29" fillId="10" borderId="0" xfId="6" applyFont="1" applyFill="1" applyAlignment="1">
      <alignment horizontal="left" vertical="center"/>
    </xf>
    <xf numFmtId="0" fontId="31" fillId="11" borderId="0" xfId="6" applyFont="1" applyFill="1" applyAlignment="1">
      <alignment horizontal="center" wrapText="1"/>
    </xf>
    <xf numFmtId="0" fontId="31" fillId="19" borderId="0" xfId="6" applyFont="1" applyFill="1" applyAlignment="1">
      <alignment horizontal="center" wrapText="1"/>
    </xf>
    <xf numFmtId="0" fontId="31" fillId="17" borderId="0" xfId="6" applyFont="1" applyFill="1" applyAlignment="1">
      <alignment horizontal="center" wrapText="1"/>
    </xf>
    <xf numFmtId="0" fontId="31" fillId="12" borderId="0" xfId="6" applyFont="1" applyFill="1" applyAlignment="1">
      <alignment horizontal="center" wrapText="1"/>
    </xf>
    <xf numFmtId="0" fontId="33" fillId="20" borderId="45" xfId="6" applyFont="1" applyFill="1" applyBorder="1" applyAlignment="1">
      <alignment horizontal="left" vertical="center"/>
    </xf>
    <xf numFmtId="0" fontId="33" fillId="20" borderId="46" xfId="6" applyFont="1" applyFill="1" applyBorder="1" applyAlignment="1">
      <alignment horizontal="left" vertical="center"/>
    </xf>
    <xf numFmtId="0" fontId="36" fillId="11" borderId="0" xfId="6" applyFont="1" applyFill="1" applyAlignment="1">
      <alignment horizontal="center" vertical="center" wrapText="1"/>
    </xf>
    <xf numFmtId="0" fontId="36" fillId="17" borderId="0" xfId="6" applyFont="1" applyFill="1" applyAlignment="1">
      <alignment horizontal="center" wrapText="1"/>
    </xf>
    <xf numFmtId="0" fontId="54" fillId="29" borderId="45" xfId="0" applyFont="1" applyFill="1" applyBorder="1" applyAlignment="1" applyProtection="1">
      <alignment horizontal="center"/>
      <protection hidden="1"/>
    </xf>
    <xf numFmtId="0" fontId="54" fillId="29" borderId="46" xfId="0" applyFont="1" applyFill="1" applyBorder="1" applyAlignment="1" applyProtection="1">
      <alignment horizontal="center"/>
      <protection hidden="1"/>
    </xf>
    <xf numFmtId="0" fontId="0" fillId="11" borderId="45" xfId="0" applyFill="1" applyBorder="1" applyAlignment="1" applyProtection="1">
      <alignment horizontal="center"/>
      <protection hidden="1"/>
    </xf>
    <xf numFmtId="0" fontId="0" fillId="11" borderId="46" xfId="0" applyFill="1" applyBorder="1" applyAlignment="1" applyProtection="1">
      <alignment horizontal="center"/>
      <protection hidden="1"/>
    </xf>
    <xf numFmtId="0" fontId="0" fillId="11" borderId="71" xfId="0" applyFill="1" applyBorder="1" applyAlignment="1" applyProtection="1">
      <alignment horizontal="center"/>
      <protection hidden="1"/>
    </xf>
    <xf numFmtId="0" fontId="77" fillId="3" borderId="82" xfId="6" applyFont="1" applyFill="1" applyBorder="1" applyAlignment="1">
      <alignment horizontal="left" vertical="center"/>
    </xf>
    <xf numFmtId="44" fontId="78" fillId="4" borderId="82" xfId="6" applyNumberFormat="1" applyFont="1" applyFill="1" applyBorder="1" applyAlignment="1" applyProtection="1">
      <alignment horizontal="center" vertical="center"/>
      <protection locked="0"/>
    </xf>
    <xf numFmtId="0" fontId="78" fillId="4" borderId="82" xfId="6" applyFont="1" applyFill="1" applyBorder="1" applyAlignment="1" applyProtection="1">
      <alignment horizontal="center" vertical="center"/>
      <protection locked="0"/>
    </xf>
    <xf numFmtId="0" fontId="89" fillId="3" borderId="0" xfId="6" applyFont="1" applyFill="1" applyAlignment="1">
      <alignment horizontal="center" vertical="center" wrapText="1"/>
    </xf>
    <xf numFmtId="0" fontId="91" fillId="3" borderId="0" xfId="6" applyFont="1" applyFill="1" applyAlignment="1">
      <alignment horizontal="center" vertical="center" wrapText="1"/>
    </xf>
    <xf numFmtId="0" fontId="93" fillId="3" borderId="0" xfId="6" applyFont="1" applyFill="1" applyAlignment="1">
      <alignment horizontal="center" vertical="center" wrapText="1"/>
    </xf>
    <xf numFmtId="0" fontId="93" fillId="3" borderId="0" xfId="6" applyFont="1" applyFill="1" applyAlignment="1">
      <alignment horizontal="center" vertical="center"/>
    </xf>
    <xf numFmtId="170" fontId="94" fillId="3" borderId="0" xfId="6" applyNumberFormat="1" applyFont="1" applyFill="1" applyAlignment="1">
      <alignment horizontal="left" vertical="center"/>
    </xf>
    <xf numFmtId="171" fontId="78" fillId="8" borderId="82" xfId="8" applyNumberFormat="1" applyFont="1" applyFill="1" applyBorder="1" applyAlignment="1" applyProtection="1">
      <alignment horizontal="center" vertical="center"/>
    </xf>
    <xf numFmtId="0" fontId="94" fillId="3" borderId="0" xfId="6" applyFont="1" applyFill="1" applyAlignment="1" applyProtection="1">
      <alignment horizontal="center" vertical="center"/>
      <protection hidden="1"/>
    </xf>
    <xf numFmtId="10" fontId="94" fillId="3" borderId="0" xfId="7" applyNumberFormat="1" applyFont="1" applyFill="1" applyBorder="1" applyAlignment="1" applyProtection="1">
      <alignment horizontal="center" vertical="center"/>
      <protection hidden="1"/>
    </xf>
    <xf numFmtId="10" fontId="94" fillId="3" borderId="0" xfId="6" applyNumberFormat="1" applyFont="1" applyFill="1" applyAlignment="1">
      <alignment horizontal="center" vertical="center"/>
    </xf>
    <xf numFmtId="0" fontId="23" fillId="9" borderId="83" xfId="6" applyFont="1" applyFill="1" applyBorder="1" applyAlignment="1">
      <alignment horizontal="center" vertical="center" wrapText="1"/>
    </xf>
    <xf numFmtId="0" fontId="23" fillId="9" borderId="84" xfId="6" applyFont="1" applyFill="1" applyBorder="1" applyAlignment="1">
      <alignment horizontal="center" vertical="center" wrapText="1"/>
    </xf>
    <xf numFmtId="0" fontId="23" fillId="9" borderId="85" xfId="6" applyFont="1" applyFill="1" applyBorder="1" applyAlignment="1">
      <alignment horizontal="center" vertical="center" wrapText="1"/>
    </xf>
    <xf numFmtId="0" fontId="94" fillId="3" borderId="0" xfId="6" applyFont="1" applyFill="1" applyAlignment="1">
      <alignment horizontal="center" vertical="center"/>
    </xf>
    <xf numFmtId="0" fontId="77" fillId="3" borderId="82" xfId="6" applyFont="1" applyFill="1" applyBorder="1" applyAlignment="1">
      <alignment horizontal="left" vertical="center" wrapText="1"/>
    </xf>
    <xf numFmtId="0" fontId="54" fillId="29" borderId="45" xfId="6" applyFont="1" applyFill="1" applyBorder="1" applyAlignment="1" applyProtection="1">
      <alignment horizontal="center"/>
      <protection hidden="1"/>
    </xf>
    <xf numFmtId="0" fontId="54" fillId="29" borderId="46" xfId="6" applyFont="1" applyFill="1" applyBorder="1" applyAlignment="1" applyProtection="1">
      <alignment horizontal="center"/>
      <protection hidden="1"/>
    </xf>
    <xf numFmtId="0" fontId="28" fillId="11" borderId="45" xfId="6" applyFill="1" applyBorder="1" applyAlignment="1" applyProtection="1">
      <alignment horizontal="center"/>
      <protection hidden="1"/>
    </xf>
    <xf numFmtId="0" fontId="28" fillId="11" borderId="46" xfId="6" applyFill="1" applyBorder="1" applyAlignment="1" applyProtection="1">
      <alignment horizontal="center"/>
      <protection hidden="1"/>
    </xf>
    <xf numFmtId="0" fontId="28" fillId="11" borderId="71" xfId="6" applyFill="1" applyBorder="1" applyAlignment="1" applyProtection="1">
      <alignment horizontal="center"/>
      <protection hidden="1"/>
    </xf>
    <xf numFmtId="0" fontId="33" fillId="21" borderId="0" xfId="6" applyFont="1" applyFill="1" applyAlignment="1">
      <alignment horizontal="left" vertical="center"/>
    </xf>
    <xf numFmtId="0" fontId="33" fillId="21" borderId="0" xfId="6" applyFont="1" applyFill="1" applyAlignment="1">
      <alignment horizontal="center" vertical="center"/>
    </xf>
    <xf numFmtId="171" fontId="33" fillId="21" borderId="0" xfId="8" applyNumberFormat="1" applyFont="1" applyFill="1" applyBorder="1" applyAlignment="1" applyProtection="1">
      <alignment horizontal="center"/>
    </xf>
    <xf numFmtId="0" fontId="59" fillId="2" borderId="0" xfId="6" applyFont="1" applyFill="1" applyAlignment="1">
      <alignment horizontal="center" wrapText="1"/>
    </xf>
    <xf numFmtId="0" fontId="28" fillId="36" borderId="0" xfId="6" applyFill="1" applyAlignment="1" applyProtection="1">
      <alignment horizontal="center"/>
      <protection hidden="1"/>
    </xf>
    <xf numFmtId="0" fontId="117" fillId="0" borderId="0" xfId="0" applyFont="1" applyBorder="1" applyProtection="1">
      <protection locked="0"/>
    </xf>
    <xf numFmtId="0" fontId="127" fillId="39" borderId="110" xfId="0" applyFont="1" applyFill="1" applyBorder="1" applyProtection="1">
      <protection hidden="1"/>
    </xf>
    <xf numFmtId="0" fontId="127" fillId="39" borderId="0" xfId="0" applyFont="1" applyFill="1" applyBorder="1" applyProtection="1">
      <protection hidden="1"/>
    </xf>
    <xf numFmtId="0" fontId="127" fillId="39" borderId="0" xfId="0" applyFont="1" applyFill="1" applyBorder="1" applyAlignment="1" applyProtection="1">
      <alignment horizontal="center"/>
      <protection hidden="1"/>
    </xf>
    <xf numFmtId="0" fontId="127" fillId="39" borderId="111" xfId="0" applyFont="1" applyFill="1" applyBorder="1" applyProtection="1">
      <protection hidden="1"/>
    </xf>
    <xf numFmtId="0" fontId="127" fillId="39" borderId="110" xfId="0" applyFont="1" applyFill="1" applyBorder="1" applyAlignment="1" applyProtection="1">
      <alignment horizontal="left" vertical="top" wrapText="1"/>
      <protection hidden="1"/>
    </xf>
    <xf numFmtId="0" fontId="126" fillId="39" borderId="0" xfId="0" applyFont="1" applyFill="1" applyBorder="1" applyAlignment="1" applyProtection="1">
      <alignment horizontal="left" vertical="top" wrapText="1"/>
      <protection hidden="1"/>
    </xf>
    <xf numFmtId="0" fontId="126" fillId="39" borderId="111" xfId="0" applyFont="1" applyFill="1" applyBorder="1" applyAlignment="1" applyProtection="1">
      <alignment horizontal="left" vertical="top" wrapText="1"/>
      <protection hidden="1"/>
    </xf>
    <xf numFmtId="0" fontId="126" fillId="39" borderId="110" xfId="0" applyFont="1" applyFill="1" applyBorder="1" applyAlignment="1" applyProtection="1">
      <alignment horizontal="left" vertical="top" wrapText="1"/>
      <protection hidden="1"/>
    </xf>
    <xf numFmtId="0" fontId="126" fillId="39" borderId="112" xfId="0" applyFont="1" applyFill="1" applyBorder="1" applyAlignment="1" applyProtection="1">
      <alignment horizontal="left" vertical="top" wrapText="1"/>
      <protection hidden="1"/>
    </xf>
    <xf numFmtId="0" fontId="126" fillId="39" borderId="113" xfId="0" applyFont="1" applyFill="1" applyBorder="1" applyAlignment="1" applyProtection="1">
      <alignment horizontal="left" vertical="top" wrapText="1"/>
      <protection hidden="1"/>
    </xf>
    <xf numFmtId="0" fontId="126" fillId="39" borderId="114" xfId="0" applyFont="1" applyFill="1" applyBorder="1" applyAlignment="1" applyProtection="1">
      <alignment horizontal="left" vertical="top" wrapText="1"/>
      <protection hidden="1"/>
    </xf>
    <xf numFmtId="0" fontId="110" fillId="3" borderId="0" xfId="0" applyFont="1" applyFill="1" applyBorder="1" applyProtection="1">
      <protection locked="0"/>
    </xf>
    <xf numFmtId="0" fontId="111" fillId="3" borderId="0" xfId="0" applyFont="1" applyFill="1" applyBorder="1" applyProtection="1">
      <protection locked="0"/>
    </xf>
    <xf numFmtId="0" fontId="110" fillId="3" borderId="0" xfId="0" applyFont="1" applyFill="1" applyBorder="1" applyAlignment="1" applyProtection="1">
      <alignment horizontal="center"/>
      <protection locked="0"/>
    </xf>
    <xf numFmtId="0" fontId="112" fillId="3" borderId="0" xfId="0" applyFont="1" applyFill="1" applyBorder="1" applyProtection="1">
      <protection locked="0"/>
    </xf>
    <xf numFmtId="0" fontId="126" fillId="39" borderId="110" xfId="0" applyFont="1" applyFill="1" applyBorder="1" applyProtection="1">
      <protection hidden="1"/>
    </xf>
    <xf numFmtId="0" fontId="127" fillId="39" borderId="111" xfId="0" applyFont="1" applyFill="1" applyBorder="1" applyAlignment="1" applyProtection="1">
      <alignment horizontal="center"/>
      <protection hidden="1"/>
    </xf>
    <xf numFmtId="0" fontId="111" fillId="3" borderId="0" xfId="0" applyFont="1" applyFill="1" applyBorder="1" applyAlignment="1" applyProtection="1">
      <alignment horizontal="centerContinuous"/>
      <protection locked="0"/>
    </xf>
    <xf numFmtId="0" fontId="110" fillId="3" borderId="110" xfId="0" applyFont="1" applyFill="1" applyBorder="1" applyAlignment="1" applyProtection="1">
      <alignment horizontal="right"/>
      <protection hidden="1"/>
    </xf>
    <xf numFmtId="0" fontId="110" fillId="3" borderId="111" xfId="0" applyFont="1" applyFill="1" applyBorder="1" applyAlignment="1" applyProtection="1">
      <alignment horizontal="center"/>
      <protection locked="0"/>
    </xf>
    <xf numFmtId="0" fontId="110" fillId="3" borderId="110" xfId="0" applyFont="1" applyFill="1" applyBorder="1" applyProtection="1">
      <protection hidden="1"/>
    </xf>
    <xf numFmtId="0" fontId="124" fillId="0" borderId="0" xfId="0" applyFont="1" applyBorder="1"/>
    <xf numFmtId="0" fontId="121" fillId="0" borderId="0" xfId="0" applyFont="1" applyBorder="1" applyAlignment="1" applyProtection="1">
      <alignment horizontal="center"/>
      <protection locked="0"/>
    </xf>
    <xf numFmtId="0" fontId="125" fillId="3" borderId="0" xfId="0" applyFont="1" applyFill="1" applyBorder="1" applyProtection="1">
      <protection hidden="1"/>
    </xf>
    <xf numFmtId="0" fontId="110" fillId="3" borderId="110" xfId="0" applyFont="1" applyFill="1" applyBorder="1" applyAlignment="1" applyProtection="1">
      <alignment horizontal="right"/>
      <protection locked="0"/>
    </xf>
    <xf numFmtId="2" fontId="110" fillId="3" borderId="0" xfId="0" applyNumberFormat="1" applyFont="1" applyFill="1" applyBorder="1" applyAlignment="1" applyProtection="1">
      <alignment horizontal="center"/>
      <protection locked="0"/>
    </xf>
    <xf numFmtId="0" fontId="121" fillId="0" borderId="0" xfId="0" applyFont="1" applyBorder="1" applyProtection="1">
      <protection locked="0"/>
    </xf>
    <xf numFmtId="0" fontId="110" fillId="3" borderId="110" xfId="0" applyFont="1" applyFill="1" applyBorder="1" applyProtection="1">
      <protection locked="0"/>
    </xf>
    <xf numFmtId="0" fontId="106" fillId="49" borderId="115" xfId="0" applyFont="1" applyFill="1" applyBorder="1" applyAlignment="1" applyProtection="1">
      <alignment horizontal="left" vertical="center"/>
      <protection hidden="1"/>
    </xf>
    <xf numFmtId="0" fontId="106" fillId="49" borderId="116" xfId="0" applyFont="1" applyFill="1" applyBorder="1" applyAlignment="1" applyProtection="1">
      <alignment horizontal="left" vertical="center"/>
      <protection hidden="1"/>
    </xf>
    <xf numFmtId="0" fontId="106" fillId="49" borderId="117" xfId="0" applyFont="1" applyFill="1" applyBorder="1" applyAlignment="1" applyProtection="1">
      <alignment horizontal="left" vertical="center"/>
      <protection hidden="1"/>
    </xf>
    <xf numFmtId="0" fontId="134" fillId="49" borderId="0" xfId="5" applyFont="1" applyFill="1" applyBorder="1" applyAlignment="1" applyProtection="1">
      <alignment horizontal="center" vertical="center"/>
      <protection locked="0"/>
    </xf>
    <xf numFmtId="0" fontId="106" fillId="49" borderId="0" xfId="5" applyFont="1" applyFill="1" applyBorder="1" applyAlignment="1" applyProtection="1">
      <alignment horizontal="center" vertical="center" wrapText="1"/>
      <protection locked="0"/>
    </xf>
    <xf numFmtId="0" fontId="128" fillId="49" borderId="0" xfId="5" applyFont="1" applyFill="1" applyBorder="1" applyAlignment="1" applyProtection="1">
      <alignment horizontal="center" vertical="center"/>
      <protection hidden="1"/>
    </xf>
    <xf numFmtId="0" fontId="106" fillId="50" borderId="118" xfId="0" applyFont="1" applyFill="1" applyBorder="1" applyAlignment="1" applyProtection="1">
      <alignment vertical="center"/>
      <protection hidden="1"/>
    </xf>
    <xf numFmtId="0" fontId="106" fillId="50" borderId="118" xfId="0" applyFont="1" applyFill="1" applyBorder="1" applyAlignment="1" applyProtection="1">
      <alignment vertical="center"/>
      <protection locked="0"/>
    </xf>
    <xf numFmtId="0" fontId="106" fillId="49" borderId="112" xfId="0" applyFont="1" applyFill="1" applyBorder="1" applyAlignment="1" applyProtection="1">
      <alignment horizontal="left" vertical="center"/>
      <protection hidden="1"/>
    </xf>
    <xf numFmtId="0" fontId="106" fillId="49" borderId="113" xfId="0" applyFont="1" applyFill="1" applyBorder="1" applyAlignment="1" applyProtection="1">
      <alignment horizontal="left" vertical="center"/>
      <protection hidden="1"/>
    </xf>
    <xf numFmtId="0" fontId="106" fillId="49" borderId="114" xfId="0" applyFont="1" applyFill="1" applyBorder="1" applyAlignment="1" applyProtection="1">
      <alignment horizontal="left" vertical="center"/>
      <protection hidden="1"/>
    </xf>
    <xf numFmtId="0" fontId="109" fillId="3" borderId="119" xfId="0" applyFont="1" applyFill="1" applyBorder="1" applyAlignment="1" applyProtection="1">
      <alignment horizontal="right"/>
      <protection hidden="1"/>
    </xf>
    <xf numFmtId="0" fontId="110" fillId="3" borderId="0" xfId="0" applyFont="1" applyFill="1" applyBorder="1" applyProtection="1">
      <protection hidden="1"/>
    </xf>
    <xf numFmtId="0" fontId="111" fillId="3" borderId="0" xfId="0" applyFont="1" applyFill="1" applyBorder="1" applyAlignment="1" applyProtection="1">
      <alignment horizontal="left"/>
      <protection hidden="1"/>
    </xf>
    <xf numFmtId="0" fontId="109" fillId="3" borderId="0" xfId="0" applyFont="1" applyFill="1" applyBorder="1" applyAlignment="1" applyProtection="1">
      <alignment horizontal="right"/>
      <protection hidden="1"/>
    </xf>
    <xf numFmtId="0" fontId="112" fillId="3" borderId="0" xfId="0" applyFont="1" applyFill="1" applyBorder="1" applyProtection="1">
      <protection hidden="1"/>
    </xf>
    <xf numFmtId="0" fontId="111" fillId="3" borderId="0" xfId="0" applyFont="1" applyFill="1" applyBorder="1" applyAlignment="1" applyProtection="1">
      <alignment horizontal="centerContinuous"/>
      <protection hidden="1"/>
    </xf>
    <xf numFmtId="0" fontId="110" fillId="3" borderId="119" xfId="0" applyFont="1" applyFill="1" applyBorder="1" applyAlignment="1" applyProtection="1">
      <alignment horizontal="right"/>
      <protection hidden="1"/>
    </xf>
    <xf numFmtId="0" fontId="113" fillId="3" borderId="0" xfId="0" applyFont="1" applyFill="1" applyBorder="1" applyAlignment="1" applyProtection="1">
      <alignment horizontal="left"/>
      <protection hidden="1"/>
    </xf>
    <xf numFmtId="0" fontId="110" fillId="3" borderId="0" xfId="0" applyFont="1" applyFill="1" applyBorder="1" applyAlignment="1" applyProtection="1">
      <alignment horizontal="right"/>
      <protection hidden="1"/>
    </xf>
    <xf numFmtId="0" fontId="113" fillId="3" borderId="0" xfId="0" applyFont="1" applyFill="1" applyBorder="1" applyAlignment="1" applyProtection="1">
      <alignment horizontal="centerContinuous"/>
      <protection hidden="1"/>
    </xf>
    <xf numFmtId="0" fontId="114" fillId="3" borderId="0" xfId="0" applyFont="1" applyFill="1" applyBorder="1" applyAlignment="1" applyProtection="1">
      <alignment horizontal="centerContinuous"/>
      <protection hidden="1"/>
    </xf>
    <xf numFmtId="0" fontId="110" fillId="3" borderId="119" xfId="0" applyFont="1" applyFill="1" applyBorder="1" applyProtection="1">
      <protection hidden="1"/>
    </xf>
    <xf numFmtId="0" fontId="111" fillId="3" borderId="0" xfId="0" applyFont="1" applyFill="1" applyBorder="1" applyProtection="1">
      <protection hidden="1"/>
    </xf>
    <xf numFmtId="0" fontId="110" fillId="3" borderId="120" xfId="0" applyFont="1" applyFill="1" applyBorder="1" applyAlignment="1" applyProtection="1">
      <alignment horizontal="center"/>
      <protection locked="0"/>
    </xf>
    <xf numFmtId="0" fontId="110" fillId="7" borderId="121" xfId="0" applyFont="1" applyFill="1" applyBorder="1" applyAlignment="1" applyProtection="1">
      <alignment horizontal="left"/>
      <protection hidden="1"/>
    </xf>
    <xf numFmtId="0" fontId="110" fillId="0" borderId="119" xfId="0" applyFont="1" applyBorder="1" applyProtection="1">
      <protection hidden="1"/>
    </xf>
    <xf numFmtId="0" fontId="110" fillId="0" borderId="0" xfId="0" applyFont="1" applyBorder="1" applyProtection="1">
      <protection hidden="1"/>
    </xf>
    <xf numFmtId="0" fontId="111" fillId="0" borderId="0" xfId="0" applyFont="1" applyBorder="1" applyProtection="1">
      <protection hidden="1"/>
    </xf>
    <xf numFmtId="0" fontId="110" fillId="0" borderId="0" xfId="0" applyFont="1" applyBorder="1" applyProtection="1">
      <protection locked="0"/>
    </xf>
    <xf numFmtId="0" fontId="110" fillId="0" borderId="120" xfId="0" applyFont="1" applyBorder="1" applyAlignment="1" applyProtection="1">
      <alignment horizontal="center"/>
      <protection locked="0"/>
    </xf>
    <xf numFmtId="0" fontId="117" fillId="3" borderId="0" xfId="0" applyFont="1" applyFill="1" applyBorder="1" applyProtection="1">
      <protection locked="0" hidden="1"/>
    </xf>
    <xf numFmtId="0" fontId="109" fillId="3" borderId="0" xfId="0" applyFont="1" applyFill="1" applyBorder="1" applyProtection="1">
      <protection hidden="1"/>
    </xf>
    <xf numFmtId="0" fontId="118" fillId="3" borderId="0" xfId="0" applyFont="1" applyFill="1" applyBorder="1" applyProtection="1">
      <protection hidden="1"/>
    </xf>
    <xf numFmtId="0" fontId="119" fillId="3" borderId="0" xfId="0" applyFont="1" applyFill="1" applyBorder="1" applyAlignment="1" applyProtection="1">
      <alignment horizontal="center"/>
      <protection hidden="1"/>
    </xf>
    <xf numFmtId="0" fontId="120" fillId="3" borderId="0" xfId="0" applyFont="1" applyFill="1" applyBorder="1" applyProtection="1">
      <protection hidden="1"/>
    </xf>
    <xf numFmtId="0" fontId="109" fillId="3" borderId="0" xfId="0" applyFont="1" applyFill="1" applyBorder="1" applyAlignment="1" applyProtection="1">
      <alignment horizontal="center"/>
      <protection locked="0"/>
    </xf>
    <xf numFmtId="0" fontId="109" fillId="3" borderId="0" xfId="0" applyFont="1" applyFill="1" applyBorder="1" applyAlignment="1" applyProtection="1">
      <alignment horizontal="center"/>
      <protection locked="0" hidden="1"/>
    </xf>
    <xf numFmtId="0" fontId="109" fillId="3" borderId="0" xfId="0" applyFont="1" applyFill="1" applyBorder="1" applyAlignment="1" applyProtection="1">
      <alignment horizontal="center"/>
      <protection hidden="1"/>
    </xf>
    <xf numFmtId="0" fontId="120" fillId="3" borderId="0" xfId="0" applyFont="1" applyFill="1" applyBorder="1" applyAlignment="1" applyProtection="1">
      <alignment horizontal="center"/>
      <protection hidden="1"/>
    </xf>
    <xf numFmtId="0" fontId="121" fillId="3" borderId="0" xfId="0" applyFont="1" applyFill="1" applyBorder="1" applyProtection="1">
      <protection locked="0"/>
    </xf>
    <xf numFmtId="0" fontId="121" fillId="3" borderId="0" xfId="0" applyFont="1" applyFill="1" applyBorder="1" applyProtection="1">
      <protection locked="0" hidden="1"/>
    </xf>
    <xf numFmtId="0" fontId="121" fillId="3" borderId="120" xfId="0" applyFont="1" applyFill="1" applyBorder="1" applyProtection="1">
      <protection locked="0"/>
    </xf>
    <xf numFmtId="0" fontId="110" fillId="3" borderId="0" xfId="0" applyFont="1" applyFill="1" applyBorder="1" applyProtection="1">
      <protection locked="0" hidden="1"/>
    </xf>
    <xf numFmtId="0" fontId="110" fillId="3" borderId="120" xfId="0" applyFont="1" applyFill="1" applyBorder="1" applyProtection="1">
      <protection locked="0"/>
    </xf>
    <xf numFmtId="0" fontId="109" fillId="3" borderId="119" xfId="0" applyFont="1" applyFill="1" applyBorder="1" applyAlignment="1" applyProtection="1">
      <alignment horizontal="center"/>
      <protection hidden="1"/>
    </xf>
    <xf numFmtId="0" fontId="118" fillId="3" borderId="0" xfId="0" applyFont="1" applyFill="1" applyBorder="1" applyAlignment="1" applyProtection="1">
      <alignment horizontal="center"/>
      <protection hidden="1"/>
    </xf>
    <xf numFmtId="0" fontId="112" fillId="3" borderId="0" xfId="0" applyFont="1" applyFill="1" applyBorder="1" applyAlignment="1" applyProtection="1">
      <alignment horizontal="right"/>
      <protection hidden="1"/>
    </xf>
    <xf numFmtId="0" fontId="122" fillId="7" borderId="121" xfId="0" applyFont="1" applyFill="1" applyBorder="1" applyAlignment="1" applyProtection="1">
      <alignment horizontal="center"/>
      <protection hidden="1"/>
    </xf>
    <xf numFmtId="0" fontId="122" fillId="7" borderId="122" xfId="0" applyFont="1" applyFill="1" applyBorder="1" applyAlignment="1" applyProtection="1">
      <alignment horizontal="center"/>
      <protection hidden="1"/>
    </xf>
    <xf numFmtId="0" fontId="111" fillId="3" borderId="0" xfId="0" applyFont="1" applyFill="1" applyBorder="1" applyAlignment="1" applyProtection="1">
      <alignment horizontal="centerContinuous"/>
      <protection locked="0" hidden="1"/>
    </xf>
    <xf numFmtId="0" fontId="123" fillId="13" borderId="120" xfId="5" applyFont="1" applyFill="1" applyBorder="1" applyAlignment="1" applyProtection="1">
      <alignment horizontal="center"/>
    </xf>
    <xf numFmtId="0" fontId="119" fillId="3" borderId="0" xfId="0" applyFont="1" applyFill="1" applyBorder="1" applyAlignment="1" applyProtection="1">
      <alignment horizontal="center"/>
      <protection locked="0"/>
    </xf>
    <xf numFmtId="0" fontId="119" fillId="3" borderId="0" xfId="0" applyFont="1" applyFill="1" applyBorder="1" applyAlignment="1" applyProtection="1">
      <alignment horizontal="center"/>
      <protection locked="0" hidden="1"/>
    </xf>
    <xf numFmtId="0" fontId="110" fillId="3" borderId="123" xfId="0" applyFont="1" applyFill="1" applyBorder="1" applyAlignment="1" applyProtection="1">
      <alignment horizontal="right"/>
      <protection locked="0"/>
    </xf>
    <xf numFmtId="0" fontId="110" fillId="3" borderId="124" xfId="0" applyFont="1" applyFill="1" applyBorder="1" applyProtection="1">
      <protection locked="0"/>
    </xf>
    <xf numFmtId="0" fontId="111" fillId="3" borderId="124" xfId="0" applyFont="1" applyFill="1" applyBorder="1" applyAlignment="1" applyProtection="1">
      <alignment horizontal="centerContinuous"/>
      <protection locked="0"/>
    </xf>
    <xf numFmtId="44" fontId="110" fillId="3" borderId="124" xfId="1" applyFont="1" applyFill="1" applyBorder="1" applyAlignment="1" applyProtection="1">
      <alignment horizontal="centerContinuous"/>
      <protection locked="0"/>
    </xf>
    <xf numFmtId="0" fontId="112" fillId="3" borderId="124" xfId="0" applyFont="1" applyFill="1" applyBorder="1" applyProtection="1">
      <protection locked="0"/>
    </xf>
    <xf numFmtId="0" fontId="110" fillId="3" borderId="125" xfId="0" applyFont="1" applyFill="1" applyBorder="1" applyAlignment="1" applyProtection="1">
      <alignment horizontal="center"/>
      <protection locked="0"/>
    </xf>
    <xf numFmtId="0" fontId="106" fillId="50" borderId="126" xfId="0" applyFont="1" applyFill="1" applyBorder="1" applyAlignment="1" applyProtection="1">
      <alignment vertical="center"/>
      <protection hidden="1"/>
    </xf>
    <xf numFmtId="0" fontId="107" fillId="50" borderId="127" xfId="0" applyFont="1" applyFill="1" applyBorder="1" applyAlignment="1" applyProtection="1">
      <alignment vertical="center"/>
      <protection hidden="1"/>
    </xf>
    <xf numFmtId="0" fontId="108" fillId="50" borderId="127" xfId="0" applyFont="1" applyFill="1" applyBorder="1" applyAlignment="1" applyProtection="1">
      <alignment vertical="center"/>
      <protection hidden="1"/>
    </xf>
    <xf numFmtId="0" fontId="107" fillId="50" borderId="127" xfId="0" applyFont="1" applyFill="1" applyBorder="1" applyAlignment="1" applyProtection="1">
      <alignment vertical="center"/>
      <protection locked="0"/>
    </xf>
    <xf numFmtId="0" fontId="107" fillId="50" borderId="127" xfId="0" applyFont="1" applyFill="1" applyBorder="1" applyAlignment="1" applyProtection="1">
      <alignment horizontal="center" vertical="center"/>
      <protection locked="0"/>
    </xf>
    <xf numFmtId="0" fontId="106" fillId="50" borderId="127" xfId="0" applyFont="1" applyFill="1" applyBorder="1" applyAlignment="1" applyProtection="1">
      <alignment vertical="center"/>
      <protection locked="0"/>
    </xf>
    <xf numFmtId="0" fontId="107" fillId="50" borderId="128" xfId="0" applyFont="1" applyFill="1" applyBorder="1" applyAlignment="1" applyProtection="1">
      <alignment horizontal="center" vertical="center"/>
      <protection locked="0"/>
    </xf>
    <xf numFmtId="0" fontId="115" fillId="50" borderId="127" xfId="0" applyFont="1" applyFill="1" applyBorder="1" applyAlignment="1" applyProtection="1">
      <alignment vertical="center"/>
      <protection hidden="1"/>
    </xf>
    <xf numFmtId="0" fontId="115" fillId="50" borderId="127" xfId="0" applyFont="1" applyFill="1" applyBorder="1" applyAlignment="1" applyProtection="1">
      <alignment vertical="center"/>
      <protection locked="0"/>
    </xf>
    <xf numFmtId="0" fontId="115" fillId="50" borderId="127" xfId="0" applyFont="1" applyFill="1" applyBorder="1" applyAlignment="1" applyProtection="1">
      <alignment horizontal="center" vertical="center"/>
      <protection locked="0"/>
    </xf>
    <xf numFmtId="0" fontId="106" fillId="50" borderId="127" xfId="0" applyFont="1" applyFill="1" applyBorder="1" applyAlignment="1" applyProtection="1">
      <alignment vertical="center"/>
      <protection hidden="1"/>
    </xf>
    <xf numFmtId="0" fontId="115" fillId="50" borderId="128" xfId="0" applyFont="1" applyFill="1" applyBorder="1" applyAlignment="1" applyProtection="1">
      <alignment horizontal="center" vertical="center"/>
      <protection locked="0"/>
    </xf>
    <xf numFmtId="0" fontId="115" fillId="50" borderId="127" xfId="0" applyFont="1" applyFill="1" applyBorder="1" applyAlignment="1" applyProtection="1">
      <alignment vertical="center"/>
      <protection locked="0" hidden="1"/>
    </xf>
    <xf numFmtId="0" fontId="106" fillId="49" borderId="112" xfId="0" applyFont="1" applyFill="1" applyBorder="1" applyAlignment="1" applyProtection="1">
      <alignment vertical="center"/>
      <protection locked="0"/>
    </xf>
    <xf numFmtId="0" fontId="115" fillId="49" borderId="113" xfId="0" applyFont="1" applyFill="1" applyBorder="1" applyAlignment="1" applyProtection="1">
      <alignment vertical="center"/>
      <protection locked="0"/>
    </xf>
    <xf numFmtId="0" fontId="108" fillId="49" borderId="113" xfId="0" applyFont="1" applyFill="1" applyBorder="1" applyAlignment="1" applyProtection="1">
      <alignment vertical="center"/>
      <protection locked="0"/>
    </xf>
    <xf numFmtId="0" fontId="115" fillId="49" borderId="113" xfId="0" applyFont="1" applyFill="1" applyBorder="1" applyAlignment="1" applyProtection="1">
      <alignment horizontal="center" vertical="center"/>
      <protection locked="0"/>
    </xf>
    <xf numFmtId="0" fontId="106" fillId="49" borderId="113" xfId="0" applyFont="1" applyFill="1" applyBorder="1" applyAlignment="1" applyProtection="1">
      <alignment vertical="center"/>
      <protection locked="0"/>
    </xf>
    <xf numFmtId="0" fontId="115" fillId="49" borderId="114" xfId="0" applyFont="1" applyFill="1" applyBorder="1" applyAlignment="1" applyProtection="1">
      <alignment horizontal="center" vertical="center"/>
      <protection locked="0"/>
    </xf>
    <xf numFmtId="0" fontId="123" fillId="13" borderId="120" xfId="5" applyFont="1" applyFill="1" applyBorder="1" applyAlignment="1" applyProtection="1">
      <alignment horizontal="center"/>
      <protection hidden="1"/>
    </xf>
    <xf numFmtId="0" fontId="119" fillId="3" borderId="0" xfId="0" applyFont="1" applyFill="1" applyBorder="1" applyAlignment="1">
      <alignment horizontal="center"/>
    </xf>
    <xf numFmtId="0" fontId="110" fillId="3" borderId="119" xfId="0" applyFont="1" applyFill="1" applyBorder="1" applyAlignment="1" applyProtection="1">
      <alignment horizontal="right"/>
      <protection locked="0"/>
    </xf>
    <xf numFmtId="0" fontId="110" fillId="3" borderId="123" xfId="0" applyFont="1" applyFill="1" applyBorder="1" applyProtection="1">
      <protection locked="0"/>
    </xf>
    <xf numFmtId="0" fontId="111" fillId="3" borderId="124" xfId="0" applyFont="1" applyFill="1" applyBorder="1" applyProtection="1">
      <protection locked="0"/>
    </xf>
    <xf numFmtId="0" fontId="110" fillId="3" borderId="124" xfId="0" applyFont="1" applyFill="1" applyBorder="1" applyAlignment="1" applyProtection="1">
      <alignment horizontal="center"/>
      <protection locked="0"/>
    </xf>
    <xf numFmtId="0" fontId="106" fillId="49" borderId="112" xfId="0" applyFont="1" applyFill="1" applyBorder="1" applyAlignment="1" applyProtection="1">
      <alignment vertical="center"/>
      <protection hidden="1"/>
    </xf>
    <xf numFmtId="0" fontId="115" fillId="49" borderId="113" xfId="0" applyFont="1" applyFill="1" applyBorder="1" applyAlignment="1" applyProtection="1">
      <alignment vertical="center"/>
      <protection hidden="1"/>
    </xf>
    <xf numFmtId="0" fontId="108" fillId="49" borderId="113" xfId="0" applyFont="1" applyFill="1" applyBorder="1" applyAlignment="1" applyProtection="1">
      <alignment vertical="center"/>
      <protection hidden="1"/>
    </xf>
    <xf numFmtId="0" fontId="115" fillId="49" borderId="113" xfId="0" applyFont="1" applyFill="1" applyBorder="1" applyAlignment="1" applyProtection="1">
      <alignment horizontal="center" vertical="center"/>
      <protection hidden="1"/>
    </xf>
    <xf numFmtId="0" fontId="106" fillId="49" borderId="114" xfId="0" applyFont="1" applyFill="1" applyBorder="1" applyAlignment="1" applyProtection="1">
      <alignment vertical="center"/>
      <protection hidden="1"/>
    </xf>
    <xf numFmtId="0" fontId="129" fillId="3" borderId="119" xfId="0" applyFont="1" applyFill="1" applyBorder="1" applyAlignment="1" applyProtection="1">
      <alignment horizontal="right"/>
      <protection hidden="1"/>
    </xf>
    <xf numFmtId="0" fontId="129" fillId="3" borderId="0" xfId="0" applyFont="1" applyFill="1" applyBorder="1" applyAlignment="1" applyProtection="1">
      <alignment horizontal="right"/>
      <protection hidden="1"/>
    </xf>
    <xf numFmtId="0" fontId="129" fillId="3" borderId="0" xfId="0" applyFont="1" applyFill="1" applyBorder="1" applyAlignment="1" applyProtection="1">
      <alignment horizontal="right"/>
      <protection locked="0"/>
    </xf>
    <xf numFmtId="0" fontId="130" fillId="0" borderId="0" xfId="0" applyFont="1" applyBorder="1" applyProtection="1">
      <protection hidden="1"/>
    </xf>
    <xf numFmtId="0" fontId="129" fillId="3" borderId="120" xfId="0" applyFont="1" applyFill="1" applyBorder="1" applyAlignment="1" applyProtection="1">
      <alignment horizontal="right"/>
      <protection hidden="1"/>
    </xf>
    <xf numFmtId="0" fontId="129" fillId="3" borderId="0" xfId="0" applyFont="1" applyFill="1" applyBorder="1" applyAlignment="1" applyProtection="1">
      <alignment horizontal="center"/>
      <protection hidden="1"/>
    </xf>
    <xf numFmtId="0" fontId="129" fillId="3" borderId="120" xfId="0" applyFont="1" applyFill="1" applyBorder="1" applyAlignment="1" applyProtection="1">
      <alignment horizontal="center"/>
      <protection hidden="1"/>
    </xf>
    <xf numFmtId="0" fontId="131" fillId="3" borderId="119" xfId="0" applyFont="1" applyFill="1" applyBorder="1" applyAlignment="1" applyProtection="1">
      <alignment horizontal="right"/>
      <protection hidden="1"/>
    </xf>
    <xf numFmtId="0" fontId="131" fillId="3" borderId="0" xfId="0" applyFont="1" applyFill="1" applyBorder="1" applyAlignment="1" applyProtection="1">
      <alignment horizontal="right"/>
      <protection hidden="1"/>
    </xf>
    <xf numFmtId="0" fontId="131" fillId="3" borderId="0" xfId="0" applyFont="1" applyFill="1" applyBorder="1" applyProtection="1">
      <protection locked="0"/>
    </xf>
    <xf numFmtId="0" fontId="131" fillId="3" borderId="0" xfId="0" applyFont="1" applyFill="1" applyBorder="1" applyAlignment="1" applyProtection="1">
      <alignment horizontal="right"/>
      <protection locked="0"/>
    </xf>
    <xf numFmtId="0" fontId="131" fillId="0" borderId="129" xfId="0" applyFont="1" applyBorder="1" applyAlignment="1" applyProtection="1">
      <alignment horizontal="right"/>
      <protection hidden="1"/>
    </xf>
    <xf numFmtId="0" fontId="131" fillId="3" borderId="119" xfId="0" applyFont="1" applyFill="1" applyBorder="1" applyAlignment="1" applyProtection="1">
      <alignment horizontal="right"/>
      <protection hidden="1"/>
    </xf>
    <xf numFmtId="0" fontId="131" fillId="3" borderId="0" xfId="0" applyFont="1" applyFill="1" applyBorder="1" applyProtection="1">
      <protection hidden="1"/>
    </xf>
    <xf numFmtId="0" fontId="132" fillId="3" borderId="0" xfId="0" applyFont="1" applyFill="1" applyBorder="1" applyAlignment="1" applyProtection="1">
      <alignment horizontal="right"/>
      <protection hidden="1"/>
    </xf>
    <xf numFmtId="0" fontId="131" fillId="3" borderId="0" xfId="0" applyFont="1" applyFill="1" applyBorder="1"/>
    <xf numFmtId="0" fontId="131" fillId="0" borderId="0" xfId="0" applyFont="1" applyBorder="1" applyProtection="1">
      <protection locked="0"/>
    </xf>
    <xf numFmtId="0" fontId="131" fillId="3" borderId="120" xfId="0" applyFont="1" applyFill="1" applyBorder="1" applyProtection="1">
      <protection locked="0"/>
    </xf>
    <xf numFmtId="0" fontId="129" fillId="3" borderId="0" xfId="0" applyFont="1" applyFill="1" applyBorder="1" applyProtection="1">
      <protection hidden="1"/>
    </xf>
    <xf numFmtId="0" fontId="129" fillId="3" borderId="0" xfId="0" applyFont="1" applyFill="1" applyBorder="1" applyProtection="1">
      <protection locked="0"/>
    </xf>
    <xf numFmtId="0" fontId="129" fillId="3" borderId="120" xfId="0" applyFont="1" applyFill="1" applyBorder="1" applyProtection="1">
      <protection locked="0"/>
    </xf>
    <xf numFmtId="0" fontId="129" fillId="3" borderId="0" xfId="0" applyFont="1" applyFill="1" applyBorder="1" applyAlignment="1" applyProtection="1">
      <alignment horizontal="center"/>
      <protection locked="0"/>
    </xf>
    <xf numFmtId="0" fontId="129" fillId="3" borderId="120" xfId="0" applyFont="1" applyFill="1" applyBorder="1" applyAlignment="1" applyProtection="1">
      <alignment horizontal="center"/>
      <protection locked="0"/>
    </xf>
    <xf numFmtId="0" fontId="129" fillId="3" borderId="119" xfId="0" applyFont="1" applyFill="1" applyBorder="1" applyAlignment="1" applyProtection="1">
      <alignment horizontal="right"/>
      <protection locked="0"/>
    </xf>
    <xf numFmtId="0" fontId="117" fillId="3" borderId="123" xfId="0" applyFont="1" applyFill="1" applyBorder="1" applyProtection="1">
      <protection locked="0"/>
    </xf>
    <xf numFmtId="0" fontId="117" fillId="3" borderId="124" xfId="0" applyFont="1" applyFill="1" applyBorder="1" applyProtection="1">
      <protection locked="0"/>
    </xf>
    <xf numFmtId="0" fontId="117" fillId="0" borderId="124" xfId="0" applyFont="1" applyBorder="1" applyProtection="1">
      <protection locked="0"/>
    </xf>
    <xf numFmtId="0" fontId="117" fillId="0" borderId="125" xfId="0" applyFont="1" applyBorder="1" applyProtection="1">
      <protection locked="0"/>
    </xf>
    <xf numFmtId="44" fontId="110" fillId="48" borderId="124" xfId="1" applyFont="1" applyFill="1" applyBorder="1" applyAlignment="1" applyProtection="1">
      <alignment horizontal="center"/>
      <protection locked="0"/>
    </xf>
    <xf numFmtId="44" fontId="131" fillId="0" borderId="124" xfId="1" applyFont="1" applyFill="1" applyBorder="1" applyAlignment="1" applyProtection="1">
      <alignment horizontal="center"/>
      <protection locked="0"/>
    </xf>
    <xf numFmtId="2" fontId="131" fillId="0" borderId="124" xfId="1" applyNumberFormat="1" applyFont="1" applyFill="1" applyBorder="1" applyAlignment="1" applyProtection="1">
      <alignment horizontal="center"/>
      <protection locked="0"/>
    </xf>
    <xf numFmtId="0" fontId="133" fillId="3" borderId="124" xfId="0" applyFont="1" applyFill="1" applyBorder="1" applyAlignment="1" applyProtection="1">
      <alignment horizontal="center"/>
      <protection locked="0"/>
    </xf>
    <xf numFmtId="44" fontId="131" fillId="0" borderId="124" xfId="1" applyFont="1" applyFill="1" applyBorder="1" applyProtection="1">
      <protection locked="0"/>
    </xf>
    <xf numFmtId="44" fontId="110" fillId="48" borderId="125" xfId="1" applyFont="1" applyFill="1" applyBorder="1" applyAlignment="1" applyProtection="1">
      <alignment horizontal="center"/>
      <protection locked="0"/>
    </xf>
    <xf numFmtId="0" fontId="133" fillId="0" borderId="125" xfId="0" applyFont="1" applyBorder="1" applyAlignment="1" applyProtection="1">
      <alignment horizontal="center"/>
      <protection locked="0"/>
    </xf>
    <xf numFmtId="2" fontId="131" fillId="0" borderId="125" xfId="1" applyNumberFormat="1" applyFont="1" applyFill="1" applyBorder="1" applyAlignment="1" applyProtection="1">
      <alignment horizontal="center"/>
      <protection locked="0"/>
    </xf>
    <xf numFmtId="44" fontId="110" fillId="48" borderId="124" xfId="1" applyFont="1" applyFill="1" applyBorder="1" applyAlignment="1" applyProtection="1">
      <alignment horizontal="centerContinuous"/>
      <protection locked="0"/>
    </xf>
    <xf numFmtId="0" fontId="133" fillId="0" borderId="124" xfId="0" applyFont="1" applyBorder="1" applyAlignment="1" applyProtection="1">
      <alignment horizontal="center"/>
      <protection hidden="1"/>
    </xf>
    <xf numFmtId="44" fontId="110" fillId="48" borderId="125" xfId="1" applyFont="1" applyFill="1" applyBorder="1" applyAlignment="1" applyProtection="1">
      <alignment horizontal="centerContinuous"/>
      <protection locked="0"/>
    </xf>
    <xf numFmtId="0" fontId="133" fillId="0" borderId="125" xfId="0" applyFont="1" applyBorder="1" applyAlignment="1" applyProtection="1">
      <alignment horizontal="center"/>
      <protection hidden="1"/>
    </xf>
    <xf numFmtId="0" fontId="110" fillId="48" borderId="127" xfId="0" applyFont="1" applyFill="1" applyBorder="1" applyAlignment="1" applyProtection="1">
      <alignment horizontal="center" readingOrder="2"/>
      <protection locked="0"/>
    </xf>
    <xf numFmtId="0" fontId="110" fillId="48" borderId="130" xfId="0" applyFont="1" applyFill="1" applyBorder="1" applyAlignment="1" applyProtection="1">
      <alignment horizontal="center" readingOrder="2"/>
      <protection locked="0"/>
    </xf>
    <xf numFmtId="49" fontId="110" fillId="48" borderId="131" xfId="1" applyNumberFormat="1" applyFont="1" applyFill="1" applyBorder="1" applyAlignment="1" applyProtection="1">
      <alignment horizontal="centerContinuous"/>
      <protection locked="0"/>
    </xf>
    <xf numFmtId="0" fontId="119" fillId="3" borderId="124" xfId="0" applyFont="1" applyFill="1" applyBorder="1" applyAlignment="1" applyProtection="1">
      <alignment horizontal="center"/>
      <protection hidden="1"/>
    </xf>
    <xf numFmtId="0" fontId="119" fillId="3" borderId="125" xfId="0" applyFont="1" applyFill="1" applyBorder="1" applyAlignment="1" applyProtection="1">
      <alignment horizontal="center"/>
      <protection hidden="1"/>
    </xf>
    <xf numFmtId="0" fontId="110" fillId="3" borderId="124" xfId="0" applyFont="1" applyFill="1" applyBorder="1" applyProtection="1">
      <protection locked="0" hidden="1"/>
    </xf>
    <xf numFmtId="0" fontId="111" fillId="3" borderId="124" xfId="0" applyFont="1" applyFill="1" applyBorder="1" applyAlignment="1" applyProtection="1">
      <alignment horizontal="centerContinuous"/>
      <protection hidden="1"/>
    </xf>
    <xf numFmtId="44" fontId="110" fillId="48" borderId="127" xfId="1" applyFont="1" applyFill="1" applyBorder="1" applyAlignment="1" applyProtection="1">
      <alignment horizontal="centerContinuous"/>
      <protection locked="0"/>
    </xf>
    <xf numFmtId="44" fontId="110" fillId="48" borderId="127" xfId="1" applyFont="1" applyFill="1" applyBorder="1" applyAlignment="1" applyProtection="1">
      <protection locked="0" hidden="1"/>
    </xf>
    <xf numFmtId="44" fontId="110" fillId="48" borderId="127" xfId="1" applyFont="1" applyFill="1" applyBorder="1" applyAlignment="1" applyProtection="1">
      <protection locked="0"/>
    </xf>
    <xf numFmtId="0" fontId="110" fillId="3" borderId="127" xfId="0" applyFont="1" applyFill="1" applyBorder="1" applyProtection="1">
      <protection locked="0"/>
    </xf>
    <xf numFmtId="0" fontId="110" fillId="3" borderId="127" xfId="0" applyFont="1" applyFill="1" applyBorder="1" applyAlignment="1" applyProtection="1">
      <alignment horizontal="center"/>
      <protection locked="0"/>
    </xf>
    <xf numFmtId="0" fontId="110" fillId="48" borderId="124" xfId="1" applyNumberFormat="1" applyFont="1" applyFill="1" applyBorder="1" applyAlignment="1" applyProtection="1">
      <alignment horizontal="centerContinuous"/>
      <protection locked="0"/>
    </xf>
    <xf numFmtId="0" fontId="110" fillId="48" borderId="124" xfId="0" applyFont="1" applyFill="1" applyBorder="1" applyAlignment="1" applyProtection="1">
      <alignment horizontal="center"/>
      <protection locked="0"/>
    </xf>
    <xf numFmtId="0" fontId="119" fillId="3" borderId="124" xfId="0" applyFont="1" applyFill="1" applyBorder="1" applyAlignment="1">
      <alignment horizontal="center"/>
    </xf>
    <xf numFmtId="0" fontId="110" fillId="48" borderId="124" xfId="0" applyFont="1" applyFill="1" applyBorder="1" applyAlignment="1" applyProtection="1">
      <alignment horizontal="center"/>
      <protection locked="0"/>
    </xf>
    <xf numFmtId="44" fontId="110" fillId="48" borderId="127" xfId="1" applyFont="1" applyFill="1" applyBorder="1" applyAlignment="1" applyProtection="1">
      <alignment horizontal="center"/>
      <protection locked="0"/>
    </xf>
    <xf numFmtId="44" fontId="110" fillId="48" borderId="128" xfId="1" applyFont="1" applyFill="1" applyBorder="1" applyAlignment="1" applyProtection="1">
      <alignment horizontal="center"/>
      <protection locked="0"/>
    </xf>
    <xf numFmtId="9" fontId="110" fillId="38" borderId="127" xfId="2" applyFont="1" applyFill="1" applyBorder="1" applyAlignment="1" applyProtection="1">
      <alignment horizontal="center"/>
      <protection hidden="1"/>
    </xf>
    <xf numFmtId="10" fontId="110" fillId="38" borderId="127" xfId="2" applyNumberFormat="1" applyFont="1" applyFill="1" applyBorder="1" applyAlignment="1" applyProtection="1">
      <protection locked="0"/>
    </xf>
    <xf numFmtId="10" fontId="110" fillId="38" borderId="127" xfId="2" applyNumberFormat="1" applyFont="1" applyFill="1" applyBorder="1" applyAlignment="1" applyProtection="1">
      <alignment horizontal="center"/>
      <protection locked="0"/>
    </xf>
    <xf numFmtId="10" fontId="110" fillId="38" borderId="128" xfId="2" applyNumberFormat="1" applyFont="1" applyFill="1" applyBorder="1" applyAlignment="1" applyProtection="1">
      <alignment horizontal="center"/>
      <protection locked="0"/>
    </xf>
    <xf numFmtId="10" fontId="116" fillId="38" borderId="127" xfId="2" applyNumberFormat="1" applyFont="1" applyFill="1" applyBorder="1" applyAlignment="1" applyProtection="1">
      <alignment horizontal="left"/>
      <protection hidden="1"/>
    </xf>
    <xf numFmtId="10" fontId="110" fillId="38" borderId="127" xfId="2" applyNumberFormat="1" applyFont="1" applyFill="1" applyBorder="1" applyAlignment="1" applyProtection="1">
      <alignment horizontal="center"/>
      <protection hidden="1"/>
    </xf>
    <xf numFmtId="10" fontId="110" fillId="38" borderId="127" xfId="2" applyNumberFormat="1" applyFont="1" applyFill="1" applyBorder="1" applyAlignment="1" applyProtection="1">
      <alignment horizontal="center"/>
      <protection locked="0"/>
    </xf>
    <xf numFmtId="10" fontId="110" fillId="38" borderId="128" xfId="2" applyNumberFormat="1" applyFont="1" applyFill="1" applyBorder="1" applyAlignment="1" applyProtection="1">
      <alignment horizontal="center"/>
      <protection locked="0"/>
    </xf>
    <xf numFmtId="44" fontId="110" fillId="48" borderId="127" xfId="1" applyFont="1" applyFill="1" applyBorder="1" applyAlignment="1" applyProtection="1">
      <alignment horizontal="left"/>
      <protection locked="0"/>
    </xf>
    <xf numFmtId="0" fontId="110" fillId="48" borderId="127" xfId="0" applyFont="1" applyFill="1" applyBorder="1" applyAlignment="1" applyProtection="1">
      <alignment horizontal="center"/>
      <protection locked="0"/>
    </xf>
    <xf numFmtId="0" fontId="110" fillId="48" borderId="127" xfId="0" applyFont="1" applyFill="1" applyBorder="1" applyProtection="1">
      <protection locked="0"/>
    </xf>
    <xf numFmtId="0" fontId="110" fillId="7" borderId="127" xfId="0" applyFont="1" applyFill="1" applyBorder="1" applyProtection="1">
      <protection locked="0"/>
    </xf>
    <xf numFmtId="1" fontId="110" fillId="48" borderId="124" xfId="1" applyNumberFormat="1" applyFont="1" applyFill="1" applyBorder="1" applyAlignment="1" applyProtection="1">
      <alignment horizontal="centerContinuous"/>
      <protection locked="0"/>
    </xf>
    <xf numFmtId="0" fontId="119" fillId="3" borderId="124" xfId="0" applyFont="1" applyFill="1" applyBorder="1" applyAlignment="1" applyProtection="1">
      <alignment horizontal="center"/>
      <protection locked="0"/>
    </xf>
    <xf numFmtId="44" fontId="131" fillId="51" borderId="124" xfId="0" applyNumberFormat="1" applyFont="1" applyFill="1" applyBorder="1" applyAlignment="1" applyProtection="1">
      <alignment horizontal="center"/>
      <protection hidden="1"/>
    </xf>
    <xf numFmtId="2" fontId="131" fillId="51" borderId="124" xfId="0" applyNumberFormat="1" applyFont="1" applyFill="1" applyBorder="1" applyAlignment="1" applyProtection="1">
      <alignment horizontal="center"/>
      <protection hidden="1"/>
    </xf>
    <xf numFmtId="44" fontId="131" fillId="51" borderId="124" xfId="0" applyNumberFormat="1" applyFont="1" applyFill="1" applyBorder="1" applyProtection="1">
      <protection hidden="1"/>
    </xf>
    <xf numFmtId="2" fontId="131" fillId="51" borderId="125" xfId="0" applyNumberFormat="1" applyFont="1" applyFill="1" applyBorder="1" applyAlignment="1" applyProtection="1">
      <alignment horizontal="center"/>
      <protection hidden="1"/>
    </xf>
    <xf numFmtId="44" fontId="110" fillId="51" borderId="124" xfId="1" applyFont="1" applyFill="1" applyBorder="1" applyAlignment="1" applyProtection="1">
      <alignment horizontal="center"/>
      <protection hidden="1"/>
    </xf>
    <xf numFmtId="44" fontId="110" fillId="51" borderId="124" xfId="0" applyNumberFormat="1" applyFont="1" applyFill="1" applyBorder="1" applyAlignment="1" applyProtection="1">
      <alignment horizontal="center"/>
      <protection hidden="1"/>
    </xf>
    <xf numFmtId="44" fontId="110" fillId="51" borderId="124" xfId="0" applyNumberFormat="1" applyFont="1" applyFill="1" applyBorder="1" applyProtection="1">
      <protection hidden="1"/>
    </xf>
    <xf numFmtId="44" fontId="110" fillId="51" borderId="124" xfId="1" applyFont="1" applyFill="1" applyBorder="1" applyProtection="1">
      <protection hidden="1"/>
    </xf>
  </cellXfs>
  <cellStyles count="9">
    <cellStyle name="Currency" xfId="1" builtinId="4"/>
    <cellStyle name="Currency 2" xfId="8" xr:uid="{20645C00-3061-4A83-B00F-7659AE1DA5BB}"/>
    <cellStyle name="Hyperlink" xfId="5" builtinId="8"/>
    <cellStyle name="Normal" xfId="0" builtinId="0"/>
    <cellStyle name="Normal 10 2" xfId="4" xr:uid="{5FF1BB93-0DD7-4050-ABE9-31D416D16980}"/>
    <cellStyle name="Normal 2" xfId="3" xr:uid="{61462233-8D82-4F56-8FA5-2623F2CF5389}"/>
    <cellStyle name="Normal 3" xfId="6" xr:uid="{53BF48A7-8B6B-4FF3-8100-3D03987ED634}"/>
    <cellStyle name="Percent" xfId="2" builtinId="5"/>
    <cellStyle name="Percent 2" xfId="7" xr:uid="{DDCF04D0-A15C-4A19-93F6-876DEA043B30}"/>
  </cellStyles>
  <dxfs count="4">
    <dxf>
      <font>
        <b val="0"/>
        <i/>
      </font>
      <fill>
        <patternFill>
          <bgColor theme="2" tint="-0.24994659260841701"/>
        </patternFill>
      </fill>
    </dxf>
    <dxf>
      <font>
        <color auto="1"/>
      </font>
      <fill>
        <patternFill>
          <bgColor rgb="FFFFC000"/>
        </patternFill>
      </fill>
    </dxf>
    <dxf>
      <fill>
        <patternFill>
          <bgColor rgb="FF92D050"/>
        </patternFill>
      </fill>
    </dxf>
    <dxf>
      <font>
        <b/>
        <i val="0"/>
        <color theme="0"/>
      </font>
      <fill>
        <patternFill>
          <bgColor rgb="FFFF0000"/>
        </patternFill>
      </fill>
    </dxf>
  </dxfs>
  <tableStyles count="0" defaultTableStyle="TableStyleMedium2" defaultPivotStyle="PivotStyleLight16"/>
  <colors>
    <mruColors>
      <color rgb="FFDEF1DA"/>
      <color rgb="FF5ABA48"/>
      <color rgb="FF122B4E"/>
      <color rgb="FFF2F2F2"/>
      <color rgb="FFE7F0F5"/>
      <color rgb="FF1D4164"/>
      <color rgb="FF4F92CE"/>
      <color rgb="FFFF3300"/>
      <color rgb="FF87B348"/>
      <color rgb="FF294D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absolute">
    <xdr:from>
      <xdr:col>1</xdr:col>
      <xdr:colOff>11671</xdr:colOff>
      <xdr:row>0</xdr:row>
      <xdr:rowOff>8947</xdr:rowOff>
    </xdr:from>
    <xdr:to>
      <xdr:col>21</xdr:col>
      <xdr:colOff>8586</xdr:colOff>
      <xdr:row>3</xdr:row>
      <xdr:rowOff>44450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600" b="600"/>
        <a:stretch/>
      </xdr:blipFill>
      <xdr:spPr>
        <a:xfrm>
          <a:off x="272021" y="8947"/>
          <a:ext cx="12404815" cy="880053"/>
        </a:xfrm>
        <a:prstGeom prst="rect">
          <a:avLst/>
        </a:prstGeom>
      </xdr:spPr>
    </xdr:pic>
    <xdr:clientData/>
  </xdr:twoCellAnchor>
  <xdr:twoCellAnchor editAs="oneCell">
    <xdr:from>
      <xdr:col>20</xdr:col>
      <xdr:colOff>619416</xdr:colOff>
      <xdr:row>3</xdr:row>
      <xdr:rowOff>68490</xdr:rowOff>
    </xdr:from>
    <xdr:to>
      <xdr:col>20</xdr:col>
      <xdr:colOff>1542758</xdr:colOff>
      <xdr:row>4</xdr:row>
      <xdr:rowOff>130696</xdr:rowOff>
    </xdr:to>
    <xdr:pic macro="[0]!Clear">
      <xdr:nvPicPr>
        <xdr:cNvPr id="6" name="Picture 5">
          <a:extLst>
            <a:ext uri="{FF2B5EF4-FFF2-40B4-BE49-F238E27FC236}">
              <a16:creationId xmlns:a16="http://schemas.microsoft.com/office/drawing/2014/main" id="{7A334B08-BF27-4019-919E-1141EE8ADE4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1598566" y="913040"/>
          <a:ext cx="923342" cy="3543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9525</xdr:colOff>
      <xdr:row>0</xdr:row>
      <xdr:rowOff>2277</xdr:rowOff>
    </xdr:from>
    <xdr:to>
      <xdr:col>21</xdr:col>
      <xdr:colOff>19051</xdr:colOff>
      <xdr:row>2</xdr:row>
      <xdr:rowOff>59128</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107" b="1107"/>
        <a:stretch/>
      </xdr:blipFill>
      <xdr:spPr>
        <a:xfrm>
          <a:off x="269875" y="2277"/>
          <a:ext cx="11274426" cy="7934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209550</xdr:colOff>
      <xdr:row>0</xdr:row>
      <xdr:rowOff>9525</xdr:rowOff>
    </xdr:from>
    <xdr:to>
      <xdr:col>13</xdr:col>
      <xdr:colOff>9513</xdr:colOff>
      <xdr:row>2</xdr:row>
      <xdr:rowOff>75417</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649" b="649"/>
        <a:stretch/>
      </xdr:blipFill>
      <xdr:spPr>
        <a:xfrm>
          <a:off x="209550" y="9525"/>
          <a:ext cx="11395063" cy="8088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238125</xdr:colOff>
      <xdr:row>0</xdr:row>
      <xdr:rowOff>0</xdr:rowOff>
    </xdr:from>
    <xdr:to>
      <xdr:col>8</xdr:col>
      <xdr:colOff>171450</xdr:colOff>
      <xdr:row>2</xdr:row>
      <xdr:rowOff>96645</xdr:rowOff>
    </xdr:to>
    <xdr:pic>
      <xdr:nvPicPr>
        <xdr:cNvPr id="4" name="Picture 3">
          <a:extLst>
            <a:ext uri="{FF2B5EF4-FFF2-40B4-BE49-F238E27FC236}">
              <a16:creationId xmlns:a16="http://schemas.microsoft.com/office/drawing/2014/main" id="{00000000-0008-0000-08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201"/>
        <a:stretch/>
      </xdr:blipFill>
      <xdr:spPr>
        <a:xfrm>
          <a:off x="238125" y="0"/>
          <a:ext cx="7315200" cy="5443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19049</xdr:rowOff>
    </xdr:from>
    <xdr:to>
      <xdr:col>13</xdr:col>
      <xdr:colOff>28575</xdr:colOff>
      <xdr:row>3</xdr:row>
      <xdr:rowOff>167852</xdr:rowOff>
    </xdr:to>
    <xdr:pic>
      <xdr:nvPicPr>
        <xdr:cNvPr id="3" name="Picture 2">
          <a:extLst>
            <a:ext uri="{FF2B5EF4-FFF2-40B4-BE49-F238E27FC236}">
              <a16:creationId xmlns:a16="http://schemas.microsoft.com/office/drawing/2014/main" id="{30B88B68-ABB5-40A7-99DF-F63F912756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 y="19049"/>
          <a:ext cx="7620000" cy="54885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17928</xdr:colOff>
      <xdr:row>0</xdr:row>
      <xdr:rowOff>97268</xdr:rowOff>
    </xdr:from>
    <xdr:to>
      <xdr:col>3</xdr:col>
      <xdr:colOff>929639</xdr:colOff>
      <xdr:row>1</xdr:row>
      <xdr:rowOff>534342</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4628" y="97268"/>
          <a:ext cx="2492861" cy="703774"/>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50DB0-62EA-4BE5-8D6F-99B3C27F814E}">
  <sheetPr codeName="Sheet1"/>
  <dimension ref="A1:DV438"/>
  <sheetViews>
    <sheetView tabSelected="1" zoomScaleNormal="100" workbookViewId="0">
      <selection activeCell="E7" sqref="E7"/>
    </sheetView>
  </sheetViews>
  <sheetFormatPr defaultColWidth="0" defaultRowHeight="15" zeroHeight="1"/>
  <cols>
    <col min="1" max="1" width="3.7265625" style="640" customWidth="1"/>
    <col min="2" max="2" width="26.26953125" style="660" customWidth="1"/>
    <col min="3" max="3" width="0.81640625" style="660" customWidth="1"/>
    <col min="4" max="4" width="0.1796875" style="674" customWidth="1"/>
    <col min="5" max="5" width="17.26953125" style="660" customWidth="1"/>
    <col min="6" max="6" width="1.7265625" style="660" customWidth="1"/>
    <col min="7" max="7" width="0.26953125" style="710" customWidth="1"/>
    <col min="8" max="8" width="18.26953125" style="660" bestFit="1" customWidth="1"/>
    <col min="9" max="9" width="1.7265625" style="660" customWidth="1"/>
    <col min="10" max="10" width="0.26953125" style="710" customWidth="1"/>
    <col min="11" max="11" width="11.26953125" style="709" customWidth="1"/>
    <col min="12" max="12" width="35.7265625" style="660" customWidth="1"/>
    <col min="13" max="13" width="0.81640625" style="675" customWidth="1"/>
    <col min="14" max="14" width="0.26953125" style="710" customWidth="1"/>
    <col min="15" max="15" width="17.26953125" style="660" customWidth="1"/>
    <col min="16" max="16" width="1.7265625" style="660" customWidth="1"/>
    <col min="17" max="17" width="0.26953125" style="710" customWidth="1"/>
    <col min="18" max="18" width="17.26953125" style="660" customWidth="1"/>
    <col min="19" max="19" width="1.7265625" style="660" customWidth="1"/>
    <col min="20" max="20" width="0.26953125" style="710" customWidth="1"/>
    <col min="21" max="21" width="24.1796875" style="709" customWidth="1"/>
    <col min="22" max="22" width="3.7265625" style="640" customWidth="1"/>
    <col min="23" max="23" width="29.81640625" style="645" hidden="1" customWidth="1"/>
    <col min="24" max="24" width="0" style="1066" hidden="1" customWidth="1"/>
    <col min="25" max="25" width="0" style="646" hidden="1" customWidth="1"/>
    <col min="26" max="26" width="0" style="673" hidden="1" customWidth="1"/>
    <col min="27" max="46" width="0" style="646" hidden="1" customWidth="1"/>
    <col min="47" max="50" width="0" style="645" hidden="1" customWidth="1"/>
    <col min="51" max="60" width="0" style="646" hidden="1" customWidth="1"/>
    <col min="61" max="65" width="0" style="647" hidden="1" customWidth="1"/>
    <col min="66" max="126" width="0" style="640" hidden="1" customWidth="1"/>
    <col min="127" max="16384" width="9.1796875" style="660" hidden="1"/>
  </cols>
  <sheetData>
    <row r="1" spans="1:126" s="640" customFormat="1">
      <c r="D1" s="641"/>
      <c r="G1" s="642"/>
      <c r="J1" s="642"/>
      <c r="K1" s="643"/>
      <c r="M1" s="644"/>
      <c r="N1" s="642"/>
      <c r="Q1" s="642"/>
      <c r="T1" s="642"/>
      <c r="U1" s="643"/>
      <c r="W1" s="645"/>
      <c r="X1" s="1066"/>
      <c r="Y1" s="646"/>
      <c r="Z1" s="673"/>
      <c r="AA1" s="646"/>
      <c r="AB1" s="646"/>
      <c r="AC1" s="646"/>
      <c r="AD1" s="646"/>
      <c r="AE1" s="646"/>
      <c r="AF1" s="646"/>
      <c r="AG1" s="646"/>
      <c r="AH1" s="646"/>
      <c r="AI1" s="646"/>
      <c r="AJ1" s="748" t="s">
        <v>0</v>
      </c>
      <c r="AK1" s="646"/>
      <c r="AL1" s="646"/>
      <c r="AM1" s="646"/>
      <c r="AN1" s="646"/>
      <c r="AO1" s="646"/>
      <c r="AP1" s="646"/>
      <c r="AQ1" s="646"/>
      <c r="AR1" s="646"/>
      <c r="AS1" s="646"/>
      <c r="AT1" s="646"/>
      <c r="AU1" s="645"/>
      <c r="AV1" s="645"/>
      <c r="AW1" s="645"/>
      <c r="AX1" s="645"/>
      <c r="AY1" s="646"/>
      <c r="AZ1" s="646"/>
      <c r="BA1" s="646"/>
      <c r="BB1" s="646"/>
      <c r="BC1" s="646"/>
      <c r="BD1" s="646"/>
      <c r="BE1" s="646"/>
      <c r="BF1" s="646"/>
      <c r="BG1" s="646"/>
      <c r="BH1" s="646"/>
      <c r="BI1" s="647"/>
      <c r="BJ1" s="647"/>
      <c r="BK1" s="647"/>
      <c r="BL1" s="647"/>
      <c r="BM1" s="647"/>
    </row>
    <row r="2" spans="1:126" s="640" customFormat="1" ht="43.15" customHeight="1">
      <c r="B2" s="1117"/>
      <c r="C2" s="1117"/>
      <c r="D2" s="1117"/>
      <c r="E2" s="1117"/>
      <c r="F2" s="1117"/>
      <c r="G2" s="1117"/>
      <c r="H2" s="1117"/>
      <c r="I2" s="1117"/>
      <c r="J2" s="1117"/>
      <c r="K2" s="1117"/>
      <c r="L2" s="1117"/>
      <c r="M2" s="1117"/>
      <c r="N2" s="1117"/>
      <c r="O2" s="1117"/>
      <c r="P2" s="1117"/>
      <c r="Q2" s="1117"/>
      <c r="R2" s="1117"/>
      <c r="S2" s="1117"/>
      <c r="T2" s="1117"/>
      <c r="U2" s="1117"/>
      <c r="W2" s="645"/>
      <c r="X2" s="1066"/>
      <c r="Y2" s="646"/>
      <c r="Z2" s="673"/>
      <c r="AA2" s="646"/>
      <c r="AB2" s="646"/>
      <c r="AC2" s="646"/>
      <c r="AD2" s="646"/>
      <c r="AE2" s="646"/>
      <c r="AF2" s="646"/>
      <c r="AG2" s="646"/>
      <c r="AH2" s="646"/>
      <c r="AI2" s="646"/>
      <c r="AJ2" s="749" t="s">
        <v>1</v>
      </c>
      <c r="AK2" s="646"/>
      <c r="AL2" s="646"/>
      <c r="AM2" s="646"/>
      <c r="AN2" s="646"/>
      <c r="AO2" s="648"/>
      <c r="AP2" s="649" t="s">
        <v>2</v>
      </c>
      <c r="AQ2" s="649" t="s">
        <v>3</v>
      </c>
      <c r="AR2" s="649" t="s">
        <v>4</v>
      </c>
      <c r="AS2" s="649" t="s">
        <v>5</v>
      </c>
      <c r="AT2" s="649" t="s">
        <v>6</v>
      </c>
      <c r="AU2" s="649" t="s">
        <v>7</v>
      </c>
      <c r="AV2" s="649" t="s">
        <v>8</v>
      </c>
      <c r="AW2" s="648"/>
      <c r="AX2" s="649" t="s">
        <v>9</v>
      </c>
      <c r="AY2" s="648"/>
      <c r="AZ2" s="646"/>
      <c r="BA2" s="646"/>
      <c r="BB2" s="646"/>
      <c r="BC2" s="646"/>
      <c r="BD2" s="646"/>
      <c r="BE2" s="646"/>
      <c r="BF2" s="646"/>
      <c r="BG2" s="646"/>
      <c r="BH2" s="646"/>
      <c r="BI2" s="647"/>
      <c r="BJ2" s="647"/>
      <c r="BK2" s="647"/>
      <c r="BL2" s="647"/>
      <c r="BM2" s="647"/>
    </row>
    <row r="3" spans="1:126" s="640" customFormat="1" ht="8.5" customHeight="1">
      <c r="B3" s="1016"/>
      <c r="C3" s="1016"/>
      <c r="D3" s="1016"/>
      <c r="E3" s="1016"/>
      <c r="F3" s="1016"/>
      <c r="G3" s="1016"/>
      <c r="H3" s="1016"/>
      <c r="I3" s="1016"/>
      <c r="J3" s="1016"/>
      <c r="K3" s="1016"/>
      <c r="L3" s="1016"/>
      <c r="M3" s="1016"/>
      <c r="N3" s="1016"/>
      <c r="O3" s="1016"/>
      <c r="P3" s="1016"/>
      <c r="Q3" s="1016"/>
      <c r="R3" s="1016"/>
      <c r="S3" s="1016"/>
      <c r="T3" s="1016"/>
      <c r="U3" s="1016"/>
      <c r="W3" s="645"/>
      <c r="X3" s="1066"/>
      <c r="Y3" s="646"/>
      <c r="Z3" s="673"/>
      <c r="AA3" s="646"/>
      <c r="AB3" s="646"/>
      <c r="AC3" s="646"/>
      <c r="AD3" s="646"/>
      <c r="AE3" s="646"/>
      <c r="AF3" s="646"/>
      <c r="AG3" s="646"/>
      <c r="AH3" s="646"/>
      <c r="AI3" s="646"/>
      <c r="AJ3" s="749" t="s">
        <v>10</v>
      </c>
      <c r="AK3" s="646"/>
      <c r="AL3" s="646"/>
      <c r="AM3" s="646"/>
      <c r="AN3" s="646"/>
      <c r="AO3" s="646"/>
      <c r="AP3" s="650"/>
      <c r="AQ3" s="649"/>
      <c r="AR3" s="649"/>
      <c r="AS3" s="649"/>
      <c r="AT3" s="649"/>
      <c r="AU3" s="649"/>
      <c r="AV3" s="649"/>
      <c r="AW3" s="648"/>
      <c r="AX3" s="649"/>
      <c r="AY3" s="648"/>
      <c r="AZ3" s="646"/>
      <c r="BA3" s="646"/>
      <c r="BB3" s="646"/>
      <c r="BC3" s="646"/>
      <c r="BD3" s="646"/>
      <c r="BE3" s="646"/>
      <c r="BF3" s="646"/>
      <c r="BG3" s="646"/>
      <c r="BH3" s="646"/>
      <c r="BI3" s="647"/>
      <c r="BJ3" s="647"/>
      <c r="BK3" s="647"/>
      <c r="BL3" s="647"/>
      <c r="BM3" s="647"/>
    </row>
    <row r="4" spans="1:126" s="640" customFormat="1" ht="23.25" customHeight="1">
      <c r="B4" s="1117"/>
      <c r="C4" s="1117"/>
      <c r="D4" s="1117"/>
      <c r="E4" s="1117"/>
      <c r="F4" s="1117"/>
      <c r="G4" s="1117"/>
      <c r="H4" s="1117"/>
      <c r="I4" s="1117"/>
      <c r="J4" s="1117"/>
      <c r="K4" s="1117"/>
      <c r="L4" s="1117"/>
      <c r="M4" s="1117"/>
      <c r="N4" s="1117"/>
      <c r="O4" s="1117"/>
      <c r="P4" s="1117"/>
      <c r="Q4" s="1117"/>
      <c r="R4" s="1117"/>
      <c r="S4" s="1117"/>
      <c r="T4" s="1117"/>
      <c r="U4" s="1117"/>
      <c r="W4" s="645"/>
      <c r="X4" s="1066"/>
      <c r="Y4" s="646"/>
      <c r="Z4" s="673"/>
      <c r="AA4" s="646"/>
      <c r="AB4" s="646"/>
      <c r="AC4" s="646"/>
      <c r="AD4" s="646"/>
      <c r="AE4" s="646"/>
      <c r="AF4" s="646"/>
      <c r="AG4" s="646"/>
      <c r="AH4" s="646"/>
      <c r="AI4" s="646"/>
      <c r="AJ4" s="749" t="s">
        <v>11</v>
      </c>
      <c r="AK4" s="646"/>
      <c r="AL4" s="646"/>
      <c r="AM4" s="646"/>
      <c r="AN4" s="646"/>
      <c r="AO4" s="646"/>
      <c r="AP4" s="650"/>
      <c r="AQ4" s="649"/>
      <c r="AR4" s="649"/>
      <c r="AS4" s="649"/>
      <c r="AT4" s="649"/>
      <c r="AU4" s="649"/>
      <c r="AV4" s="649"/>
      <c r="AW4" s="648"/>
      <c r="AX4" s="649"/>
      <c r="AY4" s="648"/>
      <c r="AZ4" s="646"/>
      <c r="BA4" s="646"/>
      <c r="BB4" s="646"/>
      <c r="BC4" s="646"/>
      <c r="BD4" s="646"/>
      <c r="BE4" s="646"/>
      <c r="BF4" s="646"/>
      <c r="BG4" s="646"/>
      <c r="BH4" s="646"/>
      <c r="BI4" s="647"/>
      <c r="BJ4" s="647"/>
      <c r="BK4" s="647"/>
      <c r="BL4" s="647"/>
      <c r="BM4" s="647"/>
    </row>
    <row r="5" spans="1:126" s="640" customFormat="1" ht="12.65" customHeight="1">
      <c r="A5" s="644" t="s">
        <v>12</v>
      </c>
      <c r="D5" s="641"/>
      <c r="G5" s="642"/>
      <c r="J5" s="642"/>
      <c r="K5" s="643"/>
      <c r="M5" s="644"/>
      <c r="N5" s="642"/>
      <c r="Q5" s="642"/>
      <c r="T5" s="642"/>
      <c r="U5" s="643"/>
      <c r="W5" s="645"/>
      <c r="X5" s="1066"/>
      <c r="Y5" s="646"/>
      <c r="Z5" s="673"/>
      <c r="AA5" s="12">
        <f>'Exchange Rates'!D14</f>
        <v>0.70457000000000003</v>
      </c>
      <c r="AB5" s="646"/>
      <c r="AC5" s="646"/>
      <c r="AD5" s="646"/>
      <c r="AE5" s="646"/>
      <c r="AF5" s="646"/>
      <c r="AG5" s="646"/>
      <c r="AH5" s="646"/>
      <c r="AI5" s="646"/>
      <c r="AJ5" s="749" t="s">
        <v>13</v>
      </c>
      <c r="AK5" s="646"/>
      <c r="AL5" s="646"/>
      <c r="AM5" s="646"/>
      <c r="AN5" s="646"/>
      <c r="AO5" s="646" t="s">
        <v>14</v>
      </c>
      <c r="AP5" s="17">
        <f>SUM(E22)+SUM(E31)+(SUM(E36)*80%)+(SUM(O22)*80%)+(SUM(O26)*0.8)+(SUM(O31)*80%)+(SUM(O36)*80%)+(SUM(E26)*80%)</f>
        <v>0</v>
      </c>
      <c r="AQ5" s="38">
        <f>BI32</f>
        <v>0</v>
      </c>
      <c r="AR5" s="38">
        <f>(SUM(AD21*90%)+SUM(AD29*90%)+(SUM(AD35)*80%)+(SUM(AK21)*80%)+(SUM(AX21+AR21)*0.8)+(SUM(AK29)*80%)+(SUM(AK35)*80%))</f>
        <v>0</v>
      </c>
      <c r="AS5" s="39">
        <f>(AV12*(SUM(AU12:AU15))/12)+'Additional Borrowers'!BP3</f>
        <v>0</v>
      </c>
      <c r="AT5" s="38">
        <f>((E42+O42+E46)*125%)+E56+E57+E58+((O44*3.8%))+'Additional Borrowers'!AT3</f>
        <v>0</v>
      </c>
      <c r="AU5" s="38">
        <f>BI43+BL45+'Additional Borrowers'!AU3</f>
        <v>0</v>
      </c>
      <c r="AV5" s="38">
        <f>(((AF41+AF42+AF43)*125%)+BI48+AD60+AD61+AD62+(((AK41+AK42)*3%))-AU5)+'Additional Borrowers'!AV3</f>
        <v>0</v>
      </c>
      <c r="AW5" s="648"/>
      <c r="AX5" s="39">
        <f>AQ9-AU9</f>
        <v>0</v>
      </c>
      <c r="AY5" s="648" t="s">
        <v>15</v>
      </c>
      <c r="AZ5" s="646"/>
      <c r="BA5" s="646"/>
      <c r="BB5" s="672">
        <f>IF(AND(AW6&lt;&gt;0,AW6*90%=AX7),AX7,AQ9)</f>
        <v>0</v>
      </c>
      <c r="BC5" s="646"/>
      <c r="BD5" s="646"/>
      <c r="BE5" s="646"/>
      <c r="BF5" s="646"/>
      <c r="BG5" s="646"/>
      <c r="BH5" s="646"/>
      <c r="BI5" s="647"/>
      <c r="BJ5" s="647"/>
      <c r="BK5" s="647"/>
      <c r="BL5" s="647"/>
      <c r="BM5" s="647"/>
    </row>
    <row r="6" spans="1:126" s="654" customFormat="1" ht="18" customHeight="1">
      <c r="A6" s="651"/>
      <c r="B6" s="1405" t="s">
        <v>16</v>
      </c>
      <c r="C6" s="1406"/>
      <c r="D6" s="1407"/>
      <c r="E6" s="1408"/>
      <c r="F6" s="1408"/>
      <c r="G6" s="1408"/>
      <c r="H6" s="1408"/>
      <c r="I6" s="1408"/>
      <c r="J6" s="1408"/>
      <c r="K6" s="1409"/>
      <c r="L6" s="1408"/>
      <c r="M6" s="1410"/>
      <c r="N6" s="1408"/>
      <c r="O6" s="1408"/>
      <c r="P6" s="1408"/>
      <c r="Q6" s="1408"/>
      <c r="R6" s="1408"/>
      <c r="S6" s="1408"/>
      <c r="T6" s="1408"/>
      <c r="U6" s="1411"/>
      <c r="V6" s="651"/>
      <c r="W6" s="645"/>
      <c r="X6" s="1066"/>
      <c r="Y6" s="646"/>
      <c r="Z6" s="673"/>
      <c r="AA6" s="646"/>
      <c r="AB6" s="646"/>
      <c r="AC6" s="1015"/>
      <c r="AD6" s="648" t="s">
        <v>17</v>
      </c>
      <c r="AE6" s="648"/>
      <c r="AF6" s="648" t="s">
        <v>18</v>
      </c>
      <c r="AG6" s="648"/>
      <c r="AH6" s="648" t="s">
        <v>19</v>
      </c>
      <c r="AI6" s="646" t="s">
        <v>20</v>
      </c>
      <c r="AJ6" s="749" t="s">
        <v>21</v>
      </c>
      <c r="AK6" s="646"/>
      <c r="AL6" s="646"/>
      <c r="AM6" s="646"/>
      <c r="AN6" s="646"/>
      <c r="AO6" s="646" t="s">
        <v>22</v>
      </c>
      <c r="AP6" s="17">
        <f>SUM(E23)+SUM(E32)+(SUM(E37)*80%)+(SUM(O23)*80%)+(SUM(O27)*0.8)+(SUM(O32)*80%)+(SUM(O37)*80%)+(SUM(E27)*80%)</f>
        <v>0</v>
      </c>
      <c r="AQ6" s="38">
        <f>BL32</f>
        <v>0</v>
      </c>
      <c r="AR6" s="38">
        <f>(SUM(AD22*90%)+SUM(AD30*90%)+(SUM(AD36)*80%)+(SUM(AK22)*80%)+(SUM(AX22+AR22)*0.8)+(SUM(AK30)*80%)+(SUM(AK36)*80%))</f>
        <v>0</v>
      </c>
      <c r="AS6" s="651"/>
      <c r="AT6" s="648"/>
      <c r="AU6" s="648"/>
      <c r="AV6" s="651"/>
      <c r="AW6" s="52">
        <f>IF((AQ9=0),AZ7,AX6)</f>
        <v>0</v>
      </c>
      <c r="AX6" s="39" t="b">
        <f>IF(IF(((AX5*12)&gt;(AV12)),(AV12/12),(AX5)),(AV12/12))</f>
        <v>0</v>
      </c>
      <c r="AY6" s="648" t="s">
        <v>23</v>
      </c>
      <c r="AZ6" s="646"/>
      <c r="BA6" s="646"/>
      <c r="BB6" s="646"/>
      <c r="BC6" s="646"/>
      <c r="BD6" s="646"/>
      <c r="BE6" s="646"/>
      <c r="BF6" s="646"/>
      <c r="BG6" s="646"/>
      <c r="BH6" s="646"/>
      <c r="BI6" s="647"/>
      <c r="BJ6" s="647"/>
      <c r="BK6" s="647"/>
      <c r="BL6" s="647"/>
      <c r="BM6" s="647"/>
      <c r="BN6" s="651"/>
      <c r="BO6" s="651"/>
      <c r="BP6" s="651"/>
      <c r="BQ6" s="651"/>
      <c r="BR6" s="651"/>
      <c r="BS6" s="651"/>
      <c r="BT6" s="651"/>
      <c r="BU6" s="651"/>
      <c r="BV6" s="651"/>
      <c r="BW6" s="651"/>
      <c r="BX6" s="651"/>
      <c r="BY6" s="651"/>
      <c r="BZ6" s="651"/>
      <c r="CA6" s="651"/>
      <c r="CB6" s="651"/>
      <c r="CC6" s="651"/>
      <c r="CD6" s="651"/>
      <c r="CE6" s="651"/>
      <c r="CF6" s="651"/>
      <c r="CG6" s="651"/>
      <c r="CH6" s="651"/>
      <c r="CI6" s="651"/>
      <c r="CJ6" s="651"/>
      <c r="CK6" s="651"/>
      <c r="CL6" s="651"/>
      <c r="CM6" s="651"/>
      <c r="CN6" s="651"/>
      <c r="CO6" s="651"/>
      <c r="CP6" s="651"/>
      <c r="CQ6" s="651"/>
      <c r="CR6" s="651"/>
      <c r="CS6" s="651"/>
      <c r="CT6" s="651"/>
      <c r="CU6" s="651"/>
      <c r="CV6" s="651"/>
      <c r="CW6" s="651"/>
      <c r="CX6" s="651"/>
      <c r="CY6" s="651"/>
      <c r="CZ6" s="651"/>
      <c r="DA6" s="651"/>
      <c r="DB6" s="651"/>
      <c r="DC6" s="651"/>
      <c r="DD6" s="651"/>
      <c r="DE6" s="651"/>
      <c r="DF6" s="651"/>
      <c r="DG6" s="651"/>
      <c r="DH6" s="651"/>
      <c r="DI6" s="651"/>
      <c r="DJ6" s="651"/>
      <c r="DK6" s="651"/>
      <c r="DL6" s="651"/>
      <c r="DM6" s="651"/>
      <c r="DN6" s="651"/>
      <c r="DO6" s="651"/>
      <c r="DP6" s="651"/>
      <c r="DQ6" s="651"/>
      <c r="DR6" s="651"/>
      <c r="DS6" s="651"/>
      <c r="DT6" s="651"/>
      <c r="DU6" s="651"/>
      <c r="DV6" s="651"/>
    </row>
    <row r="7" spans="1:126">
      <c r="B7" s="1356" t="s">
        <v>24</v>
      </c>
      <c r="C7" s="1357"/>
      <c r="D7" s="1358" t="str">
        <f>IF(ISBLANK(E7), "&lt;First Name, Last Name&gt;", E7)</f>
        <v>&lt;First Name, Last Name&gt;</v>
      </c>
      <c r="E7" s="1475"/>
      <c r="F7" s="1475"/>
      <c r="G7" s="1475"/>
      <c r="H7" s="1475"/>
      <c r="I7" s="1475"/>
      <c r="J7" s="1475"/>
      <c r="K7" s="1475"/>
      <c r="L7" s="1359" t="s">
        <v>25</v>
      </c>
      <c r="M7" s="1360"/>
      <c r="N7" s="1361" t="str">
        <f>IF(ISBLANK(O7), "&lt;Select&gt;", "")</f>
        <v>&lt;Select&gt;</v>
      </c>
      <c r="O7" s="1471"/>
      <c r="P7" s="1328"/>
      <c r="Q7" s="1328"/>
      <c r="R7" s="1359" t="s">
        <v>26</v>
      </c>
      <c r="S7" s="1357"/>
      <c r="T7" s="1361" t="str">
        <f>IF(ISBLANK(U7), "&lt;If in AUS&gt;", "")</f>
        <v>&lt;If in AUS&gt;</v>
      </c>
      <c r="U7" s="1477"/>
      <c r="AA7" s="658">
        <v>50000</v>
      </c>
      <c r="AB7" s="646" t="s">
        <v>27</v>
      </c>
      <c r="AC7" s="1015"/>
      <c r="AD7" s="659" t="s">
        <v>28</v>
      </c>
      <c r="AE7" s="648"/>
      <c r="AF7" s="648" t="s">
        <v>29</v>
      </c>
      <c r="AG7" s="648"/>
      <c r="AH7" s="673">
        <v>0</v>
      </c>
      <c r="AI7" s="646" t="s">
        <v>30</v>
      </c>
      <c r="AJ7" s="749" t="s">
        <v>31</v>
      </c>
      <c r="AO7" s="646" t="s">
        <v>32</v>
      </c>
      <c r="AP7" s="17">
        <f>'Additional Borrowers'!Y12</f>
        <v>0</v>
      </c>
      <c r="AQ7" s="18">
        <f>'Additional Borrowers'!AQ3</f>
        <v>0</v>
      </c>
      <c r="AR7" s="38">
        <f>(SUM(AD23*90%)+SUM(AD31*90%)+(SUM(AD37)*80%)+(SUM(AK23)*80%)+(SUM(AX23+AR23)*0.8)+(SUM(AK31)*80%)+(SUM(AK37)*80%))</f>
        <v>0</v>
      </c>
      <c r="AS7" s="648"/>
      <c r="AT7" s="648"/>
      <c r="AU7" s="648"/>
      <c r="AV7" s="648"/>
      <c r="AW7" s="648"/>
      <c r="AX7" s="53">
        <f>(IF((AW6&gt;AX5),(AX5),(AW6)))*90%</f>
        <v>0</v>
      </c>
      <c r="AY7" s="648"/>
      <c r="BB7" s="694">
        <f>(IF((AW6&gt;BB5),(BB5),(AW6)))</f>
        <v>0</v>
      </c>
    </row>
    <row r="8" spans="1:126">
      <c r="B8" s="1362" t="s">
        <v>33</v>
      </c>
      <c r="C8" s="1357"/>
      <c r="D8" s="1363" t="str">
        <f>IF(ISBLANK(E8), "     &lt;First Name, Last Name&gt;", E8)</f>
        <v xml:space="preserve">     &lt;First Name, Last Name&gt;</v>
      </c>
      <c r="E8" s="1476"/>
      <c r="F8" s="1475"/>
      <c r="G8" s="1475"/>
      <c r="H8" s="1475"/>
      <c r="I8" s="1475"/>
      <c r="J8" s="1475"/>
      <c r="K8" s="1475"/>
      <c r="L8" s="1364" t="s">
        <v>33</v>
      </c>
      <c r="M8" s="1360"/>
      <c r="N8" s="1365" t="str">
        <f t="shared" ref="N8" si="0">IF(ISBLANK(O8), "&lt;Select&gt;", O8)</f>
        <v>&lt;Select&gt;</v>
      </c>
      <c r="O8" s="1471"/>
      <c r="P8" s="1328"/>
      <c r="Q8" s="1328"/>
      <c r="R8" s="1364" t="s">
        <v>33</v>
      </c>
      <c r="S8" s="1357"/>
      <c r="T8" s="1366" t="str">
        <f t="shared" ref="T8" si="1">IF(ISBLANK(U8), "&lt;If in Aus&gt;", U8)</f>
        <v>&lt;If in Aus&gt;</v>
      </c>
      <c r="U8" s="1477"/>
      <c r="AA8" s="15">
        <f>AA7/'Exchange Rates'!D14</f>
        <v>70965.269597059203</v>
      </c>
      <c r="AB8" s="646" t="s">
        <v>34</v>
      </c>
      <c r="AC8" s="1015"/>
      <c r="AD8" s="659" t="s">
        <v>35</v>
      </c>
      <c r="AE8" s="648"/>
      <c r="AF8" s="648" t="s">
        <v>36</v>
      </c>
      <c r="AG8" s="648"/>
      <c r="AH8" s="1014">
        <v>1</v>
      </c>
      <c r="AI8" s="646" t="s">
        <v>37</v>
      </c>
      <c r="AJ8" s="749" t="s">
        <v>38</v>
      </c>
      <c r="AO8" s="646" t="s">
        <v>39</v>
      </c>
      <c r="AP8" s="17">
        <f>'Additional Borrowers'!Y13</f>
        <v>0</v>
      </c>
      <c r="AQ8" s="18">
        <f>'Additional Borrowers'!AQ4</f>
        <v>0</v>
      </c>
      <c r="AR8" s="38">
        <f>(SUM(AD24*90%)+SUM(AD32*90%)+(SUM(AD38)*80%)+(SUM(AK24)*80%)+(SUM(AX24+AR24)*0.8)+(SUM(AK32)*80%)+(SUM(AK38)*80%))</f>
        <v>0</v>
      </c>
      <c r="AS8" s="648"/>
      <c r="AT8" s="648"/>
      <c r="AU8" s="648"/>
      <c r="AV8" s="648"/>
      <c r="AW8" s="648"/>
      <c r="AX8" s="38">
        <f>AP9</f>
        <v>0</v>
      </c>
      <c r="AY8" s="648" t="s">
        <v>40</v>
      </c>
      <c r="BB8" s="672">
        <f>AX8</f>
        <v>0</v>
      </c>
    </row>
    <row r="9" spans="1:126">
      <c r="B9" s="1367"/>
      <c r="C9" s="1357"/>
      <c r="D9" s="1368"/>
      <c r="E9" s="1328"/>
      <c r="F9" s="1328"/>
      <c r="G9" s="1328"/>
      <c r="H9" s="1328"/>
      <c r="I9" s="1328"/>
      <c r="J9" s="1328"/>
      <c r="K9" s="1330"/>
      <c r="L9" s="1357"/>
      <c r="M9" s="1360"/>
      <c r="N9" s="1357"/>
      <c r="O9" s="1328"/>
      <c r="P9" s="1328"/>
      <c r="Q9" s="1328"/>
      <c r="R9" s="1328"/>
      <c r="S9" s="1328"/>
      <c r="T9" s="1328"/>
      <c r="U9" s="1369"/>
      <c r="AA9" s="662"/>
      <c r="AC9" s="1015"/>
      <c r="AD9" s="659" t="s">
        <v>41</v>
      </c>
      <c r="AE9" s="648"/>
      <c r="AF9" s="648"/>
      <c r="AG9" s="648"/>
      <c r="AH9" s="1014">
        <v>2</v>
      </c>
      <c r="AI9" s="646" t="s">
        <v>42</v>
      </c>
      <c r="AJ9" s="749" t="s">
        <v>43</v>
      </c>
      <c r="AO9" s="648"/>
      <c r="AP9" s="38">
        <f>SUM(AP5:AP8)</f>
        <v>0</v>
      </c>
      <c r="AQ9" s="38">
        <f>SUM(AQ5:AQ8)</f>
        <v>0</v>
      </c>
      <c r="AR9" s="38">
        <f>SUM(AR5:AR8)</f>
        <v>0</v>
      </c>
      <c r="AS9" s="648"/>
      <c r="AT9" s="38">
        <f>SUM(AT5:AT8)</f>
        <v>0</v>
      </c>
      <c r="AU9" s="38">
        <f>SUM(AU5:AU8)</f>
        <v>0</v>
      </c>
      <c r="AV9" s="38">
        <f>SUM(AV5:AV8)</f>
        <v>0</v>
      </c>
      <c r="AW9" s="648"/>
      <c r="AX9" s="38">
        <f>AR9</f>
        <v>0</v>
      </c>
      <c r="AY9" s="648" t="s">
        <v>44</v>
      </c>
      <c r="BB9" s="672">
        <f>AX9</f>
        <v>0</v>
      </c>
    </row>
    <row r="10" spans="1:126" s="654" customFormat="1" ht="18" customHeight="1">
      <c r="A10" s="651"/>
      <c r="B10" s="1405" t="s">
        <v>45</v>
      </c>
      <c r="C10" s="1412"/>
      <c r="D10" s="1407"/>
      <c r="E10" s="1413"/>
      <c r="F10" s="1413"/>
      <c r="G10" s="1413"/>
      <c r="H10" s="1413"/>
      <c r="I10" s="1413"/>
      <c r="J10" s="1413"/>
      <c r="K10" s="1414"/>
      <c r="L10" s="1412"/>
      <c r="M10" s="1415"/>
      <c r="N10" s="1412"/>
      <c r="O10" s="1413"/>
      <c r="P10" s="1413"/>
      <c r="Q10" s="1413"/>
      <c r="R10" s="1413"/>
      <c r="S10" s="1413"/>
      <c r="T10" s="1413"/>
      <c r="U10" s="1416"/>
      <c r="V10" s="640"/>
      <c r="W10" s="645"/>
      <c r="X10" s="1066"/>
      <c r="Y10" s="646"/>
      <c r="Z10" s="673"/>
      <c r="AA10" s="662"/>
      <c r="AB10" s="646"/>
      <c r="AC10" s="1015"/>
      <c r="AD10" s="646" t="s">
        <v>46</v>
      </c>
      <c r="AE10" s="648"/>
      <c r="AF10" s="648"/>
      <c r="AG10" s="648"/>
      <c r="AH10" s="1014">
        <v>3</v>
      </c>
      <c r="AI10" s="646" t="s">
        <v>47</v>
      </c>
      <c r="AJ10" s="749" t="s">
        <v>48</v>
      </c>
      <c r="AK10" s="646"/>
      <c r="AL10" s="646"/>
      <c r="AM10" s="646"/>
      <c r="AN10" s="646"/>
      <c r="AO10" s="663" t="s">
        <v>49</v>
      </c>
      <c r="AP10" s="651" t="s">
        <v>50</v>
      </c>
      <c r="AQ10" s="651"/>
      <c r="AR10" s="663" t="s">
        <v>51</v>
      </c>
      <c r="AS10" s="651"/>
      <c r="AT10" s="651"/>
      <c r="AU10" s="664" t="s">
        <v>52</v>
      </c>
      <c r="AV10" s="664" t="s">
        <v>53</v>
      </c>
      <c r="AW10" s="651"/>
      <c r="AX10" s="750">
        <f>SUM(AX7:AX9)</f>
        <v>0</v>
      </c>
      <c r="AY10" s="751" t="s">
        <v>54</v>
      </c>
      <c r="AZ10" s="646"/>
      <c r="BA10" s="646"/>
      <c r="BB10" s="694">
        <f>SUM(BB7:BB9)++((O15*52)/12)</f>
        <v>0</v>
      </c>
      <c r="BC10" s="646"/>
      <c r="BD10" s="646"/>
      <c r="BE10" s="646"/>
      <c r="BF10" s="646"/>
      <c r="BG10" s="646"/>
      <c r="BH10" s="646"/>
      <c r="BI10" s="647"/>
      <c r="BJ10" s="647"/>
      <c r="BK10" s="647"/>
      <c r="BL10" s="647"/>
      <c r="BM10" s="647"/>
      <c r="BN10" s="651"/>
      <c r="BO10" s="651"/>
      <c r="BP10" s="651"/>
      <c r="BQ10" s="651"/>
      <c r="BR10" s="651"/>
      <c r="BS10" s="651"/>
      <c r="BT10" s="651"/>
      <c r="BU10" s="651"/>
      <c r="BV10" s="651"/>
      <c r="BW10" s="651"/>
      <c r="BX10" s="651"/>
      <c r="BY10" s="651"/>
      <c r="BZ10" s="651"/>
      <c r="CA10" s="651"/>
      <c r="CB10" s="651"/>
      <c r="CC10" s="651"/>
      <c r="CD10" s="651"/>
      <c r="CE10" s="651"/>
      <c r="CF10" s="651"/>
      <c r="CG10" s="651"/>
      <c r="CH10" s="651"/>
      <c r="CI10" s="651"/>
      <c r="CJ10" s="651"/>
      <c r="CK10" s="651"/>
      <c r="CL10" s="651"/>
      <c r="CM10" s="651"/>
      <c r="CN10" s="651"/>
      <c r="CO10" s="651"/>
      <c r="CP10" s="651"/>
      <c r="CQ10" s="651"/>
      <c r="CR10" s="651"/>
      <c r="CS10" s="651"/>
      <c r="CT10" s="651"/>
      <c r="CU10" s="651"/>
      <c r="CV10" s="651"/>
      <c r="CW10" s="651"/>
      <c r="CX10" s="651"/>
      <c r="CY10" s="651"/>
      <c r="CZ10" s="651"/>
      <c r="DA10" s="651"/>
      <c r="DB10" s="651"/>
      <c r="DC10" s="651"/>
      <c r="DD10" s="651"/>
      <c r="DE10" s="651"/>
      <c r="DF10" s="651"/>
      <c r="DG10" s="651"/>
      <c r="DH10" s="651"/>
      <c r="DI10" s="651"/>
      <c r="DJ10" s="651"/>
      <c r="DK10" s="651"/>
      <c r="DL10" s="651"/>
      <c r="DM10" s="651"/>
      <c r="DN10" s="651"/>
      <c r="DO10" s="651"/>
      <c r="DP10" s="651"/>
      <c r="DQ10" s="651"/>
      <c r="DR10" s="651"/>
      <c r="DS10" s="651"/>
      <c r="DT10" s="651"/>
      <c r="DU10" s="651"/>
      <c r="DV10" s="651"/>
    </row>
    <row r="11" spans="1:126">
      <c r="B11" s="1362" t="s">
        <v>17</v>
      </c>
      <c r="C11" s="1357"/>
      <c r="D11" s="1361"/>
      <c r="E11" s="1490"/>
      <c r="F11" s="1490"/>
      <c r="G11" s="1490"/>
      <c r="H11" s="1490"/>
      <c r="I11" s="1490"/>
      <c r="J11" s="1490"/>
      <c r="K11" s="1490"/>
      <c r="L11" s="1364" t="s">
        <v>55</v>
      </c>
      <c r="M11" s="1360"/>
      <c r="N11" s="1357"/>
      <c r="O11" s="1491"/>
      <c r="P11" s="1491"/>
      <c r="Q11" s="1491"/>
      <c r="R11" s="1491"/>
      <c r="S11" s="1491"/>
      <c r="T11" s="1491"/>
      <c r="U11" s="1492"/>
      <c r="AA11" s="662"/>
      <c r="AC11" s="1015"/>
      <c r="AD11" s="646" t="s">
        <v>56</v>
      </c>
      <c r="AE11" s="648"/>
      <c r="AF11" s="648"/>
      <c r="AG11" s="648"/>
      <c r="AH11" s="1014">
        <v>4</v>
      </c>
      <c r="AI11" s="646" t="s">
        <v>57</v>
      </c>
      <c r="AJ11" s="749" t="s">
        <v>58</v>
      </c>
      <c r="AO11" s="648"/>
      <c r="AP11" s="648" t="s">
        <v>59</v>
      </c>
      <c r="AQ11" s="648" t="s">
        <v>60</v>
      </c>
      <c r="AR11" s="648" t="s">
        <v>59</v>
      </c>
      <c r="AS11" s="648" t="s">
        <v>60</v>
      </c>
      <c r="AU11" s="648"/>
      <c r="AV11" s="648"/>
      <c r="AX11" s="648"/>
      <c r="AY11" s="648"/>
    </row>
    <row r="12" spans="1:126">
      <c r="B12" s="1362" t="s">
        <v>61</v>
      </c>
      <c r="C12" s="1357"/>
      <c r="D12" s="1368"/>
      <c r="E12" s="1490"/>
      <c r="F12" s="1490"/>
      <c r="G12" s="1490"/>
      <c r="H12" s="1490"/>
      <c r="I12" s="1490"/>
      <c r="J12" s="1490"/>
      <c r="K12" s="1490"/>
      <c r="L12" s="1364" t="s">
        <v>62</v>
      </c>
      <c r="M12" s="1360"/>
      <c r="N12" s="1357"/>
      <c r="O12" s="1491"/>
      <c r="P12" s="1491"/>
      <c r="Q12" s="1491"/>
      <c r="R12" s="1491"/>
      <c r="S12" s="1491"/>
      <c r="T12" s="1491"/>
      <c r="U12" s="1492"/>
      <c r="AA12" s="662"/>
      <c r="AC12" s="1015"/>
      <c r="AD12" s="648"/>
      <c r="AH12" s="1014">
        <v>5</v>
      </c>
      <c r="AJ12" s="749" t="s">
        <v>63</v>
      </c>
      <c r="AO12" s="666" t="s">
        <v>64</v>
      </c>
      <c r="AP12" s="13">
        <f>(E50*AA55)+(E51*AA56)+(E52*AA57)</f>
        <v>0</v>
      </c>
      <c r="AQ12" s="38">
        <f>E53</f>
        <v>0</v>
      </c>
      <c r="AR12" s="13">
        <f>SUM(AB58:AI58)</f>
        <v>0</v>
      </c>
      <c r="AS12" s="39">
        <f>AD52</f>
        <v>0</v>
      </c>
      <c r="AT12" s="12">
        <f>(IF(AQ12&gt;AP12,AQ12,AP12)+(IF(AS12&gt;AR12,AS12,AR12)))</f>
        <v>0</v>
      </c>
      <c r="AU12" s="13">
        <f>SUM(H50+E50+(H51*2)+(E51*2))</f>
        <v>0</v>
      </c>
      <c r="AV12" s="39">
        <f>(AA8*(SUM(AU12:AU15)))+'Additional Borrowers'!BS10</f>
        <v>0</v>
      </c>
      <c r="AX12" s="38">
        <f>AT9+AV9+AX15</f>
        <v>0</v>
      </c>
      <c r="AY12" s="648" t="s">
        <v>65</v>
      </c>
    </row>
    <row r="13" spans="1:126" ht="15.5" thickBot="1">
      <c r="B13" s="1362" t="s">
        <v>19</v>
      </c>
      <c r="C13" s="1357"/>
      <c r="D13" s="1368"/>
      <c r="E13" s="1502"/>
      <c r="F13" s="1503"/>
      <c r="G13" s="1504" t="s">
        <v>66</v>
      </c>
      <c r="H13" s="1114" t="s">
        <v>67</v>
      </c>
      <c r="I13" s="1114"/>
      <c r="J13" s="1114"/>
      <c r="K13" s="1114"/>
      <c r="L13" s="1364" t="s">
        <v>68</v>
      </c>
      <c r="M13" s="1360"/>
      <c r="N13" s="1357"/>
      <c r="O13" s="1493" t="str">
        <f>IFERROR(O11/O12,"")</f>
        <v/>
      </c>
      <c r="P13" s="1493"/>
      <c r="Q13" s="1494"/>
      <c r="R13" s="1495"/>
      <c r="S13" s="1495"/>
      <c r="T13" s="1495"/>
      <c r="U13" s="1496"/>
      <c r="AH13" s="659"/>
      <c r="AJ13" s="752" t="s">
        <v>69</v>
      </c>
      <c r="AO13" s="666" t="s">
        <v>70</v>
      </c>
      <c r="AP13" s="13">
        <f>(O50*AA55)+(O51*AA56)+(O52*AA57)</f>
        <v>0</v>
      </c>
      <c r="AQ13" s="38">
        <f>O53</f>
        <v>0</v>
      </c>
      <c r="AR13" s="13">
        <f>SUM(AJ58:AQ58)</f>
        <v>0</v>
      </c>
      <c r="AS13" s="38">
        <f>AK52</f>
        <v>0</v>
      </c>
      <c r="AT13" s="12">
        <f t="shared" ref="AT13:AT15" si="2">(IF(AQ13&gt;AP13,AQ13,AP13)+(IF(AS13&gt;AR13,AS13,AR13)))</f>
        <v>0</v>
      </c>
      <c r="AU13" s="13">
        <f>SUM(R50+O50+(R51*2)+(O51*2))</f>
        <v>0</v>
      </c>
      <c r="AV13" s="648"/>
      <c r="AW13" s="648"/>
      <c r="AX13" s="18">
        <f>IF(BI48=0, Z53,0)</f>
        <v>0</v>
      </c>
      <c r="AY13" s="648" t="s">
        <v>71</v>
      </c>
    </row>
    <row r="14" spans="1:126" ht="15.5" thickBot="1">
      <c r="B14" s="1362" t="s">
        <v>42</v>
      </c>
      <c r="C14" s="1357"/>
      <c r="D14" s="1368"/>
      <c r="E14" s="1502"/>
      <c r="F14" s="1503"/>
      <c r="G14" s="1504"/>
      <c r="H14" s="1088"/>
      <c r="I14" s="1088"/>
      <c r="J14" s="1088"/>
      <c r="K14" s="1088"/>
      <c r="L14" s="1364"/>
      <c r="M14" s="1360"/>
      <c r="N14" s="1357"/>
      <c r="O14" s="1497" t="str">
        <f>IF(AND(E11="Evergreen",O13&gt;80%),AA74,IF(AND(E11="Platinum",O13&gt;80%),AA74,IF(AND(E11="Easy Builder",O13&gt;70%),AA75,IF(AND(E11="Vacant Land",O13&gt;70%),AA75,""))))</f>
        <v/>
      </c>
      <c r="P14" s="1498"/>
      <c r="Q14" s="1494"/>
      <c r="R14" s="1499"/>
      <c r="S14" s="1499"/>
      <c r="T14" s="1499"/>
      <c r="U14" s="1500"/>
      <c r="X14" s="1067"/>
      <c r="AA14" s="670"/>
      <c r="AJ14" s="749"/>
      <c r="AO14" s="666" t="s">
        <v>72</v>
      </c>
      <c r="AP14" s="38">
        <f>'Additional Borrowers'!AP10</f>
        <v>0</v>
      </c>
      <c r="AQ14" s="38">
        <f>'Additional Borrowers'!AQ10</f>
        <v>0</v>
      </c>
      <c r="AR14" s="13">
        <f>'Additional Borrowers'!BO10</f>
        <v>0</v>
      </c>
      <c r="AS14" s="18">
        <f>'Additional Borrowers'!BP10</f>
        <v>0</v>
      </c>
      <c r="AT14" s="12">
        <f t="shared" si="2"/>
        <v>0</v>
      </c>
      <c r="AU14" s="671"/>
      <c r="AV14" s="648"/>
      <c r="AW14" s="648"/>
      <c r="AX14" s="648"/>
      <c r="AY14" s="648"/>
      <c r="BH14" s="672"/>
    </row>
    <row r="15" spans="1:126" ht="15.5" thickBot="1">
      <c r="B15" s="1362" t="s">
        <v>73</v>
      </c>
      <c r="C15" s="1357"/>
      <c r="D15" s="1368"/>
      <c r="E15" s="1502"/>
      <c r="F15" s="1503"/>
      <c r="G15" s="1110"/>
      <c r="H15" s="1115" t="s">
        <v>67</v>
      </c>
      <c r="I15" s="1115"/>
      <c r="J15" s="1115"/>
      <c r="K15" s="1115"/>
      <c r="L15" s="1364" t="s">
        <v>74</v>
      </c>
      <c r="M15" s="1360"/>
      <c r="N15" s="1358" t="str">
        <f>IF(ISBLANK(O15), "            &lt;AUD&gt;", "")</f>
        <v xml:space="preserve">            &lt;AUD&gt;</v>
      </c>
      <c r="O15" s="1501"/>
      <c r="P15" s="1484"/>
      <c r="Q15" s="1484"/>
      <c r="R15" s="1116" t="s">
        <v>75</v>
      </c>
      <c r="S15" s="1116"/>
      <c r="T15" s="1116"/>
      <c r="U15" s="1370"/>
      <c r="AD15" s="673"/>
      <c r="AJ15" s="752"/>
      <c r="AO15" s="666" t="s">
        <v>76</v>
      </c>
      <c r="AP15" s="13">
        <f>'Additional Borrowers'!AP11</f>
        <v>0</v>
      </c>
      <c r="AQ15" s="38">
        <f>'Additional Borrowers'!AQ11</f>
        <v>0</v>
      </c>
      <c r="AR15" s="13">
        <f>'Additional Borrowers'!BO11</f>
        <v>0</v>
      </c>
      <c r="AS15" s="38">
        <f>'Additional Borrowers'!BP11</f>
        <v>0</v>
      </c>
      <c r="AT15" s="12">
        <f t="shared" si="2"/>
        <v>0</v>
      </c>
      <c r="AU15" s="671"/>
      <c r="AV15" s="671"/>
      <c r="AX15" s="38">
        <f>IF((AQ9=0),AU5,AZ7)</f>
        <v>0</v>
      </c>
      <c r="AY15" s="648"/>
      <c r="BH15" s="753"/>
    </row>
    <row r="16" spans="1:126" hidden="1">
      <c r="B16" s="1367"/>
      <c r="C16" s="1357"/>
      <c r="D16" s="1368"/>
      <c r="E16" s="1328"/>
      <c r="F16" s="1328"/>
      <c r="G16" s="1328"/>
      <c r="H16" s="1328"/>
      <c r="I16" s="1328"/>
      <c r="J16" s="1328"/>
      <c r="K16" s="1328"/>
      <c r="L16" s="1089"/>
      <c r="M16" s="1090"/>
      <c r="N16" s="1091"/>
      <c r="O16" s="1328"/>
      <c r="P16" s="1328"/>
      <c r="Q16" s="1328"/>
      <c r="R16" s="1328"/>
      <c r="S16" s="1328"/>
      <c r="T16" s="1328"/>
      <c r="U16" s="1369"/>
      <c r="AD16" s="673" t="s">
        <v>77</v>
      </c>
    </row>
    <row r="17" spans="1:126" hidden="1">
      <c r="B17" s="1371"/>
      <c r="C17" s="1372"/>
      <c r="D17" s="1373"/>
      <c r="E17" s="1374"/>
      <c r="F17" s="1374"/>
      <c r="G17" s="1374"/>
      <c r="H17" s="1374"/>
      <c r="I17" s="1374"/>
      <c r="J17" s="1374"/>
      <c r="K17" s="1374"/>
      <c r="L17" s="1092"/>
      <c r="M17" s="1093"/>
      <c r="N17" s="1094"/>
      <c r="O17" s="1374"/>
      <c r="P17" s="1374"/>
      <c r="Q17" s="1374"/>
      <c r="R17" s="1374"/>
      <c r="S17" s="1374"/>
      <c r="T17" s="1374"/>
      <c r="U17" s="1375"/>
      <c r="AD17" s="673" t="s">
        <v>78</v>
      </c>
    </row>
    <row r="18" spans="1:126" hidden="1">
      <c r="B18" s="1371"/>
      <c r="C18" s="1372"/>
      <c r="D18" s="1373"/>
      <c r="E18" s="1374"/>
      <c r="F18" s="1374"/>
      <c r="G18" s="1374"/>
      <c r="H18" s="1374"/>
      <c r="I18" s="1374"/>
      <c r="J18" s="1374"/>
      <c r="K18" s="1374"/>
      <c r="L18" s="1372"/>
      <c r="M18" s="1095"/>
      <c r="N18" s="1372"/>
      <c r="O18" s="1374"/>
      <c r="P18" s="1374"/>
      <c r="Q18" s="1374"/>
      <c r="R18" s="1374"/>
      <c r="S18" s="1374"/>
      <c r="T18" s="1374"/>
      <c r="U18" s="1375"/>
      <c r="AD18" s="673" t="s">
        <v>79</v>
      </c>
    </row>
    <row r="19" spans="1:126" s="654" customFormat="1" ht="18" customHeight="1">
      <c r="A19" s="651"/>
      <c r="B19" s="1371"/>
      <c r="C19" s="1376"/>
      <c r="D19" s="1376"/>
      <c r="E19" s="1376"/>
      <c r="F19" s="1376"/>
      <c r="G19" s="1376"/>
      <c r="H19" s="1376"/>
      <c r="I19" s="1376"/>
      <c r="J19" s="1376"/>
      <c r="K19" s="1376"/>
      <c r="L19" s="1376"/>
      <c r="M19" s="1376"/>
      <c r="N19" s="1376"/>
      <c r="O19" s="1376"/>
      <c r="P19" s="1376"/>
      <c r="Q19" s="1376"/>
      <c r="R19" s="1376"/>
      <c r="S19" s="1376"/>
      <c r="T19" s="1374"/>
      <c r="U19" s="1369"/>
      <c r="V19" s="676"/>
      <c r="W19" s="645"/>
      <c r="X19" s="1066"/>
      <c r="Y19" s="646"/>
      <c r="Z19" s="673"/>
      <c r="AA19" s="646"/>
      <c r="AB19" s="646"/>
      <c r="AC19" s="646"/>
      <c r="AD19" s="646"/>
      <c r="AE19" s="646"/>
      <c r="AF19" s="646"/>
      <c r="AG19" s="646"/>
      <c r="AH19" s="646"/>
      <c r="AI19" s="646"/>
      <c r="AJ19" s="646"/>
      <c r="AK19" s="646"/>
      <c r="AL19" s="646"/>
      <c r="AM19" s="673"/>
      <c r="AN19" s="673"/>
      <c r="AO19" s="646"/>
      <c r="AP19" s="646"/>
      <c r="AQ19" s="646"/>
      <c r="AR19" s="646"/>
      <c r="AS19" s="646"/>
      <c r="AT19" s="12">
        <f>SUM(AT12:AT18)</f>
        <v>0</v>
      </c>
      <c r="AU19" s="646"/>
      <c r="AV19" s="645"/>
      <c r="AW19" s="645"/>
      <c r="AX19" s="645"/>
      <c r="AY19" s="645"/>
      <c r="AZ19" s="646"/>
      <c r="BA19" s="646"/>
      <c r="BB19" s="754" t="s">
        <v>50</v>
      </c>
      <c r="BC19" s="646" t="s">
        <v>80</v>
      </c>
      <c r="BD19" s="754"/>
      <c r="BE19" s="651"/>
      <c r="BF19" s="646"/>
      <c r="BG19" s="651"/>
      <c r="BH19" s="1112" t="s">
        <v>81</v>
      </c>
      <c r="BI19" s="1112"/>
      <c r="BJ19" s="1112"/>
      <c r="BK19" s="1112"/>
      <c r="BL19" s="1112"/>
      <c r="BM19" s="647"/>
      <c r="BN19" s="647"/>
      <c r="BO19" s="651"/>
      <c r="BP19" s="651"/>
      <c r="BQ19" s="651"/>
      <c r="BR19" s="651"/>
      <c r="BS19" s="651"/>
      <c r="BT19" s="651"/>
      <c r="BU19" s="651"/>
      <c r="BV19" s="651"/>
      <c r="BW19" s="651"/>
      <c r="BX19" s="651"/>
      <c r="BY19" s="651"/>
      <c r="BZ19" s="651"/>
      <c r="CA19" s="651"/>
      <c r="CB19" s="651"/>
      <c r="CC19" s="651"/>
      <c r="CD19" s="651"/>
      <c r="CE19" s="651"/>
      <c r="CF19" s="651"/>
      <c r="CG19" s="651"/>
      <c r="CH19" s="651"/>
      <c r="CI19" s="651"/>
      <c r="CJ19" s="651"/>
      <c r="CK19" s="651"/>
      <c r="CL19" s="651"/>
      <c r="CM19" s="651"/>
      <c r="CN19" s="651"/>
      <c r="CO19" s="651"/>
      <c r="CP19" s="651"/>
      <c r="CQ19" s="651"/>
      <c r="CR19" s="651"/>
      <c r="CS19" s="651"/>
      <c r="CT19" s="651"/>
      <c r="CU19" s="651"/>
      <c r="CV19" s="651"/>
      <c r="CW19" s="651"/>
      <c r="CX19" s="651"/>
      <c r="CY19" s="651"/>
      <c r="CZ19" s="651"/>
      <c r="DA19" s="651"/>
      <c r="DB19" s="651"/>
      <c r="DC19" s="651"/>
      <c r="DD19" s="651"/>
      <c r="DE19" s="651"/>
      <c r="DF19" s="651"/>
      <c r="DG19" s="651"/>
      <c r="DH19" s="651"/>
      <c r="DI19" s="651"/>
      <c r="DJ19" s="651"/>
      <c r="DK19" s="651"/>
      <c r="DL19" s="651"/>
      <c r="DM19" s="651"/>
      <c r="DN19" s="651"/>
      <c r="DO19" s="651"/>
      <c r="DP19" s="651"/>
      <c r="DQ19" s="651"/>
      <c r="DR19" s="651"/>
      <c r="DS19" s="651"/>
      <c r="DT19" s="651"/>
      <c r="DU19" s="651"/>
      <c r="DV19" s="651"/>
    </row>
    <row r="20" spans="1:126" s="682" customFormat="1">
      <c r="A20" s="676"/>
      <c r="B20" s="1405" t="s">
        <v>82</v>
      </c>
      <c r="C20" s="1412"/>
      <c r="D20" s="1407"/>
      <c r="E20" s="1413"/>
      <c r="F20" s="1413"/>
      <c r="G20" s="1413"/>
      <c r="H20" s="1413"/>
      <c r="I20" s="1413"/>
      <c r="J20" s="1413"/>
      <c r="K20" s="1414"/>
      <c r="L20" s="1412"/>
      <c r="M20" s="1415"/>
      <c r="N20" s="1412"/>
      <c r="O20" s="1413"/>
      <c r="P20" s="1413"/>
      <c r="Q20" s="1413"/>
      <c r="R20" s="1413"/>
      <c r="S20" s="1413"/>
      <c r="T20" s="1413"/>
      <c r="U20" s="1416"/>
      <c r="V20" s="640"/>
      <c r="W20" s="645"/>
      <c r="X20" s="1066"/>
      <c r="Y20" s="646"/>
      <c r="Z20" s="789">
        <f>SUM(E22:E23)+SUM(E31:E32)+SUM(Z22:Z36)+(SUM(E36:E37)*80%)+(SUM(O22:O23)*80%)+(SUM(O26:O27)*0.8)+(SUM(O31:O32)*80%)+(SUM(O36:O37)*80%)+(SUM(E26:E27)*80%)+'Additional Borrowers'!Y12</f>
        <v>0</v>
      </c>
      <c r="AA20" s="646"/>
      <c r="AB20" s="679" t="s">
        <v>83</v>
      </c>
      <c r="AC20" s="680"/>
      <c r="AD20" s="680" t="s">
        <v>84</v>
      </c>
      <c r="AE20" s="680"/>
      <c r="AF20" s="680" t="s">
        <v>80</v>
      </c>
      <c r="AG20" s="678"/>
      <c r="AH20" s="678"/>
      <c r="AI20" s="681" t="s">
        <v>85</v>
      </c>
      <c r="AJ20" s="680"/>
      <c r="AK20" s="680" t="s">
        <v>50</v>
      </c>
      <c r="AL20" s="680"/>
      <c r="AM20" s="680" t="s">
        <v>80</v>
      </c>
      <c r="AN20" s="678"/>
      <c r="AO20" s="680"/>
      <c r="AP20" s="681" t="s">
        <v>86</v>
      </c>
      <c r="AQ20" s="648"/>
      <c r="AR20" s="648"/>
      <c r="AS20" s="648"/>
      <c r="AT20" s="648"/>
      <c r="AU20" s="645"/>
      <c r="AV20" s="681" t="s">
        <v>87</v>
      </c>
      <c r="AW20" s="648"/>
      <c r="AX20" s="648"/>
      <c r="AY20" s="648"/>
      <c r="AZ20" s="648"/>
      <c r="BA20" s="646" t="s">
        <v>14</v>
      </c>
      <c r="BB20" s="676"/>
      <c r="BC20" s="15">
        <f>SUM(AD21)+SUM(AD29)+(SUM(AD35)*80%)+(SUM(AK21)*80%)+(SUM(AX21+AR21)*0.8)+(SUM(AK29)*80%)+(SUM(AK35)*80%)</f>
        <v>0</v>
      </c>
      <c r="BD20" s="672"/>
      <c r="BE20" s="676"/>
      <c r="BF20" s="646"/>
      <c r="BG20" s="676"/>
      <c r="BH20" s="646" t="s">
        <v>14</v>
      </c>
      <c r="BI20" s="676"/>
      <c r="BJ20" s="676"/>
      <c r="BK20" s="646" t="s">
        <v>22</v>
      </c>
      <c r="BL20" s="676"/>
      <c r="BM20" s="676"/>
      <c r="BN20" s="676"/>
      <c r="BO20" s="676"/>
      <c r="BP20" s="676"/>
      <c r="BQ20" s="676"/>
      <c r="BR20" s="676"/>
      <c r="BS20" s="676"/>
      <c r="BT20" s="676"/>
      <c r="BU20" s="676"/>
      <c r="BV20" s="676"/>
      <c r="BW20" s="676"/>
      <c r="BX20" s="676"/>
      <c r="BY20" s="676"/>
      <c r="BZ20" s="676"/>
      <c r="CA20" s="676"/>
      <c r="CB20" s="676"/>
      <c r="CC20" s="676"/>
      <c r="CD20" s="676"/>
      <c r="CE20" s="676"/>
      <c r="CF20" s="676"/>
      <c r="CG20" s="676"/>
      <c r="CH20" s="676"/>
      <c r="CI20" s="676"/>
      <c r="CJ20" s="676"/>
      <c r="CK20" s="676"/>
      <c r="CL20" s="676"/>
      <c r="CM20" s="676"/>
      <c r="CN20" s="676"/>
      <c r="CO20" s="676"/>
      <c r="CP20" s="676"/>
      <c r="CQ20" s="676"/>
      <c r="CR20" s="676"/>
      <c r="CS20" s="676"/>
      <c r="CT20" s="676"/>
      <c r="CU20" s="676"/>
      <c r="CV20" s="676"/>
      <c r="CW20" s="676"/>
      <c r="CX20" s="676"/>
      <c r="CY20" s="676"/>
      <c r="CZ20" s="676"/>
      <c r="DA20" s="676"/>
      <c r="DB20" s="676"/>
      <c r="DC20" s="676"/>
      <c r="DD20" s="676"/>
      <c r="DE20" s="676"/>
      <c r="DF20" s="676"/>
      <c r="DG20" s="676"/>
      <c r="DH20" s="676"/>
      <c r="DI20" s="676"/>
      <c r="DJ20" s="676"/>
      <c r="DK20" s="676"/>
      <c r="DL20" s="676"/>
      <c r="DM20" s="676"/>
      <c r="DN20" s="676"/>
      <c r="DO20" s="676"/>
      <c r="DP20" s="676"/>
      <c r="DQ20" s="676"/>
      <c r="DR20" s="676"/>
      <c r="DS20" s="676"/>
      <c r="DT20" s="676"/>
      <c r="DU20" s="676"/>
      <c r="DV20" s="676"/>
    </row>
    <row r="21" spans="1:126">
      <c r="B21" s="1356" t="s">
        <v>88</v>
      </c>
      <c r="C21" s="1377"/>
      <c r="D21" s="1378"/>
      <c r="E21" s="1478" t="s">
        <v>50</v>
      </c>
      <c r="F21" s="1379"/>
      <c r="G21" s="1379"/>
      <c r="H21" s="1478" t="s">
        <v>80</v>
      </c>
      <c r="I21" s="1379"/>
      <c r="J21" s="1379"/>
      <c r="K21" s="1478" t="s">
        <v>89</v>
      </c>
      <c r="L21" s="1359" t="s">
        <v>85</v>
      </c>
      <c r="M21" s="1380"/>
      <c r="N21" s="1377"/>
      <c r="O21" s="1478" t="s">
        <v>50</v>
      </c>
      <c r="P21" s="1379"/>
      <c r="Q21" s="1379"/>
      <c r="R21" s="1478" t="s">
        <v>80</v>
      </c>
      <c r="S21" s="1379"/>
      <c r="T21" s="1379"/>
      <c r="U21" s="1479" t="s">
        <v>89</v>
      </c>
      <c r="Z21" s="789">
        <f>AA14+BB24</f>
        <v>0</v>
      </c>
      <c r="AB21" s="666" t="s">
        <v>90</v>
      </c>
      <c r="AC21" s="648"/>
      <c r="AD21" s="18">
        <f>IF(K22="CNY",0,(IFERROR((H22/AF21),0)))</f>
        <v>0</v>
      </c>
      <c r="AE21" s="683"/>
      <c r="AF21" s="19" t="e">
        <f>VLOOKUP(K22,'Exchange Rates'!C4:D16,2,FALSE)</f>
        <v>#N/A</v>
      </c>
      <c r="AG21" s="685"/>
      <c r="AH21" s="673"/>
      <c r="AI21" s="666" t="s">
        <v>90</v>
      </c>
      <c r="AJ21" s="648"/>
      <c r="AK21" s="18">
        <f>IF(U22="CNY",0,(IFERROR((R22/AM21),0)))</f>
        <v>0</v>
      </c>
      <c r="AL21" s="683"/>
      <c r="AM21" s="19" t="e">
        <f>VLOOKUP(U22,'Exchange Rates'!C4:D16,2,FALSE)</f>
        <v>#N/A</v>
      </c>
      <c r="AN21" s="686"/>
      <c r="AO21" s="683"/>
      <c r="AP21" s="666" t="s">
        <v>90</v>
      </c>
      <c r="AQ21" s="648"/>
      <c r="AR21" s="18">
        <f>IF(K26="CNY",0,(IFERROR((H26/AT21),0)))</f>
        <v>0</v>
      </c>
      <c r="AS21" s="683"/>
      <c r="AT21" s="19" t="e">
        <f>VLOOKUP(K26,'Exchange Rates'!C4:D16,2,FALSE)</f>
        <v>#N/A</v>
      </c>
      <c r="AV21" s="666" t="s">
        <v>90</v>
      </c>
      <c r="AW21" s="648"/>
      <c r="AX21" s="18">
        <f>IF(U26="CNY",0,(IFERROR((R26/AZ21),0)))</f>
        <v>0</v>
      </c>
      <c r="AY21" s="683"/>
      <c r="AZ21" s="19" t="e">
        <f>VLOOKUP(U26,'Exchange Rates'!C4:D16,2,FALSE)</f>
        <v>#N/A</v>
      </c>
      <c r="BA21" s="646" t="s">
        <v>22</v>
      </c>
      <c r="BC21" s="15">
        <f>SUM(AD22)+SUM(AD30)+(SUM(AD36)*80%)+(SUM(AK22)*80%)+(SUM(AX22+AR22)*0.8)+(SUM(AK30)*80%)+(SUM(AK36)*80%)</f>
        <v>0</v>
      </c>
      <c r="BD21" s="672"/>
      <c r="BG21" s="646" t="s">
        <v>91</v>
      </c>
      <c r="BH21" s="17">
        <f>K22</f>
        <v>0</v>
      </c>
      <c r="BI21" s="755">
        <f>H22</f>
        <v>0</v>
      </c>
      <c r="BJ21" s="640"/>
      <c r="BK21" s="17">
        <f>K23</f>
        <v>0</v>
      </c>
      <c r="BL21" s="756">
        <f>H23</f>
        <v>0</v>
      </c>
      <c r="BM21" s="640"/>
    </row>
    <row r="22" spans="1:126">
      <c r="B22" s="1362" t="s">
        <v>90</v>
      </c>
      <c r="C22" s="1357"/>
      <c r="D22" s="1361" t="str">
        <f>IF(ISBLANK(E22), "&lt;AUD&gt;", E22)</f>
        <v>&lt;AUD&gt;</v>
      </c>
      <c r="E22" s="1471"/>
      <c r="F22" s="1096"/>
      <c r="G22" s="1361" t="str">
        <f>IF(ISBLANK(H22), "&lt;Local Currency&gt;", H22)</f>
        <v>&lt;Local Currency&gt;</v>
      </c>
      <c r="H22" s="1471"/>
      <c r="I22" s="1096"/>
      <c r="J22" s="1361" t="str">
        <f>IF(ISBLANK(K22), "&lt;Select&gt;", "")</f>
        <v>&lt;Select&gt;</v>
      </c>
      <c r="K22" s="1471"/>
      <c r="L22" s="1364" t="s">
        <v>90</v>
      </c>
      <c r="M22" s="1360"/>
      <c r="N22" s="1361" t="str">
        <f t="shared" ref="N22" si="3">IF(ISBLANK(O22), "&lt;AUD&gt;", O22)</f>
        <v>&lt;AUD&gt;</v>
      </c>
      <c r="O22" s="1471"/>
      <c r="P22" s="1096"/>
      <c r="Q22" s="1361" t="str">
        <f>IF(ISBLANK(R22), "&lt;Local Currency&gt;", R22)</f>
        <v>&lt;Local Currency&gt;</v>
      </c>
      <c r="R22" s="1471"/>
      <c r="S22" s="1096"/>
      <c r="T22" s="1361" t="str">
        <f>IF(ISBLANK(U22), "&lt;Select&gt;", "")</f>
        <v>&lt;Select&gt;</v>
      </c>
      <c r="U22" s="1473"/>
      <c r="Z22" s="789">
        <f>SUM(AD21:AD24)+SUM(AK21:AK24)+SUM(AR21:AR24)+SUM(AX21:AX24)</f>
        <v>0</v>
      </c>
      <c r="AA22" s="678"/>
      <c r="AB22" s="666" t="s">
        <v>33</v>
      </c>
      <c r="AC22" s="648"/>
      <c r="AD22" s="18">
        <f>IF(K23="CNY",0,(IFERROR((H23/AF22),0)))</f>
        <v>0</v>
      </c>
      <c r="AE22" s="683"/>
      <c r="AF22" s="19" t="e">
        <f>VLOOKUP(K23,'Exchange Rates'!C4:D16,2,FALSE)</f>
        <v>#N/A</v>
      </c>
      <c r="AG22" s="685"/>
      <c r="AH22" s="673"/>
      <c r="AI22" s="666" t="s">
        <v>33</v>
      </c>
      <c r="AJ22" s="648"/>
      <c r="AK22" s="18">
        <f>IF(U23="CNY",0,(IFERROR((R23/AM22),0)))</f>
        <v>0</v>
      </c>
      <c r="AL22" s="683"/>
      <c r="AM22" s="19" t="e">
        <f>VLOOKUP(U23,'Exchange Rates'!C4:D16,2,FALSE)</f>
        <v>#N/A</v>
      </c>
      <c r="AN22" s="686"/>
      <c r="AO22" s="683"/>
      <c r="AP22" s="666" t="s">
        <v>33</v>
      </c>
      <c r="AQ22" s="648"/>
      <c r="AR22" s="18">
        <f>IF(K27="CNY",0,(IFERROR((H27/AT22),0)))</f>
        <v>0</v>
      </c>
      <c r="AS22" s="683"/>
      <c r="AT22" s="19" t="e">
        <f>VLOOKUP(K27,'Exchange Rates'!C4:D16,2,FALSE)</f>
        <v>#N/A</v>
      </c>
      <c r="AV22" s="666" t="s">
        <v>33</v>
      </c>
      <c r="AW22" s="648"/>
      <c r="AX22" s="18">
        <f>IF(U27="CNY",0,(IFERROR((R27/AZ22),0)))</f>
        <v>0</v>
      </c>
      <c r="AY22" s="683"/>
      <c r="AZ22" s="19" t="e">
        <f>VLOOKUP(U27,'Exchange Rates'!C4:D16,2,FALSE)</f>
        <v>#N/A</v>
      </c>
      <c r="BA22" s="646" t="s">
        <v>32</v>
      </c>
      <c r="BC22" s="15">
        <f>SUM(AD23)+SUM(AD31)+(SUM(AD37)*80%)+(SUM(AK23)*80%)+(SUM(AX23+AR23)*0.8)+(SUM(AK31)*80%)+(SUM(AK37)*80%)</f>
        <v>0</v>
      </c>
      <c r="BD22" s="678"/>
      <c r="BG22" s="646" t="s">
        <v>92</v>
      </c>
      <c r="BH22" s="17">
        <f>K26</f>
        <v>0</v>
      </c>
      <c r="BI22" s="755">
        <f>H26*80%</f>
        <v>0</v>
      </c>
      <c r="BJ22" s="640"/>
      <c r="BK22" s="17">
        <f>K27</f>
        <v>0</v>
      </c>
      <c r="BL22" s="756">
        <f>H27*80%</f>
        <v>0</v>
      </c>
      <c r="BM22" s="640"/>
    </row>
    <row r="23" spans="1:126" ht="18" customHeight="1">
      <c r="B23" s="1362" t="s">
        <v>33</v>
      </c>
      <c r="C23" s="1357"/>
      <c r="D23" s="1365"/>
      <c r="E23" s="1463"/>
      <c r="F23" s="1096">
        <v>0</v>
      </c>
      <c r="G23" s="1365" t="str">
        <f t="shared" ref="G23" si="4">IF(ISBLANK(H23), "&lt;Local Currency&gt;", H23)</f>
        <v>&lt;Local Currency&gt;</v>
      </c>
      <c r="H23" s="1463"/>
      <c r="I23" s="1096"/>
      <c r="J23" s="1365" t="str">
        <f t="shared" ref="J23" si="5">IF(ISBLANK(K23), "&lt;Select&gt;", K23)</f>
        <v>&lt;Select&gt;</v>
      </c>
      <c r="K23" s="1471"/>
      <c r="L23" s="1364" t="s">
        <v>33</v>
      </c>
      <c r="M23" s="1360"/>
      <c r="N23" s="1365"/>
      <c r="O23" s="1463"/>
      <c r="P23" s="1096"/>
      <c r="Q23" s="1365"/>
      <c r="R23" s="1463"/>
      <c r="S23" s="1096"/>
      <c r="T23" s="1365" t="str">
        <f t="shared" ref="T23" si="6">IF(ISBLANK(U23), "&lt;Select&gt;", U23)</f>
        <v>&lt;Select&gt;</v>
      </c>
      <c r="U23" s="1473"/>
      <c r="AB23" s="666" t="s">
        <v>93</v>
      </c>
      <c r="AC23" s="648"/>
      <c r="AD23" s="18">
        <f>IF('Additional Borrowers'!K13="CNY",0,(IFERROR(('Additional Borrowers'!H13/AF23),0)))</f>
        <v>0</v>
      </c>
      <c r="AE23" s="683"/>
      <c r="AF23" s="19" t="e">
        <f>VLOOKUP('Additional Borrowers'!K13,'Exchange Rates'!C4:D16,2,FALSE)</f>
        <v>#N/A</v>
      </c>
      <c r="AG23" s="685"/>
      <c r="AH23" s="673"/>
      <c r="AI23" s="666" t="s">
        <v>93</v>
      </c>
      <c r="AJ23" s="648"/>
      <c r="AK23" s="18">
        <f>IF('Additional Borrowers'!U13="CNY",0,(IFERROR(('Additional Borrowers'!R13/AM23),0)))</f>
        <v>0</v>
      </c>
      <c r="AL23" s="683"/>
      <c r="AM23" s="19" t="e">
        <f>VLOOKUP('Additional Borrowers'!U13,'Exchange Rates'!C4:D16,2,FALSE)</f>
        <v>#N/A</v>
      </c>
      <c r="AN23" s="686"/>
      <c r="AO23" s="683"/>
      <c r="AP23" s="666" t="s">
        <v>93</v>
      </c>
      <c r="AQ23" s="648"/>
      <c r="AR23" s="18">
        <f>IF('Additional Borrowers'!K17="CNY",0,(IFERROR(('Additional Borrowers'!H17/AT23),0)))</f>
        <v>0</v>
      </c>
      <c r="AS23" s="683"/>
      <c r="AT23" s="19" t="e">
        <f>VLOOKUP('Additional Borrowers'!K17,'Exchange Rates'!C4:D16,2,FALSE)</f>
        <v>#N/A</v>
      </c>
      <c r="AV23" s="666" t="s">
        <v>93</v>
      </c>
      <c r="AW23" s="648"/>
      <c r="AX23" s="18">
        <f>IF('Additional Borrowers'!U17="CNY",0,(IFERROR(('Additional Borrowers'!R17/AZ23),0)))</f>
        <v>0</v>
      </c>
      <c r="AY23" s="683"/>
      <c r="AZ23" s="19" t="e">
        <f>VLOOKUP('Additional Borrowers'!U17,'Exchange Rates'!C4:D16,2,FALSE)</f>
        <v>#N/A</v>
      </c>
      <c r="BA23" s="646" t="s">
        <v>39</v>
      </c>
      <c r="BC23" s="15">
        <f>SUM(AD24)+SUM(AD32)+(SUM(AD38)*80%)+(SUM(AK24)*80%)+(SUM(AX24+AR24)*0.8)+(SUM(AK32)*80%)+(SUM(AK38)*80%)</f>
        <v>0</v>
      </c>
      <c r="BD23" s="687"/>
      <c r="BG23" s="646" t="s">
        <v>94</v>
      </c>
      <c r="BH23" s="17">
        <f>K31</f>
        <v>0</v>
      </c>
      <c r="BI23" s="755">
        <f>H31</f>
        <v>0</v>
      </c>
      <c r="BJ23" s="640"/>
      <c r="BK23" s="17">
        <f>K32</f>
        <v>0</v>
      </c>
      <c r="BL23" s="756">
        <f>H32</f>
        <v>0</v>
      </c>
      <c r="BM23" s="640"/>
    </row>
    <row r="24" spans="1:126" ht="15.5" thickBot="1">
      <c r="B24" s="1362"/>
      <c r="C24" s="1357"/>
      <c r="D24" s="1368"/>
      <c r="E24" s="1381"/>
      <c r="F24" s="1381"/>
      <c r="G24" s="1382"/>
      <c r="H24" s="1381"/>
      <c r="I24" s="1381"/>
      <c r="J24" s="1382"/>
      <c r="K24" s="1381"/>
      <c r="L24" s="1383"/>
      <c r="M24" s="1384"/>
      <c r="N24" s="1383"/>
      <c r="O24" s="1385"/>
      <c r="P24" s="1385"/>
      <c r="Q24" s="1386"/>
      <c r="R24" s="1385"/>
      <c r="S24" s="1385"/>
      <c r="T24" s="1386"/>
      <c r="U24" s="1387"/>
      <c r="AB24" s="666" t="s">
        <v>95</v>
      </c>
      <c r="AC24" s="648"/>
      <c r="AD24" s="18">
        <f>IF('Additional Borrowers'!K14="CNY",0,(IFERROR(('Additional Borrowers'!H14/AF24),0)))</f>
        <v>0</v>
      </c>
      <c r="AE24" s="683"/>
      <c r="AF24" s="19" t="e">
        <f>VLOOKUP('Additional Borrowers'!K14,'Exchange Rates'!C4:D16,2,FALSE)</f>
        <v>#N/A</v>
      </c>
      <c r="AG24" s="685"/>
      <c r="AH24" s="673"/>
      <c r="AI24" s="666" t="s">
        <v>95</v>
      </c>
      <c r="AJ24" s="648"/>
      <c r="AK24" s="18">
        <f>IF('Additional Borrowers'!U14="CNY",0,(IFERROR(('Additional Borrowers'!R14/AM24),0)))</f>
        <v>0</v>
      </c>
      <c r="AL24" s="683"/>
      <c r="AM24" s="19" t="e">
        <f>VLOOKUP('Additional Borrowers'!U14,'Exchange Rates'!C4:D16,2,FALSE)</f>
        <v>#N/A</v>
      </c>
      <c r="AN24" s="686"/>
      <c r="AO24" s="683"/>
      <c r="AP24" s="666" t="s">
        <v>95</v>
      </c>
      <c r="AQ24" s="648"/>
      <c r="AR24" s="18">
        <f>IF('Additional Borrowers'!K18="CNY",0,(IFERROR(('Additional Borrowers'!H18/AT24),0)))</f>
        <v>0</v>
      </c>
      <c r="AS24" s="683"/>
      <c r="AT24" s="19" t="e">
        <f>VLOOKUP('Additional Borrowers'!K18,'Exchange Rates'!C4:D16,2,FALSE)</f>
        <v>#N/A</v>
      </c>
      <c r="AV24" s="666" t="s">
        <v>95</v>
      </c>
      <c r="AW24" s="648"/>
      <c r="AX24" s="18">
        <f>IF('Additional Borrowers'!U18="CNY",0,(IFERROR(('Additional Borrowers'!R18/AZ24),0)))</f>
        <v>0</v>
      </c>
      <c r="AY24" s="683"/>
      <c r="AZ24" s="19" t="e">
        <f>VLOOKUP('Additional Borrowers'!U18,'Exchange Rates'!C4:D16,2,FALSE)</f>
        <v>#N/A</v>
      </c>
      <c r="BA24" s="688" t="s">
        <v>96</v>
      </c>
      <c r="BB24" s="23">
        <f>SUM(AP5:AP8)</f>
        <v>0</v>
      </c>
      <c r="BC24" s="24">
        <f>SUM(BC20:BC23)</f>
        <v>0</v>
      </c>
      <c r="BG24" s="646" t="s">
        <v>97</v>
      </c>
      <c r="BH24" s="17">
        <f>K36</f>
        <v>0</v>
      </c>
      <c r="BI24" s="755">
        <f>H36*80%</f>
        <v>0</v>
      </c>
      <c r="BJ24" s="640"/>
      <c r="BK24" s="17">
        <f>K37</f>
        <v>0</v>
      </c>
      <c r="BL24" s="756">
        <f>H37*80%</f>
        <v>0</v>
      </c>
      <c r="BM24" s="640"/>
    </row>
    <row r="25" spans="1:126" ht="16.5">
      <c r="B25" s="1356" t="s">
        <v>86</v>
      </c>
      <c r="C25" s="1377"/>
      <c r="D25" s="1378"/>
      <c r="E25" s="1478" t="s">
        <v>50</v>
      </c>
      <c r="F25" s="1379"/>
      <c r="G25" s="1379"/>
      <c r="H25" s="1478" t="s">
        <v>80</v>
      </c>
      <c r="I25" s="1379"/>
      <c r="J25" s="1379"/>
      <c r="K25" s="1478" t="s">
        <v>89</v>
      </c>
      <c r="L25" s="1359" t="s">
        <v>98</v>
      </c>
      <c r="M25" s="1380"/>
      <c r="N25" s="1377"/>
      <c r="O25" s="1478" t="s">
        <v>50</v>
      </c>
      <c r="P25" s="1379"/>
      <c r="Q25" s="1379"/>
      <c r="R25" s="1478" t="s">
        <v>80</v>
      </c>
      <c r="S25" s="1379"/>
      <c r="T25" s="1379"/>
      <c r="U25" s="1479" t="s">
        <v>89</v>
      </c>
      <c r="V25" s="651"/>
      <c r="AB25" s="689"/>
      <c r="AF25" s="690"/>
      <c r="AH25" s="673"/>
      <c r="AM25" s="690"/>
      <c r="AN25" s="690"/>
      <c r="BG25" s="646" t="s">
        <v>99</v>
      </c>
      <c r="BH25" s="756">
        <f>U22</f>
        <v>0</v>
      </c>
      <c r="BI25" s="756">
        <f>R22*80%</f>
        <v>0</v>
      </c>
      <c r="BJ25" s="640"/>
      <c r="BK25" s="17">
        <f>U23</f>
        <v>0</v>
      </c>
      <c r="BL25" s="17">
        <f>R23*80%</f>
        <v>0</v>
      </c>
      <c r="BM25" s="640"/>
    </row>
    <row r="26" spans="1:126">
      <c r="B26" s="1362" t="s">
        <v>90</v>
      </c>
      <c r="C26" s="1357"/>
      <c r="D26" s="1361" t="str">
        <f>IF(ISBLANK(E26), "&lt;AUD&gt;", E26)</f>
        <v>&lt;AUD&gt;</v>
      </c>
      <c r="E26" s="1471"/>
      <c r="F26" s="1096"/>
      <c r="G26" s="1361" t="str">
        <f>IF(ISBLANK(H26), "&lt;Local Currency&gt;", H26)</f>
        <v>&lt;Local Currency&gt;</v>
      </c>
      <c r="H26" s="1471"/>
      <c r="I26" s="1096"/>
      <c r="J26" s="1361" t="str">
        <f>IF(ISBLANK(K26), "&lt;Select&gt;", "")</f>
        <v>&lt;Select&gt;</v>
      </c>
      <c r="K26" s="1471"/>
      <c r="L26" s="1364" t="s">
        <v>90</v>
      </c>
      <c r="M26" s="1360"/>
      <c r="N26" s="1361" t="str">
        <f t="shared" ref="N26" si="7">IF(ISBLANK(O26), "&lt;AUD&gt;", O26)</f>
        <v>&lt;AUD&gt;</v>
      </c>
      <c r="O26" s="1471"/>
      <c r="P26" s="1096"/>
      <c r="Q26" s="1361" t="str">
        <f>IF(ISBLANK(R26), "&lt;Local Currency&gt;", R26)</f>
        <v>&lt;Local Currency&gt;</v>
      </c>
      <c r="R26" s="1471"/>
      <c r="S26" s="1096"/>
      <c r="T26" s="1361" t="str">
        <f>IF(ISBLANK(U26), "&lt;Select&gt;", "")</f>
        <v>&lt;Select&gt;</v>
      </c>
      <c r="U26" s="1473"/>
      <c r="AB26" s="689"/>
      <c r="AF26" s="690"/>
      <c r="AH26" s="673"/>
      <c r="AM26" s="690"/>
      <c r="AO26" s="673"/>
      <c r="BG26" s="646" t="s">
        <v>100</v>
      </c>
      <c r="BH26" s="17">
        <f>U26</f>
        <v>0</v>
      </c>
      <c r="BI26" s="12">
        <f>R26*80%</f>
        <v>0</v>
      </c>
      <c r="BJ26" s="640"/>
      <c r="BK26" s="17">
        <f>U27</f>
        <v>0</v>
      </c>
      <c r="BL26" s="17">
        <f>R27*80%</f>
        <v>0</v>
      </c>
      <c r="BM26" s="640"/>
    </row>
    <row r="27" spans="1:126">
      <c r="B27" s="1362" t="s">
        <v>33</v>
      </c>
      <c r="C27" s="1357"/>
      <c r="D27" s="1365"/>
      <c r="E27" s="1463"/>
      <c r="F27" s="1096"/>
      <c r="G27" s="1365"/>
      <c r="H27" s="1463"/>
      <c r="I27" s="1096"/>
      <c r="J27" s="1365" t="str">
        <f t="shared" ref="J27" si="8">IF(ISBLANK(K27), "&lt;Select&gt;", K27)</f>
        <v>&lt;Select&gt;</v>
      </c>
      <c r="K27" s="1471"/>
      <c r="L27" s="1364" t="s">
        <v>33</v>
      </c>
      <c r="M27" s="1360"/>
      <c r="N27" s="1365"/>
      <c r="O27" s="1463"/>
      <c r="P27" s="1096"/>
      <c r="Q27" s="1365"/>
      <c r="R27" s="1463"/>
      <c r="S27" s="1096"/>
      <c r="T27" s="1365" t="str">
        <f t="shared" ref="T27" si="9">IF(ISBLANK(U27), "&lt;Select&gt;", U27)</f>
        <v>&lt;Select&gt;</v>
      </c>
      <c r="U27" s="1473"/>
      <c r="AB27" s="689"/>
      <c r="AF27" s="690"/>
      <c r="AH27" s="673"/>
      <c r="AM27" s="690"/>
      <c r="AO27" s="673"/>
      <c r="BG27" s="646" t="s">
        <v>101</v>
      </c>
      <c r="BH27" s="17">
        <f>U31</f>
        <v>0</v>
      </c>
      <c r="BI27" s="12">
        <f>R31*80%</f>
        <v>0</v>
      </c>
      <c r="BJ27" s="640"/>
      <c r="BK27" s="17">
        <f>U32</f>
        <v>0</v>
      </c>
      <c r="BL27" s="17">
        <f>R32*80%</f>
        <v>0</v>
      </c>
      <c r="BM27" s="640"/>
    </row>
    <row r="28" spans="1:126" s="654" customFormat="1" ht="18" customHeight="1">
      <c r="A28" s="651"/>
      <c r="B28" s="1367"/>
      <c r="C28" s="1357"/>
      <c r="D28" s="1368"/>
      <c r="E28" s="1328"/>
      <c r="F28" s="1328"/>
      <c r="G28" s="1388"/>
      <c r="H28" s="1328"/>
      <c r="I28" s="1328"/>
      <c r="J28" s="1388"/>
      <c r="K28" s="1328"/>
      <c r="L28" s="1357"/>
      <c r="M28" s="1360"/>
      <c r="N28" s="1357"/>
      <c r="O28" s="1328"/>
      <c r="P28" s="1328"/>
      <c r="Q28" s="1388"/>
      <c r="R28" s="1328"/>
      <c r="S28" s="1328"/>
      <c r="T28" s="1388"/>
      <c r="U28" s="1389"/>
      <c r="V28" s="640"/>
      <c r="W28" s="691"/>
      <c r="X28" s="1068"/>
      <c r="Y28" s="687"/>
      <c r="Z28" s="673"/>
      <c r="AA28" s="646"/>
      <c r="AB28" s="679" t="s">
        <v>102</v>
      </c>
      <c r="AC28" s="692"/>
      <c r="AD28" s="692"/>
      <c r="AE28" s="692"/>
      <c r="AF28" s="693"/>
      <c r="AG28" s="687"/>
      <c r="AH28" s="678"/>
      <c r="AI28" s="679" t="s">
        <v>103</v>
      </c>
      <c r="AJ28" s="692"/>
      <c r="AK28" s="692"/>
      <c r="AL28" s="692"/>
      <c r="AM28" s="693"/>
      <c r="AN28" s="687"/>
      <c r="AO28" s="678"/>
      <c r="AP28" s="687"/>
      <c r="AQ28" s="687"/>
      <c r="AR28" s="687"/>
      <c r="AS28" s="687"/>
      <c r="AT28" s="687"/>
      <c r="AU28" s="691"/>
      <c r="AV28" s="691"/>
      <c r="AW28" s="691"/>
      <c r="AX28" s="645"/>
      <c r="AY28" s="646"/>
      <c r="AZ28" s="646"/>
      <c r="BA28" s="646"/>
      <c r="BB28" s="646"/>
      <c r="BC28" s="651"/>
      <c r="BD28" s="651"/>
      <c r="BE28" s="651"/>
      <c r="BF28" s="651"/>
      <c r="BG28" s="646" t="s">
        <v>104</v>
      </c>
      <c r="BH28" s="17">
        <f>U36</f>
        <v>0</v>
      </c>
      <c r="BI28" s="12">
        <f>R36*80%</f>
        <v>0</v>
      </c>
      <c r="BJ28" s="647"/>
      <c r="BK28" s="17">
        <f>U37</f>
        <v>0</v>
      </c>
      <c r="BL28" s="17">
        <f>R37*80%</f>
        <v>0</v>
      </c>
      <c r="BM28" s="647"/>
      <c r="BN28" s="651"/>
      <c r="BO28" s="651"/>
      <c r="BP28" s="651"/>
      <c r="BQ28" s="651"/>
      <c r="BR28" s="651"/>
      <c r="BS28" s="651"/>
      <c r="BT28" s="651"/>
      <c r="BU28" s="651"/>
      <c r="BV28" s="651"/>
      <c r="BW28" s="651"/>
      <c r="BX28" s="651"/>
      <c r="BY28" s="651"/>
      <c r="BZ28" s="651"/>
      <c r="CA28" s="651"/>
      <c r="CB28" s="651"/>
      <c r="CC28" s="651"/>
      <c r="CD28" s="651"/>
      <c r="CE28" s="651"/>
      <c r="CF28" s="651"/>
      <c r="CG28" s="651"/>
      <c r="CH28" s="651"/>
      <c r="CI28" s="651"/>
      <c r="CJ28" s="651"/>
      <c r="CK28" s="651"/>
      <c r="CL28" s="651"/>
      <c r="CM28" s="651"/>
      <c r="CN28" s="651"/>
      <c r="CO28" s="651"/>
      <c r="CP28" s="651"/>
      <c r="CQ28" s="651"/>
      <c r="CR28" s="651"/>
      <c r="CS28" s="651"/>
      <c r="CT28" s="651"/>
      <c r="CU28" s="651"/>
      <c r="CV28" s="651"/>
      <c r="CW28" s="651"/>
      <c r="CX28" s="651"/>
      <c r="CY28" s="651"/>
      <c r="CZ28" s="651"/>
      <c r="DA28" s="651"/>
      <c r="DB28" s="651"/>
      <c r="DC28" s="651"/>
      <c r="DD28" s="651"/>
      <c r="DE28" s="651"/>
      <c r="DF28" s="651"/>
      <c r="DG28" s="651"/>
      <c r="DH28" s="651"/>
      <c r="DI28" s="651"/>
      <c r="DJ28" s="651"/>
      <c r="DK28" s="651"/>
      <c r="DL28" s="651"/>
      <c r="DM28" s="651"/>
      <c r="DN28" s="651"/>
      <c r="DO28" s="651"/>
      <c r="DP28" s="651"/>
      <c r="DQ28" s="651"/>
      <c r="DR28" s="651"/>
      <c r="DS28" s="651"/>
      <c r="DT28" s="651"/>
      <c r="DU28" s="651"/>
      <c r="DV28" s="651"/>
    </row>
    <row r="29" spans="1:126" s="682" customFormat="1" ht="16.5">
      <c r="A29" s="676"/>
      <c r="B29" s="1405" t="s">
        <v>105</v>
      </c>
      <c r="C29" s="1412"/>
      <c r="D29" s="1407"/>
      <c r="E29" s="1413"/>
      <c r="F29" s="1413"/>
      <c r="G29" s="1417"/>
      <c r="H29" s="1413"/>
      <c r="I29" s="1413"/>
      <c r="J29" s="1417"/>
      <c r="K29" s="1414"/>
      <c r="L29" s="1412"/>
      <c r="M29" s="1415"/>
      <c r="N29" s="1412"/>
      <c r="O29" s="1413"/>
      <c r="P29" s="1413"/>
      <c r="Q29" s="1417"/>
      <c r="R29" s="1413"/>
      <c r="S29" s="1413"/>
      <c r="T29" s="1417"/>
      <c r="U29" s="1416"/>
      <c r="V29" s="651"/>
      <c r="W29" s="645"/>
      <c r="X29" s="1066"/>
      <c r="Y29" s="646"/>
      <c r="Z29" s="673"/>
      <c r="AA29" s="646"/>
      <c r="AB29" s="666" t="s">
        <v>90</v>
      </c>
      <c r="AC29" s="648"/>
      <c r="AD29" s="18">
        <f>IF(K31="CNY",0,(IFERROR((H31/AF29),0)))</f>
        <v>0</v>
      </c>
      <c r="AE29" s="683"/>
      <c r="AF29" s="19" t="e">
        <f>VLOOKUP(K31,'Exchange Rates'!C4:D16,2,FALSE)</f>
        <v>#N/A</v>
      </c>
      <c r="AG29" s="685"/>
      <c r="AH29" s="673"/>
      <c r="AI29" s="666" t="s">
        <v>90</v>
      </c>
      <c r="AJ29" s="648"/>
      <c r="AK29" s="18">
        <f>IF(U31="CNY",0,(IFERROR((R31/AM29),0)))</f>
        <v>0</v>
      </c>
      <c r="AL29" s="683"/>
      <c r="AM29" s="19" t="e">
        <f>VLOOKUP(U31,'Exchange Rates'!C4:D16,2,FALSE)</f>
        <v>#N/A</v>
      </c>
      <c r="AN29" s="685"/>
      <c r="AO29" s="673"/>
      <c r="AP29" s="646"/>
      <c r="AQ29" s="646"/>
      <c r="AR29" s="646"/>
      <c r="AS29" s="646"/>
      <c r="AT29" s="646"/>
      <c r="AU29" s="645"/>
      <c r="AV29" s="645"/>
      <c r="AW29" s="645"/>
      <c r="AX29" s="645"/>
      <c r="AY29" s="646"/>
      <c r="AZ29" s="646"/>
      <c r="BA29" s="646"/>
      <c r="BB29" s="646"/>
      <c r="BC29" s="676"/>
      <c r="BD29" s="676"/>
      <c r="BE29" s="676"/>
      <c r="BF29" s="676"/>
      <c r="BG29" s="646"/>
      <c r="BH29" s="676" t="s">
        <v>106</v>
      </c>
      <c r="BI29" s="676"/>
      <c r="BJ29" s="647"/>
      <c r="BK29" s="676" t="s">
        <v>106</v>
      </c>
      <c r="BL29" s="676"/>
      <c r="BM29" s="647"/>
      <c r="BN29" s="676"/>
      <c r="BO29" s="676"/>
      <c r="BP29" s="676"/>
      <c r="BQ29" s="676"/>
      <c r="BR29" s="676"/>
      <c r="BS29" s="676"/>
      <c r="BT29" s="676"/>
      <c r="BU29" s="676"/>
      <c r="BV29" s="676"/>
      <c r="BW29" s="676"/>
      <c r="BX29" s="676"/>
      <c r="BY29" s="676"/>
      <c r="BZ29" s="676"/>
      <c r="CA29" s="676"/>
      <c r="CB29" s="676"/>
      <c r="CC29" s="676"/>
      <c r="CD29" s="676"/>
      <c r="CE29" s="676"/>
      <c r="CF29" s="676"/>
      <c r="CG29" s="676"/>
      <c r="CH29" s="676"/>
      <c r="CI29" s="676"/>
      <c r="CJ29" s="676"/>
      <c r="CK29" s="676"/>
      <c r="CL29" s="676"/>
      <c r="CM29" s="676"/>
      <c r="CN29" s="676"/>
      <c r="CO29" s="676"/>
      <c r="CP29" s="676"/>
      <c r="CQ29" s="676"/>
      <c r="CR29" s="676"/>
      <c r="CS29" s="676"/>
      <c r="CT29" s="676"/>
      <c r="CU29" s="676"/>
      <c r="CV29" s="676"/>
      <c r="CW29" s="676"/>
      <c r="CX29" s="676"/>
      <c r="CY29" s="676"/>
      <c r="CZ29" s="676"/>
      <c r="DA29" s="676"/>
      <c r="DB29" s="676"/>
      <c r="DC29" s="676"/>
      <c r="DD29" s="676"/>
      <c r="DE29" s="676"/>
      <c r="DF29" s="676"/>
      <c r="DG29" s="676"/>
      <c r="DH29" s="676"/>
      <c r="DI29" s="676"/>
      <c r="DJ29" s="676"/>
      <c r="DK29" s="676"/>
      <c r="DL29" s="676"/>
      <c r="DM29" s="676"/>
      <c r="DN29" s="676"/>
      <c r="DO29" s="676"/>
      <c r="DP29" s="676"/>
      <c r="DQ29" s="676"/>
      <c r="DR29" s="676"/>
      <c r="DS29" s="676"/>
      <c r="DT29" s="676"/>
      <c r="DU29" s="676"/>
      <c r="DV29" s="676"/>
    </row>
    <row r="30" spans="1:126">
      <c r="B30" s="1356" t="s">
        <v>107</v>
      </c>
      <c r="C30" s="1377"/>
      <c r="D30" s="1378"/>
      <c r="E30" s="1478" t="s">
        <v>50</v>
      </c>
      <c r="F30" s="1379"/>
      <c r="G30" s="1379"/>
      <c r="H30" s="1478" t="s">
        <v>80</v>
      </c>
      <c r="I30" s="1379"/>
      <c r="J30" s="1379"/>
      <c r="K30" s="1478" t="s">
        <v>89</v>
      </c>
      <c r="L30" s="1359" t="s">
        <v>108</v>
      </c>
      <c r="M30" s="1380"/>
      <c r="N30" s="1377"/>
      <c r="O30" s="1478" t="s">
        <v>50</v>
      </c>
      <c r="P30" s="1379"/>
      <c r="Q30" s="1379"/>
      <c r="R30" s="1478" t="s">
        <v>80</v>
      </c>
      <c r="S30" s="1379"/>
      <c r="T30" s="1379"/>
      <c r="U30" s="1479" t="s">
        <v>89</v>
      </c>
      <c r="Z30" s="790">
        <f>SUM(AD29:AD32)+(SUM(AK29:AK32)*0.8)</f>
        <v>0</v>
      </c>
      <c r="AA30" s="687"/>
      <c r="AB30" s="666" t="s">
        <v>33</v>
      </c>
      <c r="AC30" s="648"/>
      <c r="AD30" s="18">
        <f>IF(K32="CNY",0,(IFERROR((H32/AF30),0)))</f>
        <v>0</v>
      </c>
      <c r="AE30" s="683"/>
      <c r="AF30" s="19" t="e">
        <f>VLOOKUP(K32,'Exchange Rates'!C4:D16,2,FALSE)</f>
        <v>#N/A</v>
      </c>
      <c r="AG30" s="685"/>
      <c r="AH30" s="673"/>
      <c r="AI30" s="666" t="s">
        <v>33</v>
      </c>
      <c r="AJ30" s="648"/>
      <c r="AK30" s="18">
        <f>IF(U32="CNY",0,(IFERROR((R32/AM30),0)))</f>
        <v>0</v>
      </c>
      <c r="AL30" s="683"/>
      <c r="AM30" s="19" t="e">
        <f>VLOOKUP(U32,'Exchange Rates'!C4:D16,2,FALSE)</f>
        <v>#N/A</v>
      </c>
      <c r="AN30" s="685"/>
      <c r="AO30" s="673"/>
      <c r="AX30" s="691"/>
      <c r="AY30" s="687"/>
      <c r="AZ30" s="687"/>
      <c r="BH30" s="646" t="s">
        <v>109</v>
      </c>
      <c r="BI30" s="35">
        <f>SUMIF($BH$21:$BH$28,BH30,$BI$21:$BI$28)</f>
        <v>0</v>
      </c>
      <c r="BK30" s="646" t="s">
        <v>109</v>
      </c>
      <c r="BL30" s="35">
        <f>SUMIF($BK$21:$BK$28,BK30,$BL$21:$BL$28)</f>
        <v>0</v>
      </c>
    </row>
    <row r="31" spans="1:126">
      <c r="B31" s="1362" t="s">
        <v>90</v>
      </c>
      <c r="C31" s="1357"/>
      <c r="D31" s="1361" t="str">
        <f>IF(ISBLANK(E31), "&lt;AUD&gt;", E31)</f>
        <v>&lt;AUD&gt;</v>
      </c>
      <c r="E31" s="1471"/>
      <c r="F31" s="1096"/>
      <c r="G31" s="1361" t="str">
        <f>IF(ISBLANK(H31), "&lt;Local Currency&gt;", H31)</f>
        <v>&lt;Local Currency&gt;</v>
      </c>
      <c r="H31" s="1471"/>
      <c r="I31" s="1096"/>
      <c r="J31" s="1361" t="str">
        <f>IF(ISBLANK(K31), "&lt;Select&gt;", "")</f>
        <v>&lt;Select&gt;</v>
      </c>
      <c r="K31" s="1471"/>
      <c r="L31" s="1364" t="s">
        <v>90</v>
      </c>
      <c r="M31" s="1360"/>
      <c r="N31" s="1361" t="str">
        <f t="shared" ref="N31" si="10">IF(ISBLANK(O31), "&lt;AUD&gt;", O31)</f>
        <v>&lt;AUD&gt;</v>
      </c>
      <c r="O31" s="1471"/>
      <c r="P31" s="1096"/>
      <c r="Q31" s="1361" t="str">
        <f>IF(ISBLANK(R31), "&lt;Local Currency&gt;", R31)</f>
        <v>&lt;Local Currency&gt;</v>
      </c>
      <c r="R31" s="1471"/>
      <c r="S31" s="1096"/>
      <c r="T31" s="1361" t="str">
        <f>IF(ISBLANK(U31), "&lt;Select&gt;", "")</f>
        <v>&lt;Select&gt;</v>
      </c>
      <c r="U31" s="1473"/>
      <c r="AB31" s="666" t="s">
        <v>93</v>
      </c>
      <c r="AC31" s="648"/>
      <c r="AD31" s="18">
        <f>IF('Additional Borrowers'!K22="CNY",0,(IFERROR(('Additional Borrowers'!H22/AF31),0)))</f>
        <v>0</v>
      </c>
      <c r="AE31" s="683"/>
      <c r="AF31" s="19" t="e">
        <f>VLOOKUP('Additional Borrowers'!K22,'Exchange Rates'!C4:D16,2,FALSE)</f>
        <v>#N/A</v>
      </c>
      <c r="AG31" s="685"/>
      <c r="AH31" s="673"/>
      <c r="AI31" s="666" t="s">
        <v>93</v>
      </c>
      <c r="AJ31" s="648"/>
      <c r="AK31" s="18">
        <f>IF('Additional Borrowers'!U22="CNY",0,(IFERROR(('Additional Borrowers'!R22/AM31),0)))</f>
        <v>0</v>
      </c>
      <c r="AL31" s="683"/>
      <c r="AM31" s="19" t="e">
        <f>VLOOKUP('Additional Borrowers'!U22,'Exchange Rates'!C4:D16,2,FALSE)</f>
        <v>#N/A</v>
      </c>
      <c r="AN31" s="685"/>
      <c r="AO31" s="673"/>
      <c r="BA31" s="687"/>
      <c r="BB31" s="687"/>
      <c r="BC31" s="687"/>
      <c r="BD31" s="687"/>
      <c r="BH31" s="12">
        <f>'Exchange Rates'!D5</f>
        <v>4.5226600000000001</v>
      </c>
      <c r="BJ31" s="695"/>
      <c r="BK31" s="12">
        <f>'Exchange Rates'!D5</f>
        <v>4.5226600000000001</v>
      </c>
    </row>
    <row r="32" spans="1:126">
      <c r="B32" s="1362" t="s">
        <v>33</v>
      </c>
      <c r="C32" s="1357"/>
      <c r="D32" s="1365"/>
      <c r="E32" s="1463"/>
      <c r="F32" s="1096"/>
      <c r="G32" s="1365"/>
      <c r="H32" s="1463"/>
      <c r="I32" s="1096"/>
      <c r="J32" s="1365"/>
      <c r="K32" s="1463"/>
      <c r="L32" s="1364" t="s">
        <v>33</v>
      </c>
      <c r="M32" s="1360"/>
      <c r="N32" s="1365"/>
      <c r="O32" s="1463"/>
      <c r="P32" s="1096"/>
      <c r="Q32" s="1365"/>
      <c r="R32" s="1463"/>
      <c r="S32" s="1096"/>
      <c r="T32" s="1365" t="str">
        <f t="shared" ref="T32" si="11">IF(ISBLANK(U32), "&lt;Select&gt;", U32)</f>
        <v>&lt;Select&gt;</v>
      </c>
      <c r="U32" s="1473"/>
      <c r="AB32" s="666" t="s">
        <v>95</v>
      </c>
      <c r="AC32" s="648"/>
      <c r="AD32" s="18">
        <f>IF('Additional Borrowers'!K23="CNY",0,(IFERROR(('Additional Borrowers'!H23/AF32),0)))</f>
        <v>0</v>
      </c>
      <c r="AE32" s="683"/>
      <c r="AF32" s="19" t="e">
        <f>VLOOKUP('Additional Borrowers'!K23,'Exchange Rates'!C4:D16,2,FALSE)</f>
        <v>#N/A</v>
      </c>
      <c r="AG32" s="685"/>
      <c r="AH32" s="673"/>
      <c r="AI32" s="666" t="s">
        <v>95</v>
      </c>
      <c r="AJ32" s="648"/>
      <c r="AK32" s="18">
        <f>IF('Additional Borrowers'!U23="CNY",0,(IFERROR(('Additional Borrowers'!R23/AM32),0)))</f>
        <v>0</v>
      </c>
      <c r="AL32" s="683"/>
      <c r="AM32" s="19" t="e">
        <f>VLOOKUP('Additional Borrowers'!U23,'Exchange Rates'!C4:D16,2,FALSE)</f>
        <v>#N/A</v>
      </c>
      <c r="AN32" s="685"/>
      <c r="AO32" s="673"/>
      <c r="BH32" s="646" t="s">
        <v>84</v>
      </c>
      <c r="BI32" s="17">
        <f>BI30/BH31</f>
        <v>0</v>
      </c>
      <c r="BK32" s="646" t="s">
        <v>84</v>
      </c>
      <c r="BL32" s="17">
        <f>BL30/BK31</f>
        <v>0</v>
      </c>
    </row>
    <row r="33" spans="1:126" s="654" customFormat="1" ht="18" customHeight="1">
      <c r="A33" s="651"/>
      <c r="B33" s="1362"/>
      <c r="C33" s="1357"/>
      <c r="D33" s="1365"/>
      <c r="E33" s="1096"/>
      <c r="F33" s="1096"/>
      <c r="G33" s="1097"/>
      <c r="H33" s="1096"/>
      <c r="I33" s="1096"/>
      <c r="J33" s="1097"/>
      <c r="K33" s="1330"/>
      <c r="L33" s="1364"/>
      <c r="M33" s="1360"/>
      <c r="N33" s="1357"/>
      <c r="O33" s="1096"/>
      <c r="P33" s="1096"/>
      <c r="Q33" s="1097"/>
      <c r="R33" s="1096"/>
      <c r="S33" s="1096"/>
      <c r="T33" s="1097"/>
      <c r="U33" s="1369"/>
      <c r="V33" s="640"/>
      <c r="W33" s="645"/>
      <c r="X33" s="1066"/>
      <c r="Y33" s="646"/>
      <c r="Z33" s="673"/>
      <c r="AA33" s="646"/>
      <c r="AB33" s="689"/>
      <c r="AC33" s="646"/>
      <c r="AD33" s="685"/>
      <c r="AE33" s="685"/>
      <c r="AF33" s="686"/>
      <c r="AG33" s="685"/>
      <c r="AH33" s="673"/>
      <c r="AI33" s="646"/>
      <c r="AJ33" s="646"/>
      <c r="AK33" s="646"/>
      <c r="AL33" s="646"/>
      <c r="AM33" s="673"/>
      <c r="AN33" s="685"/>
      <c r="AO33" s="673"/>
      <c r="AP33" s="646"/>
      <c r="AQ33" s="646"/>
      <c r="AR33" s="646"/>
      <c r="AS33" s="646"/>
      <c r="AT33" s="646"/>
      <c r="AU33" s="645"/>
      <c r="AV33" s="645"/>
      <c r="AW33" s="645"/>
      <c r="AX33" s="645"/>
      <c r="AY33" s="646"/>
      <c r="AZ33" s="646"/>
      <c r="BA33" s="646"/>
      <c r="BB33" s="646"/>
      <c r="BC33" s="646"/>
      <c r="BD33" s="646"/>
      <c r="BE33" s="651"/>
      <c r="BF33" s="651"/>
      <c r="BG33" s="646"/>
      <c r="BH33" s="651"/>
      <c r="BI33" s="651"/>
      <c r="BJ33" s="647"/>
      <c r="BK33" s="647"/>
      <c r="BL33" s="647"/>
      <c r="BM33" s="647"/>
      <c r="BN33" s="651"/>
      <c r="BO33" s="651"/>
      <c r="BP33" s="651"/>
      <c r="BQ33" s="651"/>
      <c r="BR33" s="651"/>
      <c r="BS33" s="651"/>
      <c r="BT33" s="651"/>
      <c r="BU33" s="651"/>
      <c r="BV33" s="651"/>
      <c r="BW33" s="651"/>
      <c r="BX33" s="651"/>
      <c r="BY33" s="651"/>
      <c r="BZ33" s="651"/>
      <c r="CA33" s="651"/>
      <c r="CB33" s="651"/>
      <c r="CC33" s="651"/>
      <c r="CD33" s="651"/>
      <c r="CE33" s="651"/>
      <c r="CF33" s="651"/>
      <c r="CG33" s="651"/>
      <c r="CH33" s="651"/>
      <c r="CI33" s="651"/>
      <c r="CJ33" s="651"/>
      <c r="CK33" s="651"/>
      <c r="CL33" s="651"/>
      <c r="CM33" s="651"/>
      <c r="CN33" s="651"/>
      <c r="CO33" s="651"/>
      <c r="CP33" s="651"/>
      <c r="CQ33" s="651"/>
      <c r="CR33" s="651"/>
      <c r="CS33" s="651"/>
      <c r="CT33" s="651"/>
      <c r="CU33" s="651"/>
      <c r="CV33" s="651"/>
      <c r="CW33" s="651"/>
      <c r="CX33" s="651"/>
      <c r="CY33" s="651"/>
      <c r="CZ33" s="651"/>
      <c r="DA33" s="651"/>
      <c r="DB33" s="651"/>
      <c r="DC33" s="651"/>
      <c r="DD33" s="651"/>
      <c r="DE33" s="651"/>
      <c r="DF33" s="651"/>
      <c r="DG33" s="651"/>
      <c r="DH33" s="651"/>
      <c r="DI33" s="651"/>
      <c r="DJ33" s="651"/>
      <c r="DK33" s="651"/>
      <c r="DL33" s="651"/>
      <c r="DM33" s="651"/>
      <c r="DN33" s="651"/>
      <c r="DO33" s="651"/>
      <c r="DP33" s="651"/>
      <c r="DQ33" s="651"/>
      <c r="DR33" s="651"/>
      <c r="DS33" s="651"/>
      <c r="DT33" s="651"/>
      <c r="DU33" s="651"/>
      <c r="DV33" s="651"/>
    </row>
    <row r="34" spans="1:126" ht="16.5">
      <c r="B34" s="1405" t="s">
        <v>110</v>
      </c>
      <c r="C34" s="1412"/>
      <c r="D34" s="1407"/>
      <c r="E34" s="1413"/>
      <c r="F34" s="1413"/>
      <c r="G34" s="1417"/>
      <c r="H34" s="1413"/>
      <c r="I34" s="1413"/>
      <c r="J34" s="1417"/>
      <c r="K34" s="1414"/>
      <c r="L34" s="1412"/>
      <c r="M34" s="1415"/>
      <c r="N34" s="1412"/>
      <c r="O34" s="1413"/>
      <c r="P34" s="1413"/>
      <c r="Q34" s="1417"/>
      <c r="R34" s="1413"/>
      <c r="S34" s="1413"/>
      <c r="T34" s="1417"/>
      <c r="U34" s="1416"/>
      <c r="AB34" s="679" t="s">
        <v>111</v>
      </c>
      <c r="AC34" s="692"/>
      <c r="AD34" s="692"/>
      <c r="AE34" s="692"/>
      <c r="AF34" s="693"/>
      <c r="AG34" s="687"/>
      <c r="AH34" s="678"/>
      <c r="AI34" s="679" t="s">
        <v>112</v>
      </c>
      <c r="AJ34" s="692"/>
      <c r="AK34" s="692"/>
      <c r="AL34" s="692"/>
      <c r="AM34" s="693"/>
      <c r="AN34" s="687"/>
      <c r="AO34" s="678"/>
      <c r="BE34" s="651"/>
      <c r="BH34" s="1113" t="s">
        <v>113</v>
      </c>
      <c r="BI34" s="1113"/>
      <c r="BJ34" s="1113"/>
      <c r="BK34" s="1113"/>
      <c r="BL34" s="1113"/>
    </row>
    <row r="35" spans="1:126" ht="16.5">
      <c r="B35" s="1356" t="s">
        <v>111</v>
      </c>
      <c r="C35" s="1377"/>
      <c r="D35" s="1378"/>
      <c r="E35" s="1478" t="s">
        <v>50</v>
      </c>
      <c r="F35" s="1379"/>
      <c r="G35" s="1379"/>
      <c r="H35" s="1478" t="s">
        <v>80</v>
      </c>
      <c r="I35" s="1379"/>
      <c r="J35" s="1379"/>
      <c r="K35" s="1478" t="s">
        <v>89</v>
      </c>
      <c r="L35" s="1359" t="s">
        <v>114</v>
      </c>
      <c r="M35" s="1380"/>
      <c r="N35" s="1377"/>
      <c r="O35" s="1478" t="s">
        <v>50</v>
      </c>
      <c r="P35" s="1379"/>
      <c r="Q35" s="1379"/>
      <c r="R35" s="1478" t="s">
        <v>80</v>
      </c>
      <c r="S35" s="1379"/>
      <c r="T35" s="1379"/>
      <c r="U35" s="1479" t="s">
        <v>89</v>
      </c>
      <c r="V35" s="651"/>
      <c r="AB35" s="666" t="s">
        <v>90</v>
      </c>
      <c r="AC35" s="648"/>
      <c r="AD35" s="18">
        <f>IF(K36="CNY",0,(IFERROR((H36/AF35),0)))</f>
        <v>0</v>
      </c>
      <c r="AE35" s="683"/>
      <c r="AF35" s="19" t="e">
        <f>VLOOKUP(K36,'Exchange Rates'!C4:D16,2,FALSE)</f>
        <v>#N/A</v>
      </c>
      <c r="AG35" s="685"/>
      <c r="AH35" s="673"/>
      <c r="AI35" s="666" t="s">
        <v>90</v>
      </c>
      <c r="AJ35" s="648"/>
      <c r="AK35" s="18">
        <f>IF(U36="CNY",0,(IFERROR((R36/AM35),0)))</f>
        <v>0</v>
      </c>
      <c r="AL35" s="683"/>
      <c r="AM35" s="19" t="e">
        <f>VLOOKUP(U36,'Exchange Rates'!C4:D16,2,FALSE)</f>
        <v>#N/A</v>
      </c>
      <c r="AN35" s="685"/>
      <c r="AO35" s="673"/>
      <c r="BE35" s="676"/>
      <c r="BH35" s="646" t="s">
        <v>6</v>
      </c>
      <c r="BI35" s="647" t="s">
        <v>34</v>
      </c>
      <c r="BK35" s="695" t="s">
        <v>49</v>
      </c>
      <c r="BL35" s="695"/>
    </row>
    <row r="36" spans="1:126">
      <c r="B36" s="1362" t="s">
        <v>90</v>
      </c>
      <c r="C36" s="1357"/>
      <c r="D36" s="1361" t="str">
        <f>IF(ISBLANK(E36), "&lt;Gross, AUD&gt;", E36)</f>
        <v>&lt;Gross, AUD&gt;</v>
      </c>
      <c r="E36" s="1471"/>
      <c r="F36" s="1096"/>
      <c r="G36" s="1361" t="str">
        <f>IF(ISBLANK(H36), "&lt;Nett, Local Currency&gt;", H36)</f>
        <v>&lt;Nett, Local Currency&gt;</v>
      </c>
      <c r="H36" s="1471"/>
      <c r="I36" s="1096"/>
      <c r="J36" s="1361" t="str">
        <f>IF(ISBLANK(K36), "&lt;Select&gt;","")</f>
        <v>&lt;Select&gt;</v>
      </c>
      <c r="K36" s="1471"/>
      <c r="L36" s="1364" t="s">
        <v>90</v>
      </c>
      <c r="M36" s="1360"/>
      <c r="N36" s="1361" t="str">
        <f t="shared" ref="N36" si="12">IF(ISBLANK(O36), "&lt;AUD&gt;", O36)</f>
        <v>&lt;AUD&gt;</v>
      </c>
      <c r="O36" s="1471"/>
      <c r="P36" s="1096"/>
      <c r="Q36" s="1361" t="str">
        <f>IF(ISBLANK(R36), "&lt;Local Currency&gt;", R36)</f>
        <v>&lt;Local Currency&gt;</v>
      </c>
      <c r="R36" s="1471"/>
      <c r="S36" s="1096"/>
      <c r="T36" s="1361" t="str">
        <f>IF(ISBLANK(U36), "&lt;Select&gt;", "")</f>
        <v>&lt;Select&gt;</v>
      </c>
      <c r="U36" s="1473"/>
      <c r="V36" s="696"/>
      <c r="Z36" s="792">
        <f>(SUM(AD35:AD38)+SUM(AK35:AK38)*0.8)</f>
        <v>0</v>
      </c>
      <c r="AB36" s="666" t="s">
        <v>33</v>
      </c>
      <c r="AC36" s="648"/>
      <c r="AD36" s="18">
        <f>IF(K37="CNY",0,(IFERROR((H37/AF36),0)))</f>
        <v>0</v>
      </c>
      <c r="AE36" s="683"/>
      <c r="AF36" s="19" t="e">
        <f>VLOOKUP(K37,'Exchange Rates'!C4:D16,2,FALSE)</f>
        <v>#N/A</v>
      </c>
      <c r="AG36" s="685"/>
      <c r="AH36" s="673"/>
      <c r="AI36" s="666" t="s">
        <v>33</v>
      </c>
      <c r="AJ36" s="648"/>
      <c r="AK36" s="18">
        <f>IF(U37="CNY",0,(IFERROR((R37/AM36),0)))</f>
        <v>0</v>
      </c>
      <c r="AL36" s="683"/>
      <c r="AM36" s="19" t="e">
        <f>VLOOKUP(U37,'Exchange Rates'!C4:D16,2,FALSE)</f>
        <v>#N/A</v>
      </c>
      <c r="AN36" s="685"/>
      <c r="AO36" s="673"/>
      <c r="BE36" s="697"/>
      <c r="BF36" s="757"/>
      <c r="BG36" s="646" t="s">
        <v>115</v>
      </c>
      <c r="BH36" s="17">
        <f>K42</f>
        <v>0</v>
      </c>
      <c r="BI36" s="17">
        <f>AF41*125%</f>
        <v>0</v>
      </c>
      <c r="BK36" s="37">
        <f>K56</f>
        <v>0</v>
      </c>
      <c r="BL36" s="36">
        <f>H56</f>
        <v>0</v>
      </c>
      <c r="BM36" s="695"/>
    </row>
    <row r="37" spans="1:126">
      <c r="B37" s="1362" t="s">
        <v>33</v>
      </c>
      <c r="C37" s="1357"/>
      <c r="D37" s="1365"/>
      <c r="E37" s="1463"/>
      <c r="F37" s="1096"/>
      <c r="G37" s="1365"/>
      <c r="H37" s="1463"/>
      <c r="I37" s="1096"/>
      <c r="J37" s="1365"/>
      <c r="K37" s="1463"/>
      <c r="L37" s="1364" t="s">
        <v>33</v>
      </c>
      <c r="M37" s="1360"/>
      <c r="N37" s="1365"/>
      <c r="O37" s="1463"/>
      <c r="P37" s="1096"/>
      <c r="Q37" s="1365"/>
      <c r="R37" s="1463"/>
      <c r="S37" s="1096"/>
      <c r="T37" s="1365" t="str">
        <f t="shared" ref="T37" si="13">IF(ISBLANK(U37), "&lt;Select&gt;", U37)</f>
        <v>&lt;Select&gt;</v>
      </c>
      <c r="U37" s="1473"/>
      <c r="AB37" s="666" t="s">
        <v>93</v>
      </c>
      <c r="AC37" s="648"/>
      <c r="AD37" s="18">
        <f>IF('Additional Borrowers'!K27="CNY",0,(IFERROR(('Additional Borrowers'!H27/AF37),0)))</f>
        <v>0</v>
      </c>
      <c r="AE37" s="683"/>
      <c r="AF37" s="19" t="e">
        <f>VLOOKUP('Additional Borrowers'!K27,'Exchange Rates'!C4:D16,2,FALSE)</f>
        <v>#N/A</v>
      </c>
      <c r="AG37" s="685"/>
      <c r="AH37" s="673"/>
      <c r="AI37" s="666" t="s">
        <v>93</v>
      </c>
      <c r="AJ37" s="648"/>
      <c r="AK37" s="18">
        <f>IF('Additional Borrowers'!U27="CNY",0,(IFERROR(('Additional Borrowers'!R27/AM37),0)))</f>
        <v>0</v>
      </c>
      <c r="AL37" s="683"/>
      <c r="AM37" s="19" t="e">
        <f>VLOOKUP('Additional Borrowers'!U27,'Exchange Rates'!C4:D16,2,FALSE)</f>
        <v>#N/A</v>
      </c>
      <c r="AN37" s="685"/>
      <c r="AO37" s="673"/>
      <c r="BG37" s="646" t="s">
        <v>116</v>
      </c>
      <c r="BH37" s="17">
        <f>U42</f>
        <v>0</v>
      </c>
      <c r="BI37" s="17">
        <f>AF42*125%</f>
        <v>0</v>
      </c>
      <c r="BK37" s="37">
        <f>K57</f>
        <v>0</v>
      </c>
      <c r="BL37" s="36">
        <f>H57</f>
        <v>0</v>
      </c>
    </row>
    <row r="38" spans="1:126">
      <c r="B38" s="1362"/>
      <c r="C38" s="1357"/>
      <c r="D38" s="1368"/>
      <c r="E38" s="1096"/>
      <c r="F38" s="1096"/>
      <c r="G38" s="1097"/>
      <c r="H38" s="1096"/>
      <c r="I38" s="1096"/>
      <c r="J38" s="1097"/>
      <c r="K38" s="1330"/>
      <c r="L38" s="1364"/>
      <c r="M38" s="1360"/>
      <c r="N38" s="1357"/>
      <c r="O38" s="1096"/>
      <c r="P38" s="1096"/>
      <c r="Q38" s="1097"/>
      <c r="R38" s="1096"/>
      <c r="S38" s="1096"/>
      <c r="T38" s="1097"/>
      <c r="U38" s="1369"/>
      <c r="AB38" s="666" t="s">
        <v>95</v>
      </c>
      <c r="AC38" s="648"/>
      <c r="AD38" s="18">
        <f>IF('Additional Borrowers'!K28="CNY",0,(IFERROR(('Additional Borrowers'!H28/AF38),0)))</f>
        <v>0</v>
      </c>
      <c r="AE38" s="683"/>
      <c r="AF38" s="19" t="e">
        <f>VLOOKUP('Additional Borrowers'!K28,'Exchange Rates'!C4:D16,2,FALSE)</f>
        <v>#N/A</v>
      </c>
      <c r="AG38" s="685"/>
      <c r="AH38" s="673"/>
      <c r="AI38" s="666" t="s">
        <v>95</v>
      </c>
      <c r="AJ38" s="648"/>
      <c r="AK38" s="18">
        <f>IF('Additional Borrowers'!U28="CNY",0,(IFERROR(('Additional Borrowers'!R28/AM38),0)))</f>
        <v>0</v>
      </c>
      <c r="AL38" s="683"/>
      <c r="AM38" s="19" t="e">
        <f>VLOOKUP('Additional Borrowers'!U28,'Exchange Rates'!C4:D16,2,FALSE)</f>
        <v>#N/A</v>
      </c>
      <c r="AN38" s="685"/>
      <c r="AO38" s="673"/>
      <c r="BG38" s="646" t="s">
        <v>117</v>
      </c>
      <c r="BH38" s="17">
        <f>K46</f>
        <v>0</v>
      </c>
      <c r="BI38" s="17">
        <f>AF43*125%</f>
        <v>0</v>
      </c>
      <c r="BK38" s="37">
        <f>K58</f>
        <v>0</v>
      </c>
      <c r="BL38" s="36">
        <f>H58</f>
        <v>0</v>
      </c>
    </row>
    <row r="39" spans="1:126" s="654" customFormat="1" ht="16.899999999999999" customHeight="1">
      <c r="A39" s="651"/>
      <c r="B39" s="1405" t="s">
        <v>118</v>
      </c>
      <c r="C39" s="1412"/>
      <c r="D39" s="1407"/>
      <c r="E39" s="1413"/>
      <c r="F39" s="1413"/>
      <c r="G39" s="1417"/>
      <c r="H39" s="1413"/>
      <c r="I39" s="1413"/>
      <c r="J39" s="1417"/>
      <c r="K39" s="1414"/>
      <c r="L39" s="1412"/>
      <c r="M39" s="1415"/>
      <c r="N39" s="1412"/>
      <c r="O39" s="1413"/>
      <c r="P39" s="1413"/>
      <c r="Q39" s="1417"/>
      <c r="R39" s="1413"/>
      <c r="S39" s="1413"/>
      <c r="T39" s="1417"/>
      <c r="U39" s="1416"/>
      <c r="V39" s="640"/>
      <c r="W39" s="645"/>
      <c r="X39" s="1066"/>
      <c r="Y39" s="646"/>
      <c r="Z39" s="673"/>
      <c r="AA39" s="646"/>
      <c r="AB39" s="689"/>
      <c r="AC39" s="646"/>
      <c r="AD39" s="685"/>
      <c r="AE39" s="685"/>
      <c r="AF39" s="686"/>
      <c r="AG39" s="685"/>
      <c r="AH39" s="673"/>
      <c r="AI39" s="646"/>
      <c r="AJ39" s="646"/>
      <c r="AK39" s="646"/>
      <c r="AL39" s="646"/>
      <c r="AM39" s="673"/>
      <c r="AN39" s="685"/>
      <c r="AO39" s="673"/>
      <c r="AP39" s="646"/>
      <c r="AQ39" s="646"/>
      <c r="AR39" s="646"/>
      <c r="AS39" s="646"/>
      <c r="AT39" s="646"/>
      <c r="AU39" s="645"/>
      <c r="AV39" s="645"/>
      <c r="AW39" s="645"/>
      <c r="AX39" s="645"/>
      <c r="AY39" s="646"/>
      <c r="AZ39" s="646"/>
      <c r="BA39" s="646"/>
      <c r="BB39" s="646"/>
      <c r="BC39" s="651"/>
      <c r="BD39" s="646"/>
      <c r="BE39" s="696"/>
      <c r="BF39" s="696"/>
      <c r="BG39" s="646" t="s">
        <v>119</v>
      </c>
      <c r="BH39" s="17">
        <f>U44</f>
        <v>0</v>
      </c>
      <c r="BI39" s="756">
        <f>AK41*3%</f>
        <v>0</v>
      </c>
      <c r="BJ39" s="647"/>
      <c r="BK39" s="647"/>
      <c r="BL39" s="647"/>
      <c r="BM39" s="647"/>
      <c r="BN39" s="651"/>
      <c r="BO39" s="651"/>
      <c r="BP39" s="651"/>
      <c r="BQ39" s="651"/>
      <c r="BR39" s="651"/>
      <c r="BS39" s="651"/>
      <c r="BT39" s="651"/>
      <c r="BU39" s="651"/>
      <c r="BV39" s="651"/>
      <c r="BW39" s="651"/>
      <c r="BX39" s="651"/>
      <c r="BY39" s="651"/>
      <c r="BZ39" s="651"/>
      <c r="CA39" s="651"/>
      <c r="CB39" s="651"/>
      <c r="CC39" s="651"/>
      <c r="CD39" s="651"/>
      <c r="CE39" s="651"/>
      <c r="CF39" s="651"/>
      <c r="CG39" s="651"/>
      <c r="CH39" s="651"/>
      <c r="CI39" s="651"/>
      <c r="CJ39" s="651"/>
      <c r="CK39" s="651"/>
      <c r="CL39" s="651"/>
      <c r="CM39" s="651"/>
      <c r="CN39" s="651"/>
      <c r="CO39" s="651"/>
      <c r="CP39" s="651"/>
      <c r="CQ39" s="651"/>
      <c r="CR39" s="651"/>
      <c r="CS39" s="651"/>
      <c r="CT39" s="651"/>
      <c r="CU39" s="651"/>
      <c r="CV39" s="651"/>
      <c r="CW39" s="651"/>
      <c r="CX39" s="651"/>
      <c r="CY39" s="651"/>
      <c r="CZ39" s="651"/>
      <c r="DA39" s="651"/>
      <c r="DB39" s="651"/>
      <c r="DC39" s="651"/>
      <c r="DD39" s="651"/>
      <c r="DE39" s="651"/>
      <c r="DF39" s="651"/>
      <c r="DG39" s="651"/>
      <c r="DH39" s="651"/>
      <c r="DI39" s="651"/>
      <c r="DJ39" s="651"/>
      <c r="DK39" s="651"/>
      <c r="DL39" s="651"/>
      <c r="DM39" s="651"/>
      <c r="DN39" s="651"/>
      <c r="DO39" s="651"/>
      <c r="DP39" s="651"/>
      <c r="DQ39" s="651"/>
      <c r="DR39" s="651"/>
      <c r="DS39" s="651"/>
      <c r="DT39" s="651"/>
      <c r="DU39" s="651"/>
      <c r="DV39" s="651"/>
    </row>
    <row r="40" spans="1:126" s="699" customFormat="1">
      <c r="A40" s="696"/>
      <c r="B40" s="1390"/>
      <c r="C40" s="1383"/>
      <c r="D40" s="1391"/>
      <c r="E40" s="1478" t="s">
        <v>50</v>
      </c>
      <c r="F40" s="1379"/>
      <c r="G40" s="1379"/>
      <c r="H40" s="1478" t="s">
        <v>80</v>
      </c>
      <c r="I40" s="1379"/>
      <c r="J40" s="1379"/>
      <c r="K40" s="1478" t="s">
        <v>89</v>
      </c>
      <c r="L40" s="1383"/>
      <c r="M40" s="1384"/>
      <c r="N40" s="1383"/>
      <c r="O40" s="1478" t="s">
        <v>50</v>
      </c>
      <c r="P40" s="1379"/>
      <c r="Q40" s="1379"/>
      <c r="R40" s="1478" t="s">
        <v>80</v>
      </c>
      <c r="S40" s="1379"/>
      <c r="T40" s="1379"/>
      <c r="U40" s="1479" t="s">
        <v>89</v>
      </c>
      <c r="V40" s="640"/>
      <c r="W40" s="645"/>
      <c r="X40" s="1066"/>
      <c r="Y40" s="646"/>
      <c r="Z40" s="673"/>
      <c r="AA40" s="646"/>
      <c r="AB40" s="689"/>
      <c r="AC40" s="646"/>
      <c r="AD40" s="685"/>
      <c r="AE40" s="685"/>
      <c r="AF40" s="686"/>
      <c r="AG40" s="685"/>
      <c r="AH40" s="673"/>
      <c r="AI40" s="646"/>
      <c r="AJ40" s="646"/>
      <c r="AK40" s="646"/>
      <c r="AL40" s="646"/>
      <c r="AM40" s="673"/>
      <c r="AN40" s="685"/>
      <c r="AO40" s="673"/>
      <c r="AP40" s="646"/>
      <c r="AQ40" s="646"/>
      <c r="AR40" s="646"/>
      <c r="AS40" s="646"/>
      <c r="AT40" s="646"/>
      <c r="AU40" s="645"/>
      <c r="AV40" s="645"/>
      <c r="AW40" s="645"/>
      <c r="AX40" s="645"/>
      <c r="AY40" s="646"/>
      <c r="AZ40" s="646"/>
      <c r="BA40" s="646"/>
      <c r="BB40" s="646"/>
      <c r="BC40" s="646"/>
      <c r="BD40" s="646"/>
      <c r="BE40" s="696"/>
      <c r="BF40" s="696"/>
      <c r="BG40" s="646"/>
      <c r="BH40" s="646" t="s">
        <v>109</v>
      </c>
      <c r="BI40" s="756">
        <f>AK42*3%</f>
        <v>0</v>
      </c>
      <c r="BJ40" s="647"/>
      <c r="BK40" s="647"/>
      <c r="BL40" s="647"/>
      <c r="BM40" s="647"/>
      <c r="BN40" s="696"/>
      <c r="BO40" s="696"/>
      <c r="BP40" s="696"/>
      <c r="BQ40" s="696"/>
      <c r="BR40" s="696"/>
      <c r="BS40" s="696"/>
      <c r="BT40" s="696"/>
      <c r="BU40" s="696"/>
      <c r="BV40" s="696"/>
      <c r="BW40" s="696"/>
      <c r="BX40" s="696"/>
      <c r="BY40" s="696"/>
      <c r="BZ40" s="696"/>
      <c r="CA40" s="696"/>
      <c r="CB40" s="696"/>
      <c r="CC40" s="696"/>
      <c r="CD40" s="696"/>
      <c r="CE40" s="696"/>
      <c r="CF40" s="696"/>
      <c r="CG40" s="696"/>
      <c r="CH40" s="696"/>
      <c r="CI40" s="696"/>
      <c r="CJ40" s="696"/>
      <c r="CK40" s="696"/>
      <c r="CL40" s="696"/>
      <c r="CM40" s="696"/>
      <c r="CN40" s="696"/>
      <c r="CO40" s="696"/>
      <c r="CP40" s="696"/>
      <c r="CQ40" s="696"/>
      <c r="CR40" s="696"/>
      <c r="CS40" s="696"/>
      <c r="CT40" s="696"/>
      <c r="CU40" s="696"/>
      <c r="CV40" s="696"/>
      <c r="CW40" s="696"/>
      <c r="CX40" s="696"/>
      <c r="CY40" s="696"/>
      <c r="CZ40" s="696"/>
      <c r="DA40" s="696"/>
      <c r="DB40" s="696"/>
      <c r="DC40" s="696"/>
      <c r="DD40" s="696"/>
      <c r="DE40" s="696"/>
      <c r="DF40" s="696"/>
      <c r="DG40" s="696"/>
      <c r="DH40" s="696"/>
      <c r="DI40" s="696"/>
      <c r="DJ40" s="696"/>
      <c r="DK40" s="696"/>
      <c r="DL40" s="696"/>
      <c r="DM40" s="696"/>
      <c r="DN40" s="696"/>
      <c r="DO40" s="696"/>
      <c r="DP40" s="696"/>
      <c r="DQ40" s="696"/>
      <c r="DR40" s="696"/>
      <c r="DS40" s="696"/>
      <c r="DT40" s="696"/>
      <c r="DU40" s="696"/>
      <c r="DV40" s="696"/>
    </row>
    <row r="41" spans="1:126">
      <c r="B41" s="1362" t="s">
        <v>120</v>
      </c>
      <c r="C41" s="1357"/>
      <c r="D41" s="1361" t="str">
        <f t="shared" ref="D41:D46" si="14">IF(ISBLANK(E41), "&lt;AUD&gt;", E41)</f>
        <v>&lt;AUD&gt;</v>
      </c>
      <c r="E41" s="1471"/>
      <c r="F41" s="1096"/>
      <c r="G41" s="1361" t="str">
        <f>IF(ISBLANK(H41), "&lt;Local Currency&gt;", H41)</f>
        <v>&lt;Local Currency&gt;</v>
      </c>
      <c r="H41" s="1471"/>
      <c r="I41" s="1096"/>
      <c r="J41" s="1361" t="str">
        <f>IF(ISBLANK(K41), "&lt;Select&gt;", "")</f>
        <v>&lt;Select&gt;</v>
      </c>
      <c r="K41" s="1471"/>
      <c r="L41" s="1364" t="s">
        <v>121</v>
      </c>
      <c r="M41" s="1392"/>
      <c r="N41" s="1361" t="str">
        <f t="shared" ref="N41:N44" si="15">IF(ISBLANK(O41), "&lt;AUD&gt;", O41)</f>
        <v>&lt;AUD&gt;</v>
      </c>
      <c r="O41" s="1471"/>
      <c r="P41" s="1096"/>
      <c r="Q41" s="1361" t="str">
        <f>IF(ISBLANK(R41), "&lt;Local Currency&gt;", R41)</f>
        <v>&lt;Local Currency&gt;</v>
      </c>
      <c r="R41" s="1471"/>
      <c r="S41" s="1096"/>
      <c r="T41" s="1361" t="str">
        <f>IF(ISBLANK(U41), "&lt;Select&gt;", "")</f>
        <v>&lt;Select&gt;</v>
      </c>
      <c r="U41" s="1473"/>
      <c r="AB41" s="666"/>
      <c r="AC41" s="666" t="s">
        <v>122</v>
      </c>
      <c r="AD41" s="648"/>
      <c r="AE41" s="648"/>
      <c r="AF41" s="18">
        <f>IFERROR((H42/AH41),0)</f>
        <v>0</v>
      </c>
      <c r="AG41" s="648"/>
      <c r="AH41" s="18" t="e">
        <f>VLOOKUP(K42,'Exchange Rates'!C4:D16,2,FALSE)</f>
        <v>#N/A</v>
      </c>
      <c r="AI41" s="648"/>
      <c r="AJ41" s="666" t="s">
        <v>123</v>
      </c>
      <c r="AK41" s="18">
        <f>IFERROR((R44/AM41),0)</f>
        <v>0</v>
      </c>
      <c r="AL41" s="683"/>
      <c r="AM41" s="18" t="e">
        <f>VLOOKUP(U44,'Exchange Rates'!C4:D16,2,FALSE)</f>
        <v>#N/A</v>
      </c>
      <c r="AN41" s="685"/>
      <c r="BH41" s="678"/>
      <c r="BI41" s="700"/>
    </row>
    <row r="42" spans="1:126">
      <c r="B42" s="1362" t="s">
        <v>122</v>
      </c>
      <c r="C42" s="1357"/>
      <c r="D42" s="1361" t="str">
        <f t="shared" si="14"/>
        <v>&lt;AUD&gt;</v>
      </c>
      <c r="E42" s="1471"/>
      <c r="F42" s="1328"/>
      <c r="G42" s="1361" t="str">
        <f t="shared" ref="G42:G46" si="16">IF(ISBLANK(H42), "&lt;Local Currency&gt;", H42)</f>
        <v>&lt;Local Currency&gt;</v>
      </c>
      <c r="H42" s="1471"/>
      <c r="I42" s="1328"/>
      <c r="J42" s="1361" t="str">
        <f>IF(ISBLANK(K42), "&lt;Select&gt;", "")</f>
        <v>&lt;Select&gt;</v>
      </c>
      <c r="K42" s="1471"/>
      <c r="L42" s="1364" t="s">
        <v>124</v>
      </c>
      <c r="M42" s="1392"/>
      <c r="N42" s="1361" t="str">
        <f t="shared" si="15"/>
        <v>&lt;AUD&gt;</v>
      </c>
      <c r="O42" s="1471"/>
      <c r="P42" s="1328"/>
      <c r="Q42" s="1361" t="str">
        <f>IF(ISBLANK(R42), "&lt;Local Currency&gt;", R42)</f>
        <v>&lt;Local Currency&gt;</v>
      </c>
      <c r="R42" s="1471"/>
      <c r="S42" s="1328"/>
      <c r="T42" s="1361" t="str">
        <f>IF(ISBLANK(U42), "&lt;Select&gt;", "")</f>
        <v>&lt;Select&gt;</v>
      </c>
      <c r="U42" s="1473"/>
      <c r="Y42" s="794"/>
      <c r="Z42" s="795">
        <f>Z43+Z44</f>
        <v>0</v>
      </c>
      <c r="AB42" s="648"/>
      <c r="AC42" s="648"/>
      <c r="AD42" s="666" t="s">
        <v>124</v>
      </c>
      <c r="AE42" s="648"/>
      <c r="AF42" s="18">
        <f>IFERROR((R42/AH42),0)</f>
        <v>0</v>
      </c>
      <c r="AG42" s="648"/>
      <c r="AH42" s="18" t="e">
        <f>VLOOKUP(U42,'Exchange Rates'!C4:D16,2,FALSE)</f>
        <v>#N/A</v>
      </c>
      <c r="AI42" s="648"/>
      <c r="AJ42" s="758" t="s">
        <v>125</v>
      </c>
      <c r="AK42" s="18">
        <f>IFERROR((R45/AM42),0)</f>
        <v>0</v>
      </c>
      <c r="AL42" s="683"/>
      <c r="AM42" s="13">
        <f>VLOOKUP(U45,'Exchange Rates'!C4:D16,2,FALSE)</f>
        <v>4.5226600000000001</v>
      </c>
      <c r="AO42" s="678"/>
      <c r="AP42" s="678"/>
      <c r="AQ42" s="678"/>
      <c r="AR42" s="678"/>
      <c r="AS42" s="678"/>
      <c r="AT42" s="678"/>
      <c r="AU42" s="701"/>
      <c r="AV42" s="701"/>
      <c r="AW42" s="701"/>
      <c r="BH42" s="676" t="s">
        <v>106</v>
      </c>
      <c r="BI42" s="689" t="s">
        <v>84</v>
      </c>
      <c r="BK42" s="676" t="s">
        <v>106</v>
      </c>
      <c r="BL42" s="676"/>
    </row>
    <row r="43" spans="1:126">
      <c r="B43" s="1362"/>
      <c r="C43" s="1357"/>
      <c r="D43" s="1368"/>
      <c r="E43" s="1400"/>
      <c r="F43" s="1328"/>
      <c r="G43" s="1388"/>
      <c r="H43" s="1400"/>
      <c r="I43" s="1328"/>
      <c r="J43" s="1388"/>
      <c r="K43" s="1429"/>
      <c r="L43" s="1364"/>
      <c r="M43" s="1360"/>
      <c r="N43" s="1357"/>
      <c r="O43" s="1400"/>
      <c r="P43" s="1328"/>
      <c r="Q43" s="1388"/>
      <c r="R43" s="1400"/>
      <c r="S43" s="1328"/>
      <c r="T43" s="1388"/>
      <c r="U43" s="1404"/>
      <c r="Y43" s="796" t="s">
        <v>126</v>
      </c>
      <c r="Z43" s="795">
        <f>((E42+O42+E46)*125%)+((O44*3.8%))+Z45</f>
        <v>0</v>
      </c>
      <c r="AB43" s="648"/>
      <c r="AC43" s="666" t="s">
        <v>127</v>
      </c>
      <c r="AD43" s="648"/>
      <c r="AE43" s="648"/>
      <c r="AF43" s="18">
        <f>IFERROR((H46/AH43),0)</f>
        <v>0</v>
      </c>
      <c r="AG43" s="648"/>
      <c r="AH43" s="18" t="e">
        <f>VLOOKUP(K46,'Exchange Rates'!C4:D16,2,FALSE)</f>
        <v>#N/A</v>
      </c>
      <c r="AK43" s="685"/>
      <c r="AO43" s="673"/>
      <c r="BH43" s="646" t="s">
        <v>109</v>
      </c>
      <c r="BI43" s="35">
        <f>SUMIF($BH$36:$BH$40,BH43,$BI$36:$BI$40)+BI48</f>
        <v>0</v>
      </c>
      <c r="BK43" s="646" t="s">
        <v>109</v>
      </c>
      <c r="BL43" s="35">
        <f>SUMIF($BK$36:$BK$38,BK43,$BL$36:$BL$38)</f>
        <v>0</v>
      </c>
    </row>
    <row r="44" spans="1:126">
      <c r="B44" s="1362" t="s">
        <v>128</v>
      </c>
      <c r="C44" s="1357"/>
      <c r="D44" s="1361" t="str">
        <f t="shared" si="14"/>
        <v>&lt;AUD&gt;</v>
      </c>
      <c r="E44" s="1471"/>
      <c r="F44" s="1400"/>
      <c r="G44" s="1481" t="str">
        <f t="shared" si="16"/>
        <v>&lt;Local Currency&gt;</v>
      </c>
      <c r="H44" s="1471"/>
      <c r="I44" s="1400"/>
      <c r="J44" s="1481" t="str">
        <f>IF(ISBLANK(K44), "&lt;Select&gt;", "")</f>
        <v>&lt;Select&gt;</v>
      </c>
      <c r="K44" s="1471"/>
      <c r="L44" s="1364" t="s">
        <v>129</v>
      </c>
      <c r="M44" s="1392"/>
      <c r="N44" s="1361" t="str">
        <f t="shared" si="15"/>
        <v>&lt;AUD&gt;</v>
      </c>
      <c r="O44" s="1471"/>
      <c r="P44" s="1096"/>
      <c r="Q44" s="1361" t="str">
        <f>IF(ISBLANK(R44), "&lt;Local Currency&gt;", R44)</f>
        <v>&lt;Local Currency&gt;</v>
      </c>
      <c r="R44" s="1471"/>
      <c r="S44" s="1328"/>
      <c r="T44" s="1361" t="str">
        <f>IF(ISBLANK(U44), "&lt;Select&gt;", "")</f>
        <v>&lt;Select&gt;</v>
      </c>
      <c r="U44" s="1473"/>
      <c r="Y44" s="796" t="s">
        <v>130</v>
      </c>
      <c r="Z44" s="797">
        <f>'Additional Borrowers'!Y15</f>
        <v>0</v>
      </c>
      <c r="AH44" s="673"/>
      <c r="AO44" s="673"/>
      <c r="AX44" s="701"/>
      <c r="AY44" s="678"/>
      <c r="AZ44" s="678"/>
      <c r="BK44" s="11">
        <f>'Exchange Rates'!D5</f>
        <v>4.5226600000000001</v>
      </c>
    </row>
    <row r="45" spans="1:126" ht="16.5">
      <c r="B45" s="1362" t="s">
        <v>131</v>
      </c>
      <c r="C45" s="1357"/>
      <c r="D45" s="1358" t="str">
        <f>IF(ISBLANK(E45), "      &lt;Enter description of above declared Loan&gt;", E45)</f>
        <v xml:space="preserve">      &lt;Enter description of above declared Loan&gt;</v>
      </c>
      <c r="E45" s="1501"/>
      <c r="F45" s="1484"/>
      <c r="G45" s="1483"/>
      <c r="H45" s="1484"/>
      <c r="I45" s="1484"/>
      <c r="J45" s="1483"/>
      <c r="K45" s="1484"/>
      <c r="L45" s="1364" t="s">
        <v>132</v>
      </c>
      <c r="M45" s="1392"/>
      <c r="N45" s="1364"/>
      <c r="O45" s="1111"/>
      <c r="P45" s="1099"/>
      <c r="Q45" s="1361" t="str">
        <f>IF(ISBLANK(R45), "&lt;Local Currency&gt;", R45)</f>
        <v>&lt;Local Currency&gt;</v>
      </c>
      <c r="R45" s="1471"/>
      <c r="S45" s="1096"/>
      <c r="T45" s="1096"/>
      <c r="U45" s="1393" t="s">
        <v>109</v>
      </c>
      <c r="V45" s="651"/>
      <c r="Y45" s="796" t="s">
        <v>80</v>
      </c>
      <c r="Z45" s="795">
        <f>((AF41+AF42+AF43)*125%)+(((AK41+AK42)*3.8%))</f>
        <v>0</v>
      </c>
      <c r="AB45" s="689"/>
      <c r="AD45" s="1113"/>
      <c r="AE45" s="1113"/>
      <c r="AF45" s="1113"/>
      <c r="AG45" s="1113"/>
      <c r="AH45" s="1113"/>
      <c r="AI45" s="1113"/>
      <c r="AO45" s="673"/>
      <c r="BA45" s="678"/>
      <c r="BB45" s="678"/>
      <c r="BC45" s="678"/>
      <c r="BD45" s="678"/>
      <c r="BE45" s="697"/>
      <c r="BF45" s="757"/>
      <c r="BG45" s="687"/>
      <c r="BI45" s="698"/>
      <c r="BK45" s="646" t="s">
        <v>84</v>
      </c>
      <c r="BL45" s="36">
        <f>BL43/BK44</f>
        <v>0</v>
      </c>
    </row>
    <row r="46" spans="1:126">
      <c r="B46" s="1362" t="s">
        <v>127</v>
      </c>
      <c r="C46" s="1357"/>
      <c r="D46" s="1361" t="str">
        <f t="shared" si="14"/>
        <v>&lt;AUD&gt;</v>
      </c>
      <c r="E46" s="1482"/>
      <c r="F46" s="1328"/>
      <c r="G46" s="1361" t="str">
        <f t="shared" si="16"/>
        <v>&lt;Local Currency&gt;</v>
      </c>
      <c r="H46" s="1482"/>
      <c r="I46" s="1328"/>
      <c r="J46" s="1361" t="str">
        <f>IF(ISBLANK(K46), "&lt;Select&gt;", "")</f>
        <v>&lt;Select&gt;</v>
      </c>
      <c r="K46" s="1482"/>
      <c r="L46" s="1364" t="s">
        <v>133</v>
      </c>
      <c r="M46" s="1360"/>
      <c r="N46" s="1357"/>
      <c r="O46" s="1098"/>
      <c r="P46" s="1328"/>
      <c r="Q46" s="1361" t="str">
        <f>IF(ISBLANK(R46), "&lt;Local Currency&gt;", R46)</f>
        <v>&lt;Local Currency&gt;</v>
      </c>
      <c r="R46" s="1471"/>
      <c r="S46" s="1328"/>
      <c r="T46" s="1328"/>
      <c r="U46" s="1394" t="s">
        <v>109</v>
      </c>
      <c r="V46" s="676"/>
      <c r="W46" s="701"/>
      <c r="X46" s="1069"/>
      <c r="AH46" s="673"/>
      <c r="AO46" s="673"/>
      <c r="BE46" s="697"/>
      <c r="BF46" s="672"/>
    </row>
    <row r="47" spans="1:126">
      <c r="B47" s="1362"/>
      <c r="C47" s="1357"/>
      <c r="D47" s="1368"/>
      <c r="E47" s="1328"/>
      <c r="F47" s="1328"/>
      <c r="G47" s="1388"/>
      <c r="H47" s="1328"/>
      <c r="I47" s="1328"/>
      <c r="J47" s="1388"/>
      <c r="K47" s="1330"/>
      <c r="L47" s="1357"/>
      <c r="M47" s="1360"/>
      <c r="N47" s="1357"/>
      <c r="O47" s="1328"/>
      <c r="P47" s="1328"/>
      <c r="Q47" s="1328"/>
      <c r="R47" s="1328"/>
      <c r="S47" s="1328"/>
      <c r="T47" s="1328"/>
      <c r="U47" s="1369"/>
      <c r="AO47" s="673"/>
      <c r="BH47" s="1113" t="s">
        <v>134</v>
      </c>
      <c r="BI47" s="1113"/>
      <c r="BJ47" s="1113"/>
      <c r="BK47" s="1113"/>
      <c r="BL47" s="1113"/>
    </row>
    <row r="48" spans="1:126">
      <c r="B48" s="1405" t="s">
        <v>135</v>
      </c>
      <c r="C48" s="1412"/>
      <c r="D48" s="1407"/>
      <c r="E48" s="1413"/>
      <c r="F48" s="1413"/>
      <c r="G48" s="1417"/>
      <c r="H48" s="1413"/>
      <c r="I48" s="1413"/>
      <c r="J48" s="1417"/>
      <c r="K48" s="1414"/>
      <c r="L48" s="1412"/>
      <c r="M48" s="1415"/>
      <c r="N48" s="1412"/>
      <c r="O48" s="1413"/>
      <c r="P48" s="1413"/>
      <c r="Q48" s="1413"/>
      <c r="R48" s="1413"/>
      <c r="S48" s="1413"/>
      <c r="T48" s="1413"/>
      <c r="U48" s="1416"/>
      <c r="Y48" s="678"/>
      <c r="AO48" s="673"/>
      <c r="BI48" s="637">
        <f>IF(K50="China", (Z62-BK48), 0)</f>
        <v>0</v>
      </c>
      <c r="BK48" s="647">
        <v>0</v>
      </c>
    </row>
    <row r="49" spans="1:126" s="654" customFormat="1" ht="16.899999999999999" customHeight="1">
      <c r="A49" s="651"/>
      <c r="B49" s="1356" t="s">
        <v>136</v>
      </c>
      <c r="C49" s="1377"/>
      <c r="D49" s="1378"/>
      <c r="E49" s="1478" t="s">
        <v>50</v>
      </c>
      <c r="F49" s="1379"/>
      <c r="G49" s="1379"/>
      <c r="H49" s="1478" t="s">
        <v>80</v>
      </c>
      <c r="I49" s="1383"/>
      <c r="J49" s="1383"/>
      <c r="K49" s="1478" t="s">
        <v>137</v>
      </c>
      <c r="L49" s="1359" t="s">
        <v>138</v>
      </c>
      <c r="M49" s="1380"/>
      <c r="N49" s="1377"/>
      <c r="O49" s="1478" t="s">
        <v>50</v>
      </c>
      <c r="P49" s="1379"/>
      <c r="Q49" s="1379"/>
      <c r="R49" s="1478" t="s">
        <v>80</v>
      </c>
      <c r="S49" s="1383"/>
      <c r="T49" s="1383"/>
      <c r="U49" s="1479" t="s">
        <v>137</v>
      </c>
      <c r="V49" s="640"/>
      <c r="W49" s="645"/>
      <c r="X49" s="1066"/>
      <c r="Y49" s="646"/>
      <c r="Z49" s="673"/>
      <c r="AA49" s="646"/>
      <c r="AB49" s="646"/>
      <c r="AC49" s="646"/>
      <c r="AD49" s="646"/>
      <c r="AE49" s="646"/>
      <c r="AF49" s="646"/>
      <c r="AG49" s="646"/>
      <c r="AH49" s="646"/>
      <c r="AI49" s="646"/>
      <c r="AJ49" s="646"/>
      <c r="AK49" s="646"/>
      <c r="AL49" s="646"/>
      <c r="AM49" s="646"/>
      <c r="AN49" s="646"/>
      <c r="AO49" s="646"/>
      <c r="AP49" s="646"/>
      <c r="AQ49" s="646"/>
      <c r="AR49" s="646"/>
      <c r="AS49" s="646"/>
      <c r="AT49" s="646"/>
      <c r="AU49" s="645"/>
      <c r="AV49" s="645"/>
      <c r="AW49" s="645"/>
      <c r="AX49" s="645"/>
      <c r="AY49" s="646"/>
      <c r="AZ49" s="646"/>
      <c r="BA49" s="646"/>
      <c r="BB49" s="646"/>
      <c r="BC49" s="646"/>
      <c r="BD49" s="646"/>
      <c r="BE49" s="651"/>
      <c r="BF49" s="651"/>
      <c r="BG49" s="646"/>
      <c r="BH49" s="646"/>
      <c r="BI49" s="647"/>
      <c r="BJ49" s="700"/>
      <c r="BK49" s="647"/>
      <c r="BL49" s="647"/>
      <c r="BM49" s="647"/>
      <c r="BN49" s="651"/>
      <c r="BO49" s="651"/>
      <c r="BP49" s="651"/>
      <c r="BQ49" s="651"/>
      <c r="BR49" s="651"/>
      <c r="BS49" s="651"/>
      <c r="BT49" s="651"/>
      <c r="BU49" s="651"/>
      <c r="BV49" s="651"/>
      <c r="BW49" s="651"/>
      <c r="BX49" s="651"/>
      <c r="BY49" s="651"/>
      <c r="BZ49" s="651"/>
      <c r="CA49" s="651"/>
      <c r="CB49" s="651"/>
      <c r="CC49" s="651"/>
      <c r="CD49" s="651"/>
      <c r="CE49" s="651"/>
      <c r="CF49" s="651"/>
      <c r="CG49" s="651"/>
      <c r="CH49" s="651"/>
      <c r="CI49" s="651"/>
      <c r="CJ49" s="651"/>
      <c r="CK49" s="651"/>
      <c r="CL49" s="651"/>
      <c r="CM49" s="651"/>
      <c r="CN49" s="651"/>
      <c r="CO49" s="651"/>
      <c r="CP49" s="651"/>
      <c r="CQ49" s="651"/>
      <c r="CR49" s="651"/>
      <c r="CS49" s="651"/>
      <c r="CT49" s="651"/>
      <c r="CU49" s="651"/>
      <c r="CV49" s="651"/>
      <c r="CW49" s="651"/>
      <c r="CX49" s="651"/>
      <c r="CY49" s="651"/>
      <c r="CZ49" s="651"/>
      <c r="DA49" s="651"/>
      <c r="DB49" s="651"/>
      <c r="DC49" s="651"/>
      <c r="DD49" s="651"/>
      <c r="DE49" s="651"/>
      <c r="DF49" s="651"/>
      <c r="DG49" s="651"/>
      <c r="DH49" s="651"/>
      <c r="DI49" s="651"/>
      <c r="DJ49" s="651"/>
      <c r="DK49" s="651"/>
      <c r="DL49" s="651"/>
      <c r="DM49" s="651"/>
      <c r="DN49" s="651"/>
      <c r="DO49" s="651"/>
      <c r="DP49" s="651"/>
      <c r="DQ49" s="651"/>
      <c r="DR49" s="651"/>
      <c r="DS49" s="651"/>
      <c r="DT49" s="651"/>
      <c r="DU49" s="651"/>
      <c r="DV49" s="651"/>
    </row>
    <row r="50" spans="1:126" s="682" customFormat="1">
      <c r="A50" s="676"/>
      <c r="B50" s="1362" t="s">
        <v>139</v>
      </c>
      <c r="C50" s="1357"/>
      <c r="D50" s="1361"/>
      <c r="E50" s="1505"/>
      <c r="F50" s="1328"/>
      <c r="G50" s="1395"/>
      <c r="H50" s="1488"/>
      <c r="I50" s="1328"/>
      <c r="J50" s="1361" t="str">
        <f>IF(ISBLANK(K50), "&lt;Select&gt;", "")</f>
        <v>&lt;Select&gt;</v>
      </c>
      <c r="K50" s="1471"/>
      <c r="L50" s="1364" t="s">
        <v>139</v>
      </c>
      <c r="M50" s="1360"/>
      <c r="N50" s="1357"/>
      <c r="O50" s="1488"/>
      <c r="P50" s="1328"/>
      <c r="Q50" s="1328"/>
      <c r="R50" s="1488"/>
      <c r="S50" s="1328"/>
      <c r="T50" s="1361" t="str">
        <f>IF(ISBLANK(U50), "&lt;Select&gt;", "")</f>
        <v>&lt;Select&gt;</v>
      </c>
      <c r="U50" s="1473"/>
      <c r="V50" s="640"/>
      <c r="W50" s="645"/>
      <c r="X50" s="1066"/>
      <c r="Y50" s="646"/>
      <c r="Z50" s="673"/>
      <c r="AA50" s="646"/>
      <c r="AB50" s="646"/>
      <c r="AC50" s="646"/>
      <c r="AD50" s="646"/>
      <c r="AE50" s="646"/>
      <c r="AF50" s="646"/>
      <c r="AG50" s="646"/>
      <c r="AH50" s="646"/>
      <c r="AI50" s="646"/>
      <c r="AJ50" s="646"/>
      <c r="AK50" s="646"/>
      <c r="AL50" s="646"/>
      <c r="AM50" s="646"/>
      <c r="AN50" s="646"/>
      <c r="AO50" s="646"/>
      <c r="AP50" s="646"/>
      <c r="AQ50" s="646"/>
      <c r="AR50" s="646"/>
      <c r="AS50" s="646"/>
      <c r="AT50" s="646"/>
      <c r="AU50" s="645"/>
      <c r="AV50" s="645"/>
      <c r="AW50" s="645"/>
      <c r="AX50" s="645"/>
      <c r="AY50" s="646"/>
      <c r="AZ50" s="646"/>
      <c r="BA50" s="646"/>
      <c r="BB50" s="646"/>
      <c r="BC50" s="646"/>
      <c r="BD50" s="646"/>
      <c r="BE50" s="646"/>
      <c r="BF50" s="694"/>
      <c r="BG50" s="646"/>
      <c r="BH50" s="646"/>
      <c r="BI50" s="647"/>
      <c r="BJ50" s="647"/>
      <c r="BK50" s="647"/>
      <c r="BL50" s="647"/>
      <c r="BM50" s="647"/>
      <c r="BN50" s="676"/>
      <c r="BO50" s="676"/>
      <c r="BP50" s="676"/>
      <c r="BQ50" s="676"/>
      <c r="BR50" s="676"/>
      <c r="BS50" s="676"/>
      <c r="BT50" s="676"/>
      <c r="BU50" s="676"/>
      <c r="BV50" s="676"/>
      <c r="BW50" s="676"/>
      <c r="BX50" s="676"/>
      <c r="BY50" s="676"/>
      <c r="BZ50" s="676"/>
      <c r="CA50" s="676"/>
      <c r="CB50" s="676"/>
      <c r="CC50" s="676"/>
      <c r="CD50" s="676"/>
      <c r="CE50" s="676"/>
      <c r="CF50" s="676"/>
      <c r="CG50" s="676"/>
      <c r="CH50" s="676"/>
      <c r="CI50" s="676"/>
      <c r="CJ50" s="676"/>
      <c r="CK50" s="676"/>
      <c r="CL50" s="676"/>
      <c r="CM50" s="676"/>
      <c r="CN50" s="676"/>
      <c r="CO50" s="676"/>
      <c r="CP50" s="676"/>
      <c r="CQ50" s="676"/>
      <c r="CR50" s="676"/>
      <c r="CS50" s="676"/>
      <c r="CT50" s="676"/>
      <c r="CU50" s="676"/>
      <c r="CV50" s="676"/>
      <c r="CW50" s="676"/>
      <c r="CX50" s="676"/>
      <c r="CY50" s="676"/>
      <c r="CZ50" s="676"/>
      <c r="DA50" s="676"/>
      <c r="DB50" s="676"/>
      <c r="DC50" s="676"/>
      <c r="DD50" s="676"/>
      <c r="DE50" s="676"/>
      <c r="DF50" s="676"/>
      <c r="DG50" s="676"/>
      <c r="DH50" s="676"/>
      <c r="DI50" s="676"/>
      <c r="DJ50" s="676"/>
      <c r="DK50" s="676"/>
      <c r="DL50" s="676"/>
      <c r="DM50" s="676"/>
      <c r="DN50" s="676"/>
      <c r="DO50" s="676"/>
      <c r="DP50" s="676"/>
      <c r="DQ50" s="676"/>
      <c r="DR50" s="676"/>
      <c r="DS50" s="676"/>
      <c r="DT50" s="676"/>
      <c r="DU50" s="676"/>
      <c r="DV50" s="676"/>
    </row>
    <row r="51" spans="1:126">
      <c r="B51" s="1362" t="s">
        <v>140</v>
      </c>
      <c r="C51" s="1357"/>
      <c r="D51" s="1361"/>
      <c r="E51" s="1505"/>
      <c r="F51" s="1328"/>
      <c r="G51" s="1395"/>
      <c r="H51" s="1488"/>
      <c r="I51" s="1328"/>
      <c r="J51" s="1388"/>
      <c r="K51" s="1328"/>
      <c r="L51" s="1364" t="s">
        <v>140</v>
      </c>
      <c r="M51" s="1360"/>
      <c r="N51" s="1357"/>
      <c r="O51" s="1488"/>
      <c r="P51" s="1328"/>
      <c r="Q51" s="1328"/>
      <c r="R51" s="1488"/>
      <c r="S51" s="1328"/>
      <c r="T51" s="1328"/>
      <c r="U51" s="1389"/>
      <c r="AD51" s="678" t="s">
        <v>84</v>
      </c>
      <c r="AE51" s="678"/>
      <c r="AF51" s="678" t="s">
        <v>80</v>
      </c>
      <c r="AK51" s="678" t="s">
        <v>84</v>
      </c>
      <c r="AL51" s="678"/>
      <c r="AM51" s="678" t="s">
        <v>80</v>
      </c>
      <c r="BF51" s="672"/>
      <c r="BH51" s="702"/>
      <c r="BI51" s="695"/>
    </row>
    <row r="52" spans="1:126">
      <c r="B52" s="1362" t="s">
        <v>141</v>
      </c>
      <c r="C52" s="1357"/>
      <c r="D52" s="1361"/>
      <c r="E52" s="1505"/>
      <c r="F52" s="1328"/>
      <c r="G52" s="1395"/>
      <c r="H52" s="1488"/>
      <c r="I52" s="1328"/>
      <c r="J52" s="1388"/>
      <c r="K52" s="1328"/>
      <c r="L52" s="1364" t="s">
        <v>141</v>
      </c>
      <c r="M52" s="1360"/>
      <c r="N52" s="1357"/>
      <c r="O52" s="1488"/>
      <c r="P52" s="1328"/>
      <c r="Q52" s="1328"/>
      <c r="R52" s="1488"/>
      <c r="S52" s="1328"/>
      <c r="T52" s="1328"/>
      <c r="U52" s="1389"/>
      <c r="AB52" s="689" t="s">
        <v>142</v>
      </c>
      <c r="AD52" s="29">
        <f>IFERROR(('GL&amp;EE TOOL'!H22/AF52),0)</f>
        <v>0</v>
      </c>
      <c r="AF52" s="26" t="e">
        <f>VLOOKUP('GL&amp;EE TOOL'!H24,'Exchange Rates'!C4:D16,2,FALSE)</f>
        <v>#N/A</v>
      </c>
      <c r="AI52" s="689" t="s">
        <v>142</v>
      </c>
      <c r="AK52" s="30">
        <f>IFERROR(('GL&amp;EE TOOL'!M22/AM52),0)</f>
        <v>0</v>
      </c>
      <c r="AM52" s="29" t="e">
        <f>VLOOKUP('GL&amp;EE TOOL'!M24,'Exchange Rates'!C4:D16,2,FALSE)</f>
        <v>#N/A</v>
      </c>
      <c r="AP52" s="687"/>
      <c r="AQ52" s="687"/>
      <c r="AR52" s="687"/>
      <c r="AS52" s="687"/>
      <c r="AT52" s="687"/>
      <c r="AU52" s="691"/>
      <c r="AV52" s="691"/>
      <c r="AW52" s="691"/>
    </row>
    <row r="53" spans="1:126">
      <c r="B53" s="1362" t="s">
        <v>142</v>
      </c>
      <c r="C53" s="1357"/>
      <c r="D53" s="1368"/>
      <c r="E53" s="1511">
        <f>'GL&amp;EE TOOL'!F22</f>
        <v>0</v>
      </c>
      <c r="F53" s="1357"/>
      <c r="G53" s="1357"/>
      <c r="H53" s="1511">
        <f>'GL&amp;EE TOOL'!H22</f>
        <v>0</v>
      </c>
      <c r="I53" s="1328"/>
      <c r="J53" s="1388"/>
      <c r="K53" s="1100" t="s">
        <v>143</v>
      </c>
      <c r="L53" s="1364" t="s">
        <v>142</v>
      </c>
      <c r="M53" s="1360"/>
      <c r="N53" s="1357"/>
      <c r="O53" s="1512">
        <f>'GL&amp;EE TOOL'!K22</f>
        <v>0</v>
      </c>
      <c r="P53" s="1357"/>
      <c r="Q53" s="1357"/>
      <c r="R53" s="1511">
        <f>'GL&amp;EE TOOL'!M22</f>
        <v>0</v>
      </c>
      <c r="S53" s="1328"/>
      <c r="T53" s="1328"/>
      <c r="U53" s="1396" t="s">
        <v>143</v>
      </c>
      <c r="Z53" s="28">
        <f>Z62+SUM(E56:E58)+SUM(AD60:AD62)+'Additional Borrowers'!Y20</f>
        <v>0</v>
      </c>
      <c r="BK53" s="700"/>
      <c r="BL53" s="700"/>
    </row>
    <row r="54" spans="1:126">
      <c r="B54" s="1362"/>
      <c r="C54" s="1357"/>
      <c r="D54" s="1368"/>
      <c r="E54" s="1328"/>
      <c r="F54" s="1328"/>
      <c r="G54" s="1388"/>
      <c r="H54" s="1328"/>
      <c r="I54" s="1328"/>
      <c r="J54" s="1388"/>
      <c r="K54" s="1330"/>
      <c r="L54" s="1328"/>
      <c r="M54" s="1331"/>
      <c r="N54" s="1328"/>
      <c r="O54" s="1328"/>
      <c r="P54" s="1328"/>
      <c r="Q54" s="1328"/>
      <c r="R54" s="1328"/>
      <c r="S54" s="1328"/>
      <c r="T54" s="1328"/>
      <c r="U54" s="1369"/>
      <c r="Z54" s="678"/>
      <c r="AA54" s="687"/>
      <c r="AX54" s="691"/>
      <c r="AY54" s="687"/>
      <c r="AZ54" s="687"/>
      <c r="BM54" s="700"/>
    </row>
    <row r="55" spans="1:126">
      <c r="B55" s="1356" t="s">
        <v>144</v>
      </c>
      <c r="C55" s="1357"/>
      <c r="D55" s="1368"/>
      <c r="E55" s="1506"/>
      <c r="F55" s="1397"/>
      <c r="G55" s="1398"/>
      <c r="H55" s="1506"/>
      <c r="I55" s="1397"/>
      <c r="J55" s="1398"/>
      <c r="K55" s="1506"/>
      <c r="L55" s="1328"/>
      <c r="M55" s="1331"/>
      <c r="N55" s="1328"/>
      <c r="O55" s="1328"/>
      <c r="P55" s="1328"/>
      <c r="Q55" s="1328"/>
      <c r="R55" s="1328"/>
      <c r="S55" s="1381"/>
      <c r="T55" s="1381"/>
      <c r="U55" s="1369"/>
      <c r="Z55" s="673" t="s">
        <v>145</v>
      </c>
      <c r="AA55" s="646">
        <v>1300</v>
      </c>
      <c r="BA55" s="687"/>
      <c r="BB55" s="687"/>
      <c r="BC55" s="687"/>
      <c r="BD55" s="687"/>
    </row>
    <row r="56" spans="1:126">
      <c r="B56" s="1362" t="s">
        <v>146</v>
      </c>
      <c r="C56" s="1357"/>
      <c r="D56" s="1361" t="str">
        <f t="shared" ref="D56:D58" si="17">IF(ISBLANK(E56), "&lt;AUD&gt;", E56)</f>
        <v>&lt;AUD&gt;</v>
      </c>
      <c r="E56" s="1471"/>
      <c r="F56" s="1328"/>
      <c r="G56" s="1361" t="str">
        <f t="shared" ref="G56:G58" si="18">IF(ISBLANK(H56), "&lt;Local Currency&gt;", H56)</f>
        <v>&lt;Local Currency&gt;</v>
      </c>
      <c r="H56" s="1471"/>
      <c r="I56" s="1328"/>
      <c r="J56" s="1361" t="str">
        <f>IF(ISBLANK(K56), "&lt;Select&gt;", "")</f>
        <v>&lt;Select&gt;</v>
      </c>
      <c r="K56" s="1471"/>
      <c r="L56" s="1328"/>
      <c r="M56" s="1331"/>
      <c r="N56" s="1328"/>
      <c r="O56" s="1328"/>
      <c r="P56" s="1328"/>
      <c r="Q56" s="1328"/>
      <c r="R56" s="1328"/>
      <c r="S56" s="1328"/>
      <c r="T56" s="1328"/>
      <c r="U56" s="1369"/>
      <c r="W56" s="691"/>
      <c r="X56" s="1068"/>
      <c r="Z56" s="673" t="s">
        <v>147</v>
      </c>
      <c r="AA56" s="646">
        <v>2800</v>
      </c>
      <c r="AC56" s="705"/>
      <c r="AD56" s="705"/>
      <c r="AE56" s="705"/>
      <c r="AF56" s="705"/>
      <c r="AG56" s="705"/>
      <c r="AH56" s="705"/>
      <c r="AI56" s="705"/>
      <c r="AJ56" s="705"/>
      <c r="AK56" s="705"/>
      <c r="AL56" s="705"/>
      <c r="AM56" s="705"/>
      <c r="AN56" s="705"/>
      <c r="AO56" s="705"/>
      <c r="AP56" s="705"/>
      <c r="AQ56" s="705"/>
    </row>
    <row r="57" spans="1:126">
      <c r="B57" s="1362" t="s">
        <v>148</v>
      </c>
      <c r="C57" s="1357"/>
      <c r="D57" s="1361" t="str">
        <f t="shared" si="17"/>
        <v>&lt;AUD&gt;</v>
      </c>
      <c r="E57" s="1471"/>
      <c r="F57" s="1328"/>
      <c r="G57" s="1361" t="str">
        <f t="shared" si="18"/>
        <v>&lt;Local Currency&gt;</v>
      </c>
      <c r="H57" s="1471"/>
      <c r="I57" s="1328"/>
      <c r="J57" s="1361" t="str">
        <f>IF(ISBLANK(K57), "&lt;Select&gt;", "")</f>
        <v>&lt;Select&gt;</v>
      </c>
      <c r="K57" s="1471"/>
      <c r="L57" s="1328"/>
      <c r="M57" s="1331"/>
      <c r="N57" s="1328"/>
      <c r="O57" s="1328"/>
      <c r="P57" s="1328"/>
      <c r="Q57" s="1328"/>
      <c r="R57" s="1328"/>
      <c r="S57" s="1328"/>
      <c r="T57" s="1328"/>
      <c r="U57" s="1369"/>
      <c r="Z57" s="673" t="s">
        <v>149</v>
      </c>
      <c r="AA57" s="646">
        <v>468</v>
      </c>
      <c r="AB57" s="646" t="s">
        <v>117</v>
      </c>
      <c r="AC57" s="760" t="s">
        <v>150</v>
      </c>
      <c r="AD57" s="760" t="s">
        <v>151</v>
      </c>
      <c r="AE57" s="760"/>
      <c r="AF57" s="760" t="s">
        <v>152</v>
      </c>
      <c r="AG57" s="760"/>
      <c r="AH57" s="760" t="s">
        <v>153</v>
      </c>
      <c r="AI57" s="760" t="s">
        <v>154</v>
      </c>
      <c r="AJ57" s="646" t="s">
        <v>117</v>
      </c>
      <c r="AK57" s="760" t="s">
        <v>150</v>
      </c>
      <c r="AL57" s="760" t="s">
        <v>151</v>
      </c>
      <c r="AM57" s="760"/>
      <c r="AN57" s="760" t="s">
        <v>152</v>
      </c>
      <c r="AO57" s="760"/>
      <c r="AP57" s="760" t="s">
        <v>153</v>
      </c>
      <c r="AQ57" s="760" t="s">
        <v>154</v>
      </c>
    </row>
    <row r="58" spans="1:126" ht="16.5">
      <c r="B58" s="1362" t="s">
        <v>155</v>
      </c>
      <c r="C58" s="1357"/>
      <c r="D58" s="1361" t="str">
        <f t="shared" si="17"/>
        <v>&lt;AUD&gt;</v>
      </c>
      <c r="E58" s="1471"/>
      <c r="F58" s="1328"/>
      <c r="G58" s="1361" t="str">
        <f t="shared" si="18"/>
        <v>&lt;Local Currency&gt;</v>
      </c>
      <c r="H58" s="1471"/>
      <c r="I58" s="1328"/>
      <c r="J58" s="1361" t="str">
        <f>IF(ISBLANK(K58), "&lt;Select&gt;", "")</f>
        <v>&lt;Select&gt;</v>
      </c>
      <c r="K58" s="1471"/>
      <c r="L58" s="1328"/>
      <c r="M58" s="1331"/>
      <c r="N58" s="1328"/>
      <c r="O58" s="1328"/>
      <c r="P58" s="1328"/>
      <c r="Q58" s="1328"/>
      <c r="R58" s="1328"/>
      <c r="S58" s="1328"/>
      <c r="T58" s="1328"/>
      <c r="U58" s="1369"/>
      <c r="V58" s="651"/>
      <c r="Y58" s="687"/>
      <c r="AB58" s="12">
        <f>IF(NOT(OR(K50="china", K50="Vietnam", K50="Malaysia", K50="Indonesia", K50="south korea")), ((H50*AA55)+(H51*AA56)+(H52*AA57)), "")</f>
        <v>0</v>
      </c>
      <c r="AC58" s="13" t="str">
        <f>IF(K50="China", ((H50*AA55)+(H51*AA56)+(H52*AA57))*60%, "")</f>
        <v/>
      </c>
      <c r="AD58" s="13" t="str">
        <f>IF(K50="Vietnam", ((H50*AA55)+(H51*AA56)+(H52*AA57))*60%, "")</f>
        <v/>
      </c>
      <c r="AF58" s="13" t="str">
        <f>IF(K50="Malaysia", ((H50*AA55)+(H51*AA56)+(H52*AA57))*60%, "")</f>
        <v/>
      </c>
      <c r="AH58" s="13" t="str">
        <f>IF(K50="Indonesia", ((H50*AA55)+(H51*AA56)+(H52*AA57))*60%, "")</f>
        <v/>
      </c>
      <c r="AI58" s="13" t="str">
        <f>IF(K50="South Korea", ((H50*AA55)+(H51*AA56)+(H52*AA57))*110%, "")</f>
        <v/>
      </c>
      <c r="AJ58" s="12">
        <f>IF(NOT(OR(U50="china", U50="Vietnam", U50="Malaysia", U50="Indonesia", U50="south korea")), ((R50*AA55)+(R51*AA56)+(R52*AA57)), "")</f>
        <v>0</v>
      </c>
      <c r="AK58" s="13" t="str">
        <f>IF(U50="China", ((R50*AA55)+(R51*AA56)+(R52*AA57))*60%, "")</f>
        <v/>
      </c>
      <c r="AL58" s="13" t="str">
        <f>IF(U50="Vietnam", ((R50*AA55)+(R51*AA56)+(R52*AA57))*60%, "")</f>
        <v/>
      </c>
      <c r="AN58" s="13" t="str">
        <f>IF(U50="Malaysia", ((R50*AA55)+(R51*AA56)+(R52*AA57))*60%, "")</f>
        <v/>
      </c>
      <c r="AP58" s="13" t="str">
        <f>IF(U50="Indonesia", ((R50*AA55)+(R51*AA56)+(R52*AA57))*60%, "")</f>
        <v/>
      </c>
      <c r="AQ58" s="13" t="str">
        <f>IF(U50="South Korea", ((R50*AA55)+(R51*AA56)+(R52*AA57))*110%, "")</f>
        <v/>
      </c>
      <c r="BE58" s="687"/>
    </row>
    <row r="59" spans="1:126">
      <c r="B59" s="1399"/>
      <c r="C59" s="1400"/>
      <c r="D59" s="1401"/>
      <c r="E59" s="1402"/>
      <c r="F59" s="1400"/>
      <c r="G59" s="1401"/>
      <c r="H59" s="1402"/>
      <c r="I59" s="1400"/>
      <c r="J59" s="1401"/>
      <c r="K59" s="1402"/>
      <c r="L59" s="1400"/>
      <c r="M59" s="1403"/>
      <c r="N59" s="1400"/>
      <c r="O59" s="1400"/>
      <c r="P59" s="1400"/>
      <c r="Q59" s="1400"/>
      <c r="R59" s="1400"/>
      <c r="S59" s="1400"/>
      <c r="T59" s="1400"/>
      <c r="U59" s="1404"/>
      <c r="Z59" s="673" t="s">
        <v>50</v>
      </c>
      <c r="AA59" s="759">
        <f>(E50*AA55)+(O50*AA55)+(E51*AA56)+(O51*AA56)+(E52*AA57)+(O52*AA57)</f>
        <v>0</v>
      </c>
      <c r="AB59" s="708" t="s">
        <v>144</v>
      </c>
      <c r="AD59" s="678" t="s">
        <v>84</v>
      </c>
      <c r="AE59" s="678"/>
      <c r="AF59" s="678" t="s">
        <v>80</v>
      </c>
      <c r="AG59" s="678"/>
      <c r="AH59" s="678" t="s">
        <v>89</v>
      </c>
      <c r="BJ59" s="695"/>
    </row>
    <row r="60" spans="1:126">
      <c r="B60" s="1353" t="s">
        <v>156</v>
      </c>
      <c r="C60" s="1354"/>
      <c r="D60" s="1354"/>
      <c r="E60" s="1354"/>
      <c r="F60" s="1354"/>
      <c r="G60" s="1354"/>
      <c r="H60" s="1354"/>
      <c r="I60" s="1354"/>
      <c r="J60" s="1354"/>
      <c r="K60" s="1354"/>
      <c r="L60" s="1354"/>
      <c r="M60" s="1354"/>
      <c r="N60" s="1354"/>
      <c r="O60" s="1354"/>
      <c r="P60" s="1354"/>
      <c r="Q60" s="1354"/>
      <c r="R60" s="1354"/>
      <c r="S60" s="1354"/>
      <c r="T60" s="1354"/>
      <c r="U60" s="1355"/>
      <c r="Z60" s="673" t="s">
        <v>80</v>
      </c>
      <c r="AA60" s="14">
        <f>SUM(AB58:AQ58)</f>
        <v>0</v>
      </c>
      <c r="AB60" s="689" t="s">
        <v>146</v>
      </c>
      <c r="AD60" s="12">
        <f>IFERROR((H56/AF60),0)</f>
        <v>0</v>
      </c>
      <c r="AF60" s="12" t="e">
        <f>VLOOKUP(K56,'Exchange Rates'!C4:D16,2,FALSE)</f>
        <v>#N/A</v>
      </c>
      <c r="AH60" s="673"/>
    </row>
    <row r="61" spans="1:126">
      <c r="B61" s="1335" t="s">
        <v>2</v>
      </c>
      <c r="C61" s="1328"/>
      <c r="D61" s="1329"/>
      <c r="E61" s="1513">
        <f>AP9+BB5+AR9+((O15*52)/12)</f>
        <v>0</v>
      </c>
      <c r="F61" s="1328"/>
      <c r="G61" s="1328"/>
      <c r="H61" s="1328"/>
      <c r="I61" s="1328"/>
      <c r="J61" s="1328"/>
      <c r="K61" s="1330"/>
      <c r="L61" s="1328"/>
      <c r="M61" s="1331"/>
      <c r="N61" s="1328"/>
      <c r="O61" s="1328"/>
      <c r="P61" s="1328"/>
      <c r="Q61" s="1328"/>
      <c r="R61" s="1328"/>
      <c r="S61" s="1328"/>
      <c r="T61" s="1328"/>
      <c r="U61" s="1336"/>
      <c r="AB61" s="689" t="s">
        <v>148</v>
      </c>
      <c r="AD61" s="12">
        <f>IFERROR((H57/AF61),0)</f>
        <v>0</v>
      </c>
      <c r="AF61" s="12" t="e">
        <f>VLOOKUP(K57,'Exchange Rates'!C4:D16,2,FALSE)</f>
        <v>#N/A</v>
      </c>
      <c r="AH61" s="673"/>
    </row>
    <row r="62" spans="1:126" s="654" customFormat="1" ht="16.899999999999999" customHeight="1">
      <c r="A62" s="651"/>
      <c r="B62" s="1335" t="s">
        <v>157</v>
      </c>
      <c r="C62" s="1328"/>
      <c r="D62" s="1329"/>
      <c r="E62" s="1513">
        <f>Z42</f>
        <v>0</v>
      </c>
      <c r="F62" s="1328"/>
      <c r="G62" s="1328"/>
      <c r="H62" s="1328"/>
      <c r="I62" s="1328"/>
      <c r="J62" s="1328"/>
      <c r="K62" s="1330"/>
      <c r="L62" s="1328"/>
      <c r="M62" s="1331"/>
      <c r="N62" s="1328"/>
      <c r="O62" s="1328"/>
      <c r="P62" s="1328"/>
      <c r="Q62" s="1328"/>
      <c r="R62" s="1328"/>
      <c r="S62" s="1328"/>
      <c r="T62" s="1328"/>
      <c r="U62" s="1336"/>
      <c r="V62" s="640"/>
      <c r="W62" s="645"/>
      <c r="X62" s="1066"/>
      <c r="Y62" s="646"/>
      <c r="Z62" s="804">
        <f>IF(((E53+AD52+O53+AK52)&gt;(AA59+AA60)),(E53+AD52+O53+AK52), (AA59+AA60))</f>
        <v>0</v>
      </c>
      <c r="AA62" s="646"/>
      <c r="AB62" s="689" t="s">
        <v>155</v>
      </c>
      <c r="AC62" s="646"/>
      <c r="AD62" s="12">
        <f>IFERROR((H58/AF62),0)</f>
        <v>0</v>
      </c>
      <c r="AE62" s="646"/>
      <c r="AF62" s="12" t="e">
        <f>VLOOKUP(K58,'Exchange Rates'!C4:D16,2,FALSE)</f>
        <v>#N/A</v>
      </c>
      <c r="AG62" s="646"/>
      <c r="AH62" s="673"/>
      <c r="AI62" s="646"/>
      <c r="AJ62" s="646"/>
      <c r="AK62" s="646"/>
      <c r="AL62" s="646"/>
      <c r="AM62" s="646"/>
      <c r="AN62" s="646"/>
      <c r="AO62" s="646"/>
      <c r="AP62" s="646"/>
      <c r="AQ62" s="646"/>
      <c r="AR62" s="646"/>
      <c r="AS62" s="646"/>
      <c r="AT62" s="646"/>
      <c r="AU62" s="645"/>
      <c r="AV62" s="645"/>
      <c r="AW62" s="645"/>
      <c r="AX62" s="645"/>
      <c r="AY62" s="646"/>
      <c r="AZ62" s="646"/>
      <c r="BA62" s="646"/>
      <c r="BB62" s="646"/>
      <c r="BC62" s="646"/>
      <c r="BD62" s="646"/>
      <c r="BE62" s="646"/>
      <c r="BF62" s="646"/>
      <c r="BG62" s="646"/>
      <c r="BH62" s="646"/>
      <c r="BI62" s="647"/>
      <c r="BJ62" s="647"/>
      <c r="BK62" s="647"/>
      <c r="BL62" s="647"/>
      <c r="BM62" s="647"/>
      <c r="BN62" s="651"/>
      <c r="BO62" s="651"/>
      <c r="BP62" s="651"/>
      <c r="BQ62" s="651"/>
      <c r="BR62" s="651"/>
      <c r="BS62" s="651"/>
      <c r="BT62" s="651"/>
      <c r="BU62" s="651"/>
      <c r="BV62" s="651"/>
      <c r="BW62" s="651"/>
      <c r="BX62" s="651"/>
      <c r="BY62" s="651"/>
      <c r="BZ62" s="651"/>
      <c r="CA62" s="651"/>
      <c r="CB62" s="651"/>
      <c r="CC62" s="651"/>
      <c r="CD62" s="651"/>
      <c r="CE62" s="651"/>
      <c r="CF62" s="651"/>
      <c r="CG62" s="651"/>
      <c r="CH62" s="651"/>
      <c r="CI62" s="651"/>
      <c r="CJ62" s="651"/>
      <c r="CK62" s="651"/>
      <c r="CL62" s="651"/>
      <c r="CM62" s="651"/>
      <c r="CN62" s="651"/>
      <c r="CO62" s="651"/>
      <c r="CP62" s="651"/>
      <c r="CQ62" s="651"/>
      <c r="CR62" s="651"/>
      <c r="CS62" s="651"/>
      <c r="CT62" s="651"/>
      <c r="CU62" s="651"/>
      <c r="CV62" s="651"/>
      <c r="CW62" s="651"/>
      <c r="CX62" s="651"/>
      <c r="CY62" s="651"/>
      <c r="CZ62" s="651"/>
      <c r="DA62" s="651"/>
      <c r="DB62" s="651"/>
      <c r="DC62" s="651"/>
      <c r="DD62" s="651"/>
      <c r="DE62" s="651"/>
      <c r="DF62" s="651"/>
      <c r="DG62" s="651"/>
      <c r="DH62" s="651"/>
      <c r="DI62" s="651"/>
      <c r="DJ62" s="651"/>
      <c r="DK62" s="651"/>
      <c r="DL62" s="651"/>
      <c r="DM62" s="651"/>
      <c r="DN62" s="651"/>
      <c r="DO62" s="651"/>
      <c r="DP62" s="651"/>
      <c r="DQ62" s="651"/>
      <c r="DR62" s="651"/>
      <c r="DS62" s="651"/>
      <c r="DT62" s="651"/>
      <c r="DU62" s="651"/>
      <c r="DV62" s="651"/>
    </row>
    <row r="63" spans="1:126">
      <c r="B63" s="1335" t="s">
        <v>158</v>
      </c>
      <c r="C63" s="1328"/>
      <c r="D63" s="1329"/>
      <c r="E63" s="1514">
        <f>Z53</f>
        <v>0</v>
      </c>
      <c r="F63" s="1328"/>
      <c r="G63" s="1328"/>
      <c r="H63" s="1328"/>
      <c r="I63" s="1328"/>
      <c r="J63" s="1328"/>
      <c r="K63" s="1330"/>
      <c r="L63" s="1328"/>
      <c r="M63" s="1331"/>
      <c r="N63" s="1328"/>
      <c r="O63" s="1328"/>
      <c r="P63" s="1328"/>
      <c r="Q63" s="1328"/>
      <c r="R63" s="1328"/>
      <c r="S63" s="1328"/>
      <c r="T63" s="1328"/>
      <c r="U63" s="1336"/>
      <c r="BK63" s="695"/>
      <c r="BL63" s="695"/>
    </row>
    <row r="64" spans="1:126" ht="15.5" thickBot="1">
      <c r="B64" s="1337"/>
      <c r="C64" s="1328"/>
      <c r="D64" s="1329"/>
      <c r="E64" s="1328"/>
      <c r="F64" s="1328"/>
      <c r="G64" s="1328"/>
      <c r="H64" s="1328"/>
      <c r="I64" s="1328"/>
      <c r="J64" s="1328"/>
      <c r="K64" s="1330"/>
      <c r="L64" s="1328"/>
      <c r="M64" s="1331"/>
      <c r="N64" s="1328"/>
      <c r="O64" s="1328"/>
      <c r="P64" s="1328"/>
      <c r="Q64" s="1328"/>
      <c r="R64" s="1328"/>
      <c r="S64" s="1328"/>
      <c r="T64" s="1328"/>
      <c r="U64" s="1336"/>
      <c r="AC64" s="844">
        <f>Z66*12</f>
        <v>0</v>
      </c>
      <c r="BM64" s="695"/>
    </row>
    <row r="65" spans="1:126" ht="15.5" thickBot="1">
      <c r="B65" s="1335" t="s">
        <v>159</v>
      </c>
      <c r="C65" s="1328"/>
      <c r="D65" s="1329"/>
      <c r="E65" s="1101" t="str">
        <f>IFERROR(Z74,"")</f>
        <v/>
      </c>
      <c r="F65" s="1328"/>
      <c r="G65" s="1328"/>
      <c r="H65" s="1338" t="str">
        <f>Z78</f>
        <v/>
      </c>
      <c r="I65" s="1328"/>
      <c r="J65" s="1328"/>
      <c r="K65" s="1339"/>
      <c r="L65" s="1328"/>
      <c r="M65" s="1331"/>
      <c r="N65" s="1328"/>
      <c r="O65" s="1328"/>
      <c r="P65" s="1328"/>
      <c r="Q65" s="1328"/>
      <c r="R65" s="1328"/>
      <c r="S65" s="1328"/>
      <c r="T65" s="1328"/>
      <c r="U65" s="1336"/>
      <c r="Z65" s="21">
        <f>IF(Z66&lt;0,"",Z66)</f>
        <v>0</v>
      </c>
      <c r="AC65" s="844">
        <f t="shared" ref="AC65:AC68" si="19">Z67*12</f>
        <v>0</v>
      </c>
      <c r="AI65" s="679" t="s">
        <v>115</v>
      </c>
      <c r="AJ65" s="692"/>
      <c r="AK65" s="692"/>
      <c r="AL65" s="692"/>
      <c r="AM65" s="693"/>
      <c r="AO65" s="679" t="s">
        <v>160</v>
      </c>
      <c r="AP65" s="692"/>
      <c r="AQ65" s="692"/>
      <c r="AR65" s="692"/>
      <c r="AS65" s="693"/>
      <c r="AU65" s="679" t="s">
        <v>161</v>
      </c>
      <c r="AV65" s="692"/>
      <c r="AW65" s="692"/>
      <c r="AX65" s="692"/>
      <c r="AY65" s="693"/>
      <c r="BA65" s="679"/>
      <c r="BB65" s="692"/>
      <c r="BC65" s="692"/>
      <c r="BD65" s="692"/>
      <c r="BE65" s="693"/>
    </row>
    <row r="66" spans="1:126">
      <c r="B66" s="1335"/>
      <c r="C66" s="1331"/>
      <c r="D66" s="1331"/>
      <c r="E66" s="1102" t="str">
        <f>IFERROR(Z75,"")</f>
        <v/>
      </c>
      <c r="F66" s="1328"/>
      <c r="G66" s="1328"/>
      <c r="H66" s="1340"/>
      <c r="I66" s="1328"/>
      <c r="J66" s="1328"/>
      <c r="K66" s="1330"/>
      <c r="L66" s="1328"/>
      <c r="M66" s="1331"/>
      <c r="N66" s="1328"/>
      <c r="O66" s="1328"/>
      <c r="P66" s="1328"/>
      <c r="Q66" s="1328"/>
      <c r="R66" s="1328"/>
      <c r="S66" s="1328"/>
      <c r="T66" s="1328"/>
      <c r="U66" s="1336"/>
      <c r="Z66" s="30">
        <f>((O15*80%)*52/12)+AX10</f>
        <v>0</v>
      </c>
      <c r="AA66" s="646" t="s">
        <v>2</v>
      </c>
      <c r="AC66" s="844">
        <f t="shared" si="19"/>
        <v>0</v>
      </c>
      <c r="AI66" s="666" t="s">
        <v>162</v>
      </c>
      <c r="AJ66" s="648"/>
      <c r="AK66" s="18">
        <f>IFERROR((H41/AM66),0)</f>
        <v>0</v>
      </c>
      <c r="AL66" s="683"/>
      <c r="AM66" s="19" t="e">
        <f>VLOOKUP(K41,'Exchange Rates'!C4:D16,2,FALSE)</f>
        <v>#N/A</v>
      </c>
      <c r="AO66" s="666" t="s">
        <v>162</v>
      </c>
      <c r="AP66" s="648"/>
      <c r="AQ66" s="18">
        <f>IFERROR((R41/AS66),0)</f>
        <v>0</v>
      </c>
      <c r="AR66" s="683"/>
      <c r="AS66" s="19" t="e">
        <f>VLOOKUP(U41,'Exchange Rates'!C4:D16,2,FALSE)</f>
        <v>#N/A</v>
      </c>
      <c r="AU66" s="666" t="s">
        <v>162</v>
      </c>
      <c r="AV66" s="648"/>
      <c r="AW66" s="18">
        <f>IFERROR((H44/AY66),0)</f>
        <v>0</v>
      </c>
      <c r="AX66" s="683"/>
      <c r="AY66" s="19" t="e">
        <f>VLOOKUP(K42,'Exchange Rates'!D4:D16,2,FALSE)</f>
        <v>#N/A</v>
      </c>
      <c r="BA66" s="666"/>
      <c r="BB66" s="648"/>
      <c r="BC66" s="683"/>
      <c r="BD66" s="683"/>
      <c r="BE66" s="684"/>
    </row>
    <row r="67" spans="1:126">
      <c r="B67" s="1341"/>
      <c r="C67" s="1328"/>
      <c r="D67" s="1329"/>
      <c r="E67" s="1342"/>
      <c r="F67" s="1328"/>
      <c r="G67" s="1328"/>
      <c r="H67" s="1343"/>
      <c r="I67" s="1328"/>
      <c r="J67" s="1328"/>
      <c r="K67" s="1330"/>
      <c r="L67" s="1328"/>
      <c r="M67" s="1331"/>
      <c r="N67" s="1328"/>
      <c r="O67" s="1328"/>
      <c r="P67" s="1328"/>
      <c r="Q67" s="1328"/>
      <c r="R67" s="1328"/>
      <c r="S67" s="1328"/>
      <c r="T67" s="1328"/>
      <c r="U67" s="1336"/>
      <c r="Z67" s="30">
        <f>AX12+AX13</f>
        <v>0</v>
      </c>
      <c r="AA67" s="646" t="s">
        <v>163</v>
      </c>
      <c r="AC67" s="844">
        <f t="shared" si="19"/>
        <v>0</v>
      </c>
      <c r="AI67" s="666" t="s">
        <v>164</v>
      </c>
      <c r="AJ67" s="648"/>
      <c r="AK67" s="18">
        <f>IFERROR(('Additional Borrowers'!H33/AM67),0)</f>
        <v>0</v>
      </c>
      <c r="AL67" s="683"/>
      <c r="AM67" s="19" t="e">
        <f>VLOOKUP('Additional Borrowers'!K33,'Exchange Rates'!C4:D16,2,FALSE)</f>
        <v>#N/A</v>
      </c>
      <c r="AO67" s="666" t="s">
        <v>164</v>
      </c>
      <c r="AP67" s="648"/>
      <c r="AQ67" s="18">
        <f>IFERROR(('Additional Borrowers'!R33/AS67),0)</f>
        <v>0</v>
      </c>
      <c r="AR67" s="683"/>
      <c r="AS67" s="19" t="e">
        <f>VLOOKUP('Additional Borrowers'!U33,'Exchange Rates'!C4:D16,2,FALSE)</f>
        <v>#N/A</v>
      </c>
      <c r="AU67" s="666" t="s">
        <v>164</v>
      </c>
      <c r="AV67" s="648"/>
      <c r="AW67" s="18">
        <f>IFERROR(('Additional Borrowers'!H36/AY67),0)</f>
        <v>0</v>
      </c>
      <c r="AX67" s="683"/>
      <c r="AY67" s="19" t="e">
        <f>VLOOKUP('Additional Borrowers'!K36,'Exchange Rates'!C4:D16,2,FALSE)</f>
        <v>#N/A</v>
      </c>
      <c r="BA67" s="666"/>
      <c r="BB67" s="648"/>
      <c r="BC67" s="683"/>
      <c r="BD67" s="683"/>
      <c r="BE67" s="684"/>
    </row>
    <row r="68" spans="1:126" ht="16.5">
      <c r="B68" s="1341"/>
      <c r="C68" s="1328"/>
      <c r="D68" s="1329"/>
      <c r="E68" s="1343"/>
      <c r="F68" s="1328"/>
      <c r="G68" s="1328"/>
      <c r="H68" s="1328"/>
      <c r="I68" s="1328"/>
      <c r="J68" s="1328"/>
      <c r="K68" s="1330"/>
      <c r="L68" s="1328"/>
      <c r="M68" s="1331"/>
      <c r="N68" s="1328"/>
      <c r="O68" s="1328"/>
      <c r="P68" s="1328"/>
      <c r="Q68" s="1328"/>
      <c r="R68" s="1328"/>
      <c r="S68" s="1328"/>
      <c r="T68" s="1328"/>
      <c r="U68" s="1336"/>
      <c r="V68" s="651"/>
      <c r="Z68" s="30">
        <f>Z66-Z67</f>
        <v>0</v>
      </c>
      <c r="AA68" s="646" t="s">
        <v>165</v>
      </c>
      <c r="AC68" s="844" t="e">
        <f t="shared" si="19"/>
        <v>#VALUE!</v>
      </c>
      <c r="AI68" s="666"/>
      <c r="AJ68" s="648"/>
      <c r="AK68" s="18">
        <f>SUM(AK66:AK67)</f>
        <v>0</v>
      </c>
      <c r="AL68" s="683"/>
      <c r="AM68" s="684"/>
      <c r="AO68" s="666"/>
      <c r="AP68" s="648"/>
      <c r="AQ68" s="18">
        <f>SUM(AQ66:AQ67)</f>
        <v>0</v>
      </c>
      <c r="AR68" s="683"/>
      <c r="AS68" s="684"/>
      <c r="AU68" s="666"/>
      <c r="AV68" s="648"/>
      <c r="AW68" s="18">
        <f>SUM(AW66:AW67)</f>
        <v>0</v>
      </c>
      <c r="AX68" s="683"/>
      <c r="AY68" s="684"/>
      <c r="BA68" s="666"/>
      <c r="BB68" s="648"/>
      <c r="BC68" s="683"/>
      <c r="BD68" s="683"/>
      <c r="BE68" s="684"/>
    </row>
    <row r="69" spans="1:126">
      <c r="B69" s="1344"/>
      <c r="C69" s="1328"/>
      <c r="D69" s="1329"/>
      <c r="E69" s="1328"/>
      <c r="F69" s="1328"/>
      <c r="G69" s="1328"/>
      <c r="H69" s="1328"/>
      <c r="I69" s="1328"/>
      <c r="J69" s="1328"/>
      <c r="K69" s="1330"/>
      <c r="L69" s="1328"/>
      <c r="M69" s="1331"/>
      <c r="N69" s="1328"/>
      <c r="O69" s="1328"/>
      <c r="P69" s="1328"/>
      <c r="Q69" s="1328"/>
      <c r="R69" s="1328"/>
      <c r="S69" s="1328"/>
      <c r="T69" s="1328"/>
      <c r="U69" s="1336"/>
      <c r="Y69" s="646" t="s">
        <v>166</v>
      </c>
      <c r="Z69" s="703">
        <f>IF(E15&lt;30,E15,29.9)</f>
        <v>0</v>
      </c>
      <c r="AC69" s="844">
        <f>Z72*12</f>
        <v>0.86999999999999988</v>
      </c>
      <c r="AI69" s="666"/>
      <c r="AJ69" s="648"/>
      <c r="AK69" s="683"/>
      <c r="AL69" s="683"/>
      <c r="AM69" s="684"/>
      <c r="AO69" s="666"/>
      <c r="AP69" s="648"/>
      <c r="AQ69" s="683"/>
      <c r="AR69" s="683"/>
      <c r="AS69" s="684"/>
      <c r="AU69" s="666"/>
      <c r="AV69" s="648"/>
      <c r="AW69" s="683"/>
      <c r="AX69" s="683"/>
      <c r="AY69" s="684"/>
      <c r="BA69" s="666"/>
      <c r="BB69" s="648"/>
      <c r="BC69" s="683"/>
      <c r="BD69" s="683"/>
      <c r="BE69" s="684"/>
    </row>
    <row r="70" spans="1:126" ht="15" customHeight="1">
      <c r="B70" s="1345" t="s">
        <v>167</v>
      </c>
      <c r="C70" s="1346"/>
      <c r="D70" s="1346"/>
      <c r="E70" s="1346"/>
      <c r="F70" s="1346"/>
      <c r="G70" s="1346"/>
      <c r="H70" s="1346"/>
      <c r="I70" s="1346"/>
      <c r="J70" s="1346"/>
      <c r="K70" s="1346"/>
      <c r="L70" s="1346"/>
      <c r="M70" s="1346"/>
      <c r="N70" s="1346"/>
      <c r="O70" s="1346"/>
      <c r="P70" s="1346"/>
      <c r="Q70" s="1346"/>
      <c r="R70" s="1346"/>
      <c r="S70" s="1346"/>
      <c r="T70" s="1346"/>
      <c r="U70" s="1347"/>
      <c r="Z70" s="820" t="e">
        <f>IF(E11="Vacant Land",O11*Z71/12,-PMT(Z71/12,(Z69-E13)*12,O11,0,0))</f>
        <v>#VALUE!</v>
      </c>
      <c r="AA70" s="819" t="s">
        <v>168</v>
      </c>
    </row>
    <row r="71" spans="1:126" s="654" customFormat="1" ht="16.899999999999999" customHeight="1">
      <c r="A71" s="640"/>
      <c r="B71" s="1332" t="s">
        <v>169</v>
      </c>
      <c r="C71" s="1318"/>
      <c r="D71" s="1318"/>
      <c r="E71" s="1318"/>
      <c r="F71" s="1318"/>
      <c r="G71" s="1318"/>
      <c r="H71" s="1318"/>
      <c r="I71" s="1318"/>
      <c r="J71" s="1318"/>
      <c r="K71" s="1319"/>
      <c r="L71" s="1318"/>
      <c r="M71" s="1318"/>
      <c r="N71" s="1318"/>
      <c r="O71" s="1318"/>
      <c r="P71" s="1318"/>
      <c r="Q71" s="1318"/>
      <c r="R71" s="1318"/>
      <c r="S71" s="1318"/>
      <c r="T71" s="1318"/>
      <c r="U71" s="1333"/>
      <c r="V71" s="640"/>
      <c r="W71" s="645"/>
      <c r="X71" s="1066"/>
      <c r="Y71" s="646"/>
      <c r="Z71" s="1061" t="str">
        <f>IF('Assessment Rate Table'!D30&lt;&gt;"",'Assessment Rate Table'!D30,IF('Assessment Rate Table'!I30&lt;&gt;"",'Assessment Rate Table'!I30,IF('Assessment Rate Table'!N30&lt;&gt;"",'Assessment Rate Table'!N30,IF('Assessment Rate Table'!T30&lt;&gt;"",'Assessment Rate Table'!T30,""))))</f>
        <v/>
      </c>
      <c r="AA71" s="819" t="s">
        <v>170</v>
      </c>
      <c r="AB71" s="646"/>
      <c r="AC71" s="646"/>
      <c r="AD71" s="646"/>
      <c r="AE71" s="646"/>
      <c r="AF71" s="646"/>
      <c r="AG71" s="646"/>
      <c r="AH71" s="646"/>
      <c r="AI71" s="646"/>
      <c r="AJ71" s="646"/>
      <c r="AK71" s="646"/>
      <c r="AL71" s="646"/>
      <c r="AM71" s="646"/>
      <c r="AN71" s="646"/>
      <c r="AO71" s="646"/>
      <c r="AP71" s="646"/>
      <c r="AQ71" s="646"/>
      <c r="AR71" s="646"/>
      <c r="AS71" s="646"/>
      <c r="AT71" s="646"/>
      <c r="AU71" s="645"/>
      <c r="AV71" s="645"/>
      <c r="AW71" s="645"/>
      <c r="AX71" s="645"/>
      <c r="AY71" s="646"/>
      <c r="AZ71" s="646"/>
      <c r="BA71" s="646"/>
      <c r="BB71" s="646"/>
      <c r="BC71" s="646"/>
      <c r="BD71" s="646"/>
      <c r="BE71" s="646"/>
      <c r="BF71" s="646"/>
      <c r="BG71" s="646"/>
      <c r="BH71" s="646"/>
      <c r="BI71" s="647"/>
      <c r="BJ71" s="647"/>
      <c r="BK71" s="647"/>
      <c r="BL71" s="647"/>
      <c r="BM71" s="647"/>
      <c r="BN71" s="651"/>
      <c r="BO71" s="651"/>
      <c r="BP71" s="651"/>
      <c r="BQ71" s="651"/>
      <c r="BR71" s="651"/>
      <c r="BS71" s="651"/>
      <c r="BT71" s="651"/>
      <c r="BU71" s="651"/>
      <c r="BV71" s="651"/>
      <c r="BW71" s="651"/>
      <c r="BX71" s="651"/>
      <c r="BY71" s="651"/>
      <c r="BZ71" s="651"/>
      <c r="CA71" s="651"/>
      <c r="CB71" s="651"/>
      <c r="CC71" s="651"/>
      <c r="CD71" s="651"/>
      <c r="CE71" s="651"/>
      <c r="CF71" s="651"/>
      <c r="CG71" s="651"/>
      <c r="CH71" s="651"/>
      <c r="CI71" s="651"/>
      <c r="CJ71" s="651"/>
      <c r="CK71" s="651"/>
      <c r="CL71" s="651"/>
      <c r="CM71" s="651"/>
      <c r="CN71" s="651"/>
      <c r="CO71" s="651"/>
      <c r="CP71" s="651"/>
      <c r="CQ71" s="651"/>
      <c r="CR71" s="651"/>
      <c r="CS71" s="651"/>
      <c r="CT71" s="651"/>
      <c r="CU71" s="651"/>
      <c r="CV71" s="651"/>
      <c r="CW71" s="651"/>
      <c r="CX71" s="651"/>
      <c r="CY71" s="651"/>
      <c r="CZ71" s="651"/>
      <c r="DA71" s="651"/>
      <c r="DB71" s="651"/>
      <c r="DC71" s="651"/>
      <c r="DD71" s="651"/>
      <c r="DE71" s="651"/>
      <c r="DF71" s="651"/>
      <c r="DG71" s="651"/>
      <c r="DH71" s="651"/>
      <c r="DI71" s="651"/>
      <c r="DJ71" s="651"/>
      <c r="DK71" s="651"/>
      <c r="DL71" s="651"/>
      <c r="DM71" s="651"/>
      <c r="DN71" s="651"/>
      <c r="DO71" s="651"/>
      <c r="DP71" s="651"/>
      <c r="DQ71" s="651"/>
      <c r="DR71" s="651"/>
      <c r="DS71" s="651"/>
      <c r="DT71" s="651"/>
      <c r="DU71" s="651"/>
      <c r="DV71" s="651"/>
    </row>
    <row r="72" spans="1:126" s="640" customFormat="1" ht="16.5">
      <c r="A72" s="651"/>
      <c r="B72" s="1324" t="s">
        <v>495</v>
      </c>
      <c r="C72" s="1322"/>
      <c r="D72" s="1322"/>
      <c r="E72" s="1322"/>
      <c r="F72" s="1322"/>
      <c r="G72" s="1322"/>
      <c r="H72" s="1322"/>
      <c r="I72" s="1322"/>
      <c r="J72" s="1322"/>
      <c r="K72" s="1322"/>
      <c r="L72" s="1322"/>
      <c r="M72" s="1322"/>
      <c r="N72" s="1322"/>
      <c r="O72" s="1322"/>
      <c r="P72" s="1322"/>
      <c r="Q72" s="1322"/>
      <c r="R72" s="1322"/>
      <c r="S72" s="1322"/>
      <c r="T72" s="1322"/>
      <c r="U72" s="1323"/>
      <c r="W72" s="645"/>
      <c r="X72" s="1066"/>
      <c r="Y72" s="646"/>
      <c r="Z72" s="1062">
        <v>7.2499999999999995E-2</v>
      </c>
      <c r="AA72" s="1063" t="s">
        <v>171</v>
      </c>
      <c r="AB72" s="646"/>
      <c r="AC72" s="646"/>
      <c r="AD72" s="646"/>
      <c r="AE72" s="646"/>
      <c r="AF72" s="646"/>
      <c r="AG72" s="646"/>
      <c r="AH72" s="646"/>
      <c r="AI72" s="679" t="s">
        <v>172</v>
      </c>
      <c r="AJ72" s="692"/>
      <c r="AK72" s="692"/>
      <c r="AL72" s="692"/>
      <c r="AM72" s="693"/>
      <c r="AN72" s="646"/>
      <c r="AO72" s="679" t="s">
        <v>173</v>
      </c>
      <c r="AP72" s="692"/>
      <c r="AQ72" s="692"/>
      <c r="AR72" s="692"/>
      <c r="AS72" s="693"/>
      <c r="AT72" s="646"/>
      <c r="AU72" s="645"/>
      <c r="AV72" s="645"/>
      <c r="AW72" s="645"/>
      <c r="AX72" s="645"/>
      <c r="AY72" s="646"/>
      <c r="AZ72" s="646"/>
      <c r="BA72" s="646"/>
      <c r="BB72" s="646"/>
      <c r="BC72" s="646"/>
      <c r="BD72" s="646"/>
      <c r="BE72" s="646"/>
      <c r="BF72" s="646"/>
      <c r="BG72" s="646"/>
      <c r="BH72" s="646"/>
      <c r="BI72" s="647"/>
      <c r="BJ72" s="647"/>
      <c r="BK72" s="647"/>
      <c r="BL72" s="647"/>
      <c r="BM72" s="647"/>
    </row>
    <row r="73" spans="1:126" s="640" customFormat="1">
      <c r="B73" s="1324"/>
      <c r="C73" s="1322"/>
      <c r="D73" s="1322"/>
      <c r="E73" s="1322"/>
      <c r="F73" s="1322"/>
      <c r="G73" s="1322"/>
      <c r="H73" s="1322"/>
      <c r="I73" s="1322"/>
      <c r="J73" s="1322"/>
      <c r="K73" s="1322"/>
      <c r="L73" s="1322"/>
      <c r="M73" s="1322"/>
      <c r="N73" s="1322"/>
      <c r="O73" s="1322"/>
      <c r="P73" s="1322"/>
      <c r="Q73" s="1322"/>
      <c r="R73" s="1322"/>
      <c r="S73" s="1322"/>
      <c r="T73" s="1322"/>
      <c r="U73" s="1323"/>
      <c r="W73" s="645"/>
      <c r="X73" s="1066"/>
      <c r="Y73" s="646"/>
      <c r="Z73" s="673"/>
      <c r="AA73" s="646"/>
      <c r="AB73" s="646"/>
      <c r="AC73" s="646"/>
      <c r="AD73" s="646"/>
      <c r="AE73" s="646"/>
      <c r="AF73" s="646"/>
      <c r="AG73" s="646"/>
      <c r="AH73" s="646"/>
      <c r="AI73" s="666" t="s">
        <v>162</v>
      </c>
      <c r="AJ73" s="648"/>
      <c r="AK73" s="18">
        <f>IFERROR((R44/AM73),0)</f>
        <v>0</v>
      </c>
      <c r="AL73" s="683"/>
      <c r="AM73" s="19" t="e">
        <f>VLOOKUP(U44,'Exchange Rates'!C4:D16,2,FALSE)</f>
        <v>#N/A</v>
      </c>
      <c r="AN73" s="646"/>
      <c r="AO73" s="666" t="s">
        <v>162</v>
      </c>
      <c r="AP73" s="648"/>
      <c r="AQ73" s="18">
        <f>IFERROR((R45/AS73),0)</f>
        <v>0</v>
      </c>
      <c r="AR73" s="683"/>
      <c r="AS73" s="19">
        <f>VLOOKUP(U45,'Exchange Rates'!C4:D16,2,FALSE)</f>
        <v>4.5226600000000001</v>
      </c>
      <c r="AT73" s="646"/>
      <c r="AU73" s="645"/>
      <c r="AV73" s="645"/>
      <c r="AW73" s="645"/>
      <c r="AX73" s="645"/>
      <c r="AY73" s="646"/>
      <c r="AZ73" s="646"/>
      <c r="BA73" s="646"/>
      <c r="BB73" s="646"/>
      <c r="BC73" s="646"/>
      <c r="BD73" s="646"/>
      <c r="BE73" s="646"/>
      <c r="BF73" s="646"/>
      <c r="BG73" s="646"/>
      <c r="BH73" s="646"/>
      <c r="BI73" s="647"/>
      <c r="BJ73" s="647"/>
      <c r="BK73" s="647"/>
      <c r="BL73" s="647"/>
      <c r="BM73" s="647"/>
    </row>
    <row r="74" spans="1:126" s="640" customFormat="1">
      <c r="B74" s="1324"/>
      <c r="C74" s="1322"/>
      <c r="D74" s="1322"/>
      <c r="E74" s="1322"/>
      <c r="F74" s="1322"/>
      <c r="G74" s="1322"/>
      <c r="H74" s="1322"/>
      <c r="I74" s="1322"/>
      <c r="J74" s="1322"/>
      <c r="K74" s="1322"/>
      <c r="L74" s="1322"/>
      <c r="M74" s="1322"/>
      <c r="N74" s="1322"/>
      <c r="O74" s="1322"/>
      <c r="P74" s="1322"/>
      <c r="Q74" s="1322"/>
      <c r="R74" s="1322"/>
      <c r="S74" s="1322"/>
      <c r="T74" s="1322"/>
      <c r="U74" s="1323"/>
      <c r="W74" s="645"/>
      <c r="X74" s="1066"/>
      <c r="Y74" s="646"/>
      <c r="Z74" s="822" t="e">
        <f>Z68/Z70</f>
        <v>#VALUE!</v>
      </c>
      <c r="AA74" s="1027" t="s">
        <v>174</v>
      </c>
      <c r="AB74" s="646"/>
      <c r="AC74" s="646"/>
      <c r="AD74" s="646"/>
      <c r="AE74" s="646"/>
      <c r="AF74" s="646"/>
      <c r="AG74" s="646"/>
      <c r="AH74" s="646"/>
      <c r="AI74" s="666" t="s">
        <v>164</v>
      </c>
      <c r="AJ74" s="648"/>
      <c r="AK74" s="18">
        <f>IFERROR(('Additional Borrowers'!R36/AM74),0)</f>
        <v>0</v>
      </c>
      <c r="AL74" s="683"/>
      <c r="AM74" s="19" t="e">
        <f>VLOOKUP('Additional Borrowers'!U36,'Exchange Rates'!C4:D16,2,FALSE)</f>
        <v>#N/A</v>
      </c>
      <c r="AN74" s="646"/>
      <c r="AO74" s="666" t="s">
        <v>164</v>
      </c>
      <c r="AP74" s="648"/>
      <c r="AQ74" s="18">
        <f>IFERROR(('Additional Borrowers'!R37/AS74),0)</f>
        <v>0</v>
      </c>
      <c r="AR74" s="683"/>
      <c r="AS74" s="19">
        <f>VLOOKUP('Additional Borrowers'!U37,'Exchange Rates'!C4:D16,2,FALSE)</f>
        <v>4.5226600000000001</v>
      </c>
      <c r="AT74" s="646"/>
      <c r="AU74" s="645"/>
      <c r="AV74" s="645"/>
      <c r="AW74" s="645"/>
      <c r="AX74" s="645"/>
      <c r="AY74" s="646"/>
      <c r="AZ74" s="646"/>
      <c r="BA74" s="646"/>
      <c r="BB74" s="646"/>
      <c r="BC74" s="646"/>
      <c r="BD74" s="646"/>
      <c r="BE74" s="646"/>
      <c r="BF74" s="646"/>
      <c r="BG74" s="646"/>
      <c r="BH74" s="646"/>
      <c r="BI74" s="647"/>
      <c r="BJ74" s="647"/>
      <c r="BK74" s="647"/>
      <c r="BL74" s="647"/>
      <c r="BM74" s="647"/>
    </row>
    <row r="75" spans="1:126" s="640" customFormat="1">
      <c r="B75" s="1324"/>
      <c r="C75" s="1322"/>
      <c r="D75" s="1322"/>
      <c r="E75" s="1322"/>
      <c r="F75" s="1322"/>
      <c r="G75" s="1322"/>
      <c r="H75" s="1322"/>
      <c r="I75" s="1322"/>
      <c r="J75" s="1322"/>
      <c r="K75" s="1322"/>
      <c r="L75" s="1322"/>
      <c r="M75" s="1322"/>
      <c r="N75" s="1322"/>
      <c r="O75" s="1322"/>
      <c r="P75" s="1322"/>
      <c r="Q75" s="1322"/>
      <c r="R75" s="1322"/>
      <c r="S75" s="1322"/>
      <c r="T75" s="1322"/>
      <c r="U75" s="1323"/>
      <c r="W75" s="645"/>
      <c r="X75" s="1066"/>
      <c r="Y75" s="646"/>
      <c r="Z75" s="822" t="e">
        <f>(O11+E41+AK68+O41+AQ68+E44+AW68+O44+AK75+AQ75+'Additional Borrowers'!E33+'Additional Borrowers'!E36+'Additional Borrowers'!O33+'Additional Borrowers'!O36)/((AX5+AX8+AX9)*12)</f>
        <v>#DIV/0!</v>
      </c>
      <c r="AA75" s="1027" t="s">
        <v>175</v>
      </c>
      <c r="AB75" s="646"/>
      <c r="AC75" s="646"/>
      <c r="AD75" s="646"/>
      <c r="AE75" s="646"/>
      <c r="AF75" s="646"/>
      <c r="AG75" s="646"/>
      <c r="AH75" s="646"/>
      <c r="AI75" s="666"/>
      <c r="AJ75" s="648"/>
      <c r="AK75" s="18">
        <f>SUM(AK73:AK74)</f>
        <v>0</v>
      </c>
      <c r="AL75" s="683"/>
      <c r="AM75" s="684"/>
      <c r="AN75" s="646"/>
      <c r="AO75" s="666"/>
      <c r="AP75" s="648"/>
      <c r="AQ75" s="18">
        <f>SUM(AQ73:AQ74)</f>
        <v>0</v>
      </c>
      <c r="AR75" s="683"/>
      <c r="AS75" s="684"/>
      <c r="AT75" s="646"/>
      <c r="AU75" s="645"/>
      <c r="AV75" s="645"/>
      <c r="AW75" s="645"/>
      <c r="AX75" s="645"/>
      <c r="AY75" s="646"/>
      <c r="AZ75" s="646"/>
      <c r="BA75" s="646"/>
      <c r="BB75" s="646"/>
      <c r="BC75" s="646"/>
      <c r="BD75" s="646"/>
      <c r="BE75" s="646"/>
      <c r="BF75" s="646"/>
      <c r="BG75" s="646"/>
      <c r="BH75" s="646"/>
      <c r="BI75" s="647"/>
      <c r="BJ75" s="647"/>
      <c r="BK75" s="647"/>
      <c r="BL75" s="647"/>
      <c r="BM75" s="647"/>
    </row>
    <row r="76" spans="1:126" s="640" customFormat="1">
      <c r="B76" s="1324"/>
      <c r="C76" s="1322"/>
      <c r="D76" s="1322"/>
      <c r="E76" s="1322"/>
      <c r="F76" s="1322"/>
      <c r="G76" s="1322"/>
      <c r="H76" s="1322"/>
      <c r="I76" s="1322"/>
      <c r="J76" s="1322"/>
      <c r="K76" s="1322"/>
      <c r="L76" s="1322"/>
      <c r="M76" s="1322"/>
      <c r="N76" s="1322"/>
      <c r="O76" s="1322"/>
      <c r="P76" s="1322"/>
      <c r="Q76" s="1322"/>
      <c r="R76" s="1322"/>
      <c r="S76" s="1322"/>
      <c r="T76" s="1322"/>
      <c r="U76" s="1323"/>
      <c r="W76" s="645"/>
      <c r="X76" s="1066"/>
      <c r="Y76" s="646"/>
      <c r="Z76" s="673"/>
      <c r="AA76" s="646"/>
      <c r="AB76" s="646"/>
      <c r="AC76" s="646"/>
      <c r="AD76" s="646"/>
      <c r="AE76" s="646"/>
      <c r="AF76" s="646"/>
      <c r="AG76" s="646"/>
      <c r="AH76" s="646"/>
      <c r="AI76" s="666"/>
      <c r="AJ76" s="648"/>
      <c r="AK76" s="683"/>
      <c r="AL76" s="683"/>
      <c r="AM76" s="684"/>
      <c r="AN76" s="646"/>
      <c r="AO76" s="666"/>
      <c r="AP76" s="648"/>
      <c r="AQ76" s="683"/>
      <c r="AR76" s="683"/>
      <c r="AS76" s="684"/>
      <c r="AT76" s="646"/>
      <c r="AU76" s="645"/>
      <c r="AV76" s="645"/>
      <c r="AW76" s="645"/>
      <c r="AX76" s="645"/>
      <c r="AY76" s="646"/>
      <c r="AZ76" s="646"/>
      <c r="BA76" s="646"/>
      <c r="BB76" s="646"/>
      <c r="BC76" s="646"/>
      <c r="BD76" s="646"/>
      <c r="BE76" s="646"/>
      <c r="BF76" s="646"/>
      <c r="BG76" s="646"/>
      <c r="BH76" s="646"/>
      <c r="BI76" s="647"/>
      <c r="BJ76" s="647"/>
      <c r="BK76" s="647"/>
      <c r="BL76" s="647"/>
      <c r="BM76" s="647"/>
    </row>
    <row r="77" spans="1:126" s="640" customFormat="1">
      <c r="B77" s="1324"/>
      <c r="C77" s="1322"/>
      <c r="D77" s="1322"/>
      <c r="E77" s="1322"/>
      <c r="F77" s="1322"/>
      <c r="G77" s="1322"/>
      <c r="H77" s="1322"/>
      <c r="I77" s="1322"/>
      <c r="J77" s="1322"/>
      <c r="K77" s="1322"/>
      <c r="L77" s="1322"/>
      <c r="M77" s="1322"/>
      <c r="N77" s="1322"/>
      <c r="O77" s="1322"/>
      <c r="P77" s="1322"/>
      <c r="Q77" s="1322"/>
      <c r="R77" s="1322"/>
      <c r="S77" s="1322"/>
      <c r="T77" s="1322"/>
      <c r="U77" s="1323"/>
      <c r="W77" s="645"/>
      <c r="X77" s="1066"/>
      <c r="Y77" s="646"/>
      <c r="Z77" s="21" t="str">
        <f>IF(E65&lt;1,"Outside Lending Policy", "")</f>
        <v/>
      </c>
      <c r="AA77" s="646"/>
      <c r="AB77" s="646">
        <v>1.0001</v>
      </c>
      <c r="AC77" s="646"/>
      <c r="AD77" s="646"/>
      <c r="AE77" s="646"/>
      <c r="AF77" s="646"/>
      <c r="AG77" s="646"/>
      <c r="AH77" s="646"/>
      <c r="AI77" s="646"/>
      <c r="AJ77" s="646"/>
      <c r="AK77" s="646"/>
      <c r="AL77" s="646"/>
      <c r="AM77" s="646"/>
      <c r="AN77" s="646"/>
      <c r="AO77" s="646"/>
      <c r="AP77" s="646"/>
      <c r="AQ77" s="646"/>
      <c r="AR77" s="646"/>
      <c r="AS77" s="646"/>
      <c r="AT77" s="646"/>
      <c r="AU77" s="645"/>
      <c r="AV77" s="645"/>
      <c r="AW77" s="645"/>
      <c r="AX77" s="645"/>
      <c r="AY77" s="646"/>
      <c r="AZ77" s="646"/>
      <c r="BA77" s="646"/>
      <c r="BB77" s="646"/>
      <c r="BC77" s="646"/>
      <c r="BD77" s="646"/>
      <c r="BE77" s="646"/>
      <c r="BF77" s="646"/>
      <c r="BG77" s="646"/>
      <c r="BH77" s="646"/>
      <c r="BI77" s="647"/>
      <c r="BJ77" s="647"/>
      <c r="BK77" s="647"/>
      <c r="BL77" s="647"/>
      <c r="BM77" s="647"/>
    </row>
    <row r="78" spans="1:126" s="640" customFormat="1">
      <c r="B78" s="1324"/>
      <c r="C78" s="1322"/>
      <c r="D78" s="1322"/>
      <c r="E78" s="1322"/>
      <c r="F78" s="1322"/>
      <c r="G78" s="1322"/>
      <c r="H78" s="1322"/>
      <c r="I78" s="1322"/>
      <c r="J78" s="1322"/>
      <c r="K78" s="1322"/>
      <c r="L78" s="1322"/>
      <c r="M78" s="1322"/>
      <c r="N78" s="1322"/>
      <c r="O78" s="1322"/>
      <c r="P78" s="1322"/>
      <c r="Q78" s="1322"/>
      <c r="R78" s="1322"/>
      <c r="S78" s="1322"/>
      <c r="T78" s="1322"/>
      <c r="U78" s="1323"/>
      <c r="W78" s="645"/>
      <c r="X78" s="1066"/>
      <c r="Y78" s="646"/>
      <c r="Z78" s="21" t="str">
        <f>IF(AND(E65&gt;=AB77,E65&lt;=AB78),"Refer for Credit Review","")</f>
        <v/>
      </c>
      <c r="AA78" s="646"/>
      <c r="AB78" s="646">
        <v>1.0999000000000001</v>
      </c>
      <c r="AC78" s="646"/>
      <c r="AD78" s="646"/>
      <c r="AE78" s="646"/>
      <c r="AF78" s="646"/>
      <c r="AG78" s="646"/>
      <c r="AH78" s="646"/>
      <c r="AI78" s="646"/>
      <c r="AJ78" s="646"/>
      <c r="AK78" s="646"/>
      <c r="AL78" s="646"/>
      <c r="AM78" s="646"/>
      <c r="AN78" s="646"/>
      <c r="AO78" s="646"/>
      <c r="AP78" s="646"/>
      <c r="AQ78" s="646"/>
      <c r="AR78" s="646"/>
      <c r="AS78" s="646"/>
      <c r="AT78" s="646"/>
      <c r="AU78" s="645"/>
      <c r="AV78" s="645"/>
      <c r="AW78" s="645"/>
      <c r="AX78" s="645"/>
      <c r="AY78" s="646"/>
      <c r="AZ78" s="646"/>
      <c r="BA78" s="646"/>
      <c r="BB78" s="646"/>
      <c r="BC78" s="646"/>
      <c r="BD78" s="646"/>
      <c r="BE78" s="646"/>
      <c r="BF78" s="646"/>
      <c r="BG78" s="646"/>
      <c r="BH78" s="646"/>
      <c r="BI78" s="647"/>
      <c r="BJ78" s="647"/>
      <c r="BK78" s="647"/>
      <c r="BL78" s="647"/>
      <c r="BM78" s="647"/>
    </row>
    <row r="79" spans="1:126" s="640" customFormat="1" ht="21" customHeight="1">
      <c r="B79" s="1324"/>
      <c r="C79" s="1322"/>
      <c r="D79" s="1322"/>
      <c r="E79" s="1322"/>
      <c r="F79" s="1322"/>
      <c r="G79" s="1322"/>
      <c r="H79" s="1322"/>
      <c r="I79" s="1322"/>
      <c r="J79" s="1322"/>
      <c r="K79" s="1322"/>
      <c r="L79" s="1322"/>
      <c r="M79" s="1322"/>
      <c r="N79" s="1322"/>
      <c r="O79" s="1322"/>
      <c r="P79" s="1322"/>
      <c r="Q79" s="1322"/>
      <c r="R79" s="1322"/>
      <c r="S79" s="1322"/>
      <c r="T79" s="1322"/>
      <c r="U79" s="1323"/>
      <c r="W79" s="645"/>
      <c r="X79" s="1066"/>
      <c r="Y79" s="646"/>
      <c r="Z79" s="673"/>
      <c r="AA79" s="646"/>
      <c r="AB79" s="646">
        <v>1.1000000000000001</v>
      </c>
      <c r="AC79" s="646"/>
      <c r="AD79" s="646"/>
      <c r="AE79" s="646"/>
      <c r="AF79" s="646"/>
      <c r="AG79" s="646"/>
      <c r="AH79" s="646"/>
      <c r="AI79" s="646"/>
      <c r="AJ79" s="646"/>
      <c r="AK79" s="646"/>
      <c r="AL79" s="646"/>
      <c r="AM79" s="646"/>
      <c r="AN79" s="646"/>
      <c r="AO79" s="646"/>
      <c r="AP79" s="646"/>
      <c r="AQ79" s="646"/>
      <c r="AR79" s="646"/>
      <c r="AS79" s="646"/>
      <c r="AT79" s="646"/>
      <c r="AU79" s="645"/>
      <c r="AV79" s="645"/>
      <c r="AW79" s="645"/>
      <c r="AX79" s="645"/>
      <c r="AY79" s="646"/>
      <c r="AZ79" s="646"/>
      <c r="BA79" s="646"/>
      <c r="BB79" s="646"/>
      <c r="BC79" s="646"/>
      <c r="BD79" s="646"/>
      <c r="BE79" s="646"/>
      <c r="BF79" s="646"/>
      <c r="BG79" s="646"/>
      <c r="BH79" s="646"/>
      <c r="BI79" s="647"/>
      <c r="BJ79" s="647"/>
      <c r="BK79" s="647"/>
      <c r="BL79" s="647"/>
      <c r="BM79" s="647"/>
    </row>
    <row r="80" spans="1:126" s="640" customFormat="1" ht="25.5" customHeight="1">
      <c r="B80" s="1325"/>
      <c r="C80" s="1326"/>
      <c r="D80" s="1326"/>
      <c r="E80" s="1326"/>
      <c r="F80" s="1326"/>
      <c r="G80" s="1326"/>
      <c r="H80" s="1326"/>
      <c r="I80" s="1326"/>
      <c r="J80" s="1326"/>
      <c r="K80" s="1326"/>
      <c r="L80" s="1326"/>
      <c r="M80" s="1326"/>
      <c r="N80" s="1326"/>
      <c r="O80" s="1326"/>
      <c r="P80" s="1326"/>
      <c r="Q80" s="1326"/>
      <c r="R80" s="1326"/>
      <c r="S80" s="1326"/>
      <c r="T80" s="1326"/>
      <c r="U80" s="1327"/>
      <c r="W80" s="645"/>
      <c r="X80" s="1066"/>
      <c r="Y80" s="646"/>
      <c r="Z80" s="673"/>
      <c r="AA80" s="646"/>
      <c r="AB80" s="646"/>
      <c r="AC80" s="646"/>
      <c r="AD80" s="646"/>
      <c r="AE80" s="646"/>
      <c r="AF80" s="646"/>
      <c r="AG80" s="646"/>
      <c r="AH80" s="646"/>
      <c r="AI80" s="646"/>
      <c r="AJ80" s="646"/>
      <c r="AK80" s="646"/>
      <c r="AL80" s="646"/>
      <c r="AM80" s="646"/>
      <c r="AN80" s="646"/>
      <c r="AO80" s="646"/>
      <c r="AP80" s="646"/>
      <c r="AQ80" s="646"/>
      <c r="AR80" s="646"/>
      <c r="AS80" s="646"/>
      <c r="AT80" s="646"/>
      <c r="AU80" s="645"/>
      <c r="AV80" s="645"/>
      <c r="AW80" s="645"/>
      <c r="AX80" s="645"/>
      <c r="AY80" s="646"/>
      <c r="AZ80" s="646"/>
      <c r="BA80" s="646"/>
      <c r="BB80" s="646"/>
      <c r="BC80" s="646"/>
      <c r="BD80" s="646"/>
      <c r="BE80" s="646"/>
      <c r="BF80" s="646"/>
      <c r="BG80" s="646"/>
      <c r="BH80" s="646"/>
      <c r="BI80" s="647"/>
      <c r="BJ80" s="647"/>
      <c r="BK80" s="647"/>
      <c r="BL80" s="647"/>
      <c r="BM80" s="647"/>
    </row>
    <row r="81" spans="2:65" s="640" customFormat="1">
      <c r="B81" s="1022"/>
      <c r="C81" s="1022"/>
      <c r="D81" s="1022"/>
      <c r="E81" s="1022"/>
      <c r="F81" s="1022"/>
      <c r="G81" s="1022"/>
      <c r="H81" s="1022"/>
      <c r="I81" s="1022"/>
      <c r="J81" s="1022"/>
      <c r="K81" s="1022"/>
      <c r="L81" s="1022"/>
      <c r="M81" s="1022"/>
      <c r="N81" s="1022"/>
      <c r="O81" s="1022"/>
      <c r="P81" s="1022"/>
      <c r="Q81" s="1022"/>
      <c r="R81" s="1022"/>
      <c r="S81" s="1022"/>
      <c r="T81" s="1022"/>
      <c r="U81" s="1022"/>
      <c r="W81" s="645"/>
      <c r="X81" s="1066"/>
      <c r="Y81" s="646"/>
      <c r="Z81" s="673"/>
      <c r="AA81" s="646"/>
      <c r="AB81" s="646"/>
      <c r="AC81" s="646"/>
      <c r="AD81" s="646"/>
      <c r="AE81" s="646"/>
      <c r="AF81" s="646"/>
      <c r="AG81" s="646"/>
      <c r="AH81" s="646"/>
      <c r="AI81" s="646"/>
      <c r="AJ81" s="646"/>
      <c r="AK81" s="646"/>
      <c r="AL81" s="646"/>
      <c r="AM81" s="646"/>
      <c r="AN81" s="646"/>
      <c r="AO81" s="646"/>
      <c r="AP81" s="646"/>
      <c r="AQ81" s="646"/>
      <c r="AR81" s="646"/>
      <c r="AS81" s="646"/>
      <c r="AT81" s="646"/>
      <c r="AU81" s="645"/>
      <c r="AV81" s="645"/>
      <c r="AW81" s="645"/>
      <c r="AX81" s="645"/>
      <c r="AY81" s="646"/>
      <c r="AZ81" s="646"/>
      <c r="BA81" s="646"/>
      <c r="BB81" s="646"/>
      <c r="BC81" s="646"/>
      <c r="BD81" s="646"/>
      <c r="BE81" s="646"/>
      <c r="BF81" s="646"/>
      <c r="BG81" s="646"/>
      <c r="BH81" s="646"/>
      <c r="BI81" s="647"/>
      <c r="BJ81" s="647"/>
      <c r="BK81" s="647"/>
      <c r="BL81" s="647"/>
      <c r="BM81" s="647"/>
    </row>
    <row r="82" spans="2:65" s="640" customFormat="1">
      <c r="B82" s="1022"/>
      <c r="C82" s="1022"/>
      <c r="D82" s="1022"/>
      <c r="E82" s="1022"/>
      <c r="F82" s="1022"/>
      <c r="G82" s="1022"/>
      <c r="H82" s="1022"/>
      <c r="I82" s="1022"/>
      <c r="J82" s="1022"/>
      <c r="K82" s="1022"/>
      <c r="L82" s="1022"/>
      <c r="M82" s="1022"/>
      <c r="N82" s="1022"/>
      <c r="O82" s="1022"/>
      <c r="P82" s="1022"/>
      <c r="Q82" s="1022"/>
      <c r="R82" s="1022"/>
      <c r="S82" s="1022"/>
      <c r="T82" s="1022"/>
      <c r="U82" s="1022"/>
      <c r="W82" s="645"/>
      <c r="X82" s="1066"/>
      <c r="Y82" s="646"/>
      <c r="Z82" s="673"/>
      <c r="AA82" s="646"/>
      <c r="AB82" s="646"/>
      <c r="AC82" s="646"/>
      <c r="AD82" s="646"/>
      <c r="AE82" s="646"/>
      <c r="AF82" s="646"/>
      <c r="AG82" s="646"/>
      <c r="AH82" s="646"/>
      <c r="AI82" s="646"/>
      <c r="AJ82" s="646"/>
      <c r="AK82" s="646"/>
      <c r="AL82" s="646"/>
      <c r="AM82" s="646"/>
      <c r="AN82" s="646"/>
      <c r="AO82" s="646"/>
      <c r="AP82" s="646"/>
      <c r="AQ82" s="646"/>
      <c r="AR82" s="646"/>
      <c r="AS82" s="646"/>
      <c r="AT82" s="646"/>
      <c r="AU82" s="645"/>
      <c r="AV82" s="645"/>
      <c r="AW82" s="645"/>
      <c r="AX82" s="645"/>
      <c r="AY82" s="646"/>
      <c r="AZ82" s="646"/>
      <c r="BA82" s="646"/>
      <c r="BB82" s="646"/>
      <c r="BC82" s="646"/>
      <c r="BD82" s="646"/>
      <c r="BE82" s="646"/>
      <c r="BF82" s="646"/>
      <c r="BG82" s="646"/>
      <c r="BH82" s="646"/>
      <c r="BI82" s="647"/>
      <c r="BJ82" s="647"/>
      <c r="BK82" s="647"/>
      <c r="BL82" s="647"/>
      <c r="BM82" s="647"/>
    </row>
    <row r="83" spans="2:65" s="640" customFormat="1" hidden="1">
      <c r="B83" s="1022"/>
      <c r="C83" s="1022"/>
      <c r="D83" s="1022"/>
      <c r="E83" s="1022"/>
      <c r="F83" s="1022"/>
      <c r="G83" s="1022"/>
      <c r="H83" s="1022"/>
      <c r="I83" s="1022"/>
      <c r="J83" s="1022"/>
      <c r="K83" s="1022"/>
      <c r="L83" s="1022"/>
      <c r="M83" s="1022"/>
      <c r="N83" s="1022"/>
      <c r="O83" s="1022"/>
      <c r="P83" s="1022"/>
      <c r="Q83" s="1022"/>
      <c r="R83" s="1022"/>
      <c r="S83" s="1022"/>
      <c r="T83" s="1022"/>
      <c r="U83" s="1022"/>
      <c r="W83" s="645"/>
      <c r="X83" s="1066"/>
      <c r="Y83" s="646"/>
      <c r="Z83" s="673"/>
      <c r="AA83" s="646"/>
      <c r="AB83" s="646"/>
      <c r="AC83" s="646"/>
      <c r="AD83" s="646"/>
      <c r="AE83" s="646"/>
      <c r="AF83" s="646"/>
      <c r="AG83" s="646"/>
      <c r="AH83" s="646"/>
      <c r="AI83" s="646"/>
      <c r="AJ83" s="646"/>
      <c r="AK83" s="646"/>
      <c r="AL83" s="646"/>
      <c r="AM83" s="646"/>
      <c r="AN83" s="646"/>
      <c r="AO83" s="646"/>
      <c r="AP83" s="646"/>
      <c r="AQ83" s="646"/>
      <c r="AR83" s="646"/>
      <c r="AS83" s="646"/>
      <c r="AT83" s="646"/>
      <c r="AU83" s="645"/>
      <c r="AV83" s="645"/>
      <c r="AW83" s="645"/>
      <c r="AX83" s="645"/>
      <c r="AY83" s="646"/>
      <c r="AZ83" s="646"/>
      <c r="BA83" s="646"/>
      <c r="BB83" s="646"/>
      <c r="BC83" s="646"/>
      <c r="BD83" s="646"/>
      <c r="BE83" s="646"/>
      <c r="BF83" s="646"/>
      <c r="BG83" s="646"/>
      <c r="BH83" s="646"/>
      <c r="BI83" s="647"/>
      <c r="BJ83" s="647"/>
      <c r="BK83" s="647"/>
      <c r="BL83" s="647"/>
      <c r="BM83" s="647"/>
    </row>
    <row r="84" spans="2:65" s="640" customFormat="1" hidden="1">
      <c r="B84" s="1022"/>
      <c r="C84" s="1022"/>
      <c r="D84" s="1022"/>
      <c r="E84" s="1022"/>
      <c r="F84" s="1022"/>
      <c r="G84" s="1022"/>
      <c r="H84" s="1022"/>
      <c r="I84" s="1022"/>
      <c r="J84" s="1022"/>
      <c r="K84" s="1022"/>
      <c r="L84" s="1022"/>
      <c r="M84" s="1022"/>
      <c r="N84" s="1022"/>
      <c r="O84" s="1022"/>
      <c r="P84" s="1022"/>
      <c r="Q84" s="1022"/>
      <c r="R84" s="1022"/>
      <c r="S84" s="1022"/>
      <c r="T84" s="1022"/>
      <c r="U84" s="1022"/>
      <c r="W84" s="645"/>
      <c r="X84" s="1066"/>
      <c r="Y84" s="646"/>
      <c r="Z84" s="673"/>
      <c r="AA84" s="646"/>
      <c r="AB84" s="646"/>
      <c r="AC84" s="646"/>
      <c r="AD84" s="646"/>
      <c r="AE84" s="646"/>
      <c r="AF84" s="646"/>
      <c r="AG84" s="646"/>
      <c r="AH84" s="646"/>
      <c r="AI84" s="646"/>
      <c r="AJ84" s="646"/>
      <c r="AK84" s="646"/>
      <c r="AL84" s="646"/>
      <c r="AM84" s="646"/>
      <c r="AN84" s="646"/>
      <c r="AO84" s="646"/>
      <c r="AP84" s="646"/>
      <c r="AQ84" s="646"/>
      <c r="AR84" s="646"/>
      <c r="AS84" s="646"/>
      <c r="AT84" s="646"/>
      <c r="AU84" s="645"/>
      <c r="AV84" s="645"/>
      <c r="AW84" s="645"/>
      <c r="AX84" s="645"/>
      <c r="AY84" s="646"/>
      <c r="AZ84" s="646"/>
      <c r="BA84" s="646"/>
      <c r="BB84" s="646"/>
      <c r="BC84" s="646"/>
      <c r="BD84" s="646"/>
      <c r="BE84" s="646"/>
      <c r="BF84" s="646"/>
      <c r="BG84" s="646"/>
      <c r="BH84" s="646"/>
      <c r="BI84" s="647"/>
      <c r="BJ84" s="647"/>
      <c r="BK84" s="647"/>
      <c r="BL84" s="647"/>
      <c r="BM84" s="647"/>
    </row>
    <row r="85" spans="2:65" s="640" customFormat="1" hidden="1">
      <c r="B85" s="1022"/>
      <c r="C85" s="1022"/>
      <c r="D85" s="1022"/>
      <c r="E85" s="1022"/>
      <c r="F85" s="1022"/>
      <c r="G85" s="1022"/>
      <c r="H85" s="1022"/>
      <c r="I85" s="1022"/>
      <c r="J85" s="1022"/>
      <c r="K85" s="1022"/>
      <c r="L85" s="1022"/>
      <c r="M85" s="1022"/>
      <c r="N85" s="1022"/>
      <c r="O85" s="1022"/>
      <c r="P85" s="1022"/>
      <c r="Q85" s="1022"/>
      <c r="R85" s="1022"/>
      <c r="S85" s="1022"/>
      <c r="T85" s="1022"/>
      <c r="U85" s="1022"/>
      <c r="W85" s="645"/>
      <c r="X85" s="1066"/>
      <c r="Y85" s="646"/>
      <c r="Z85" s="673"/>
      <c r="AA85" s="646"/>
      <c r="AB85" s="646"/>
      <c r="AC85" s="646"/>
      <c r="AD85" s="646"/>
      <c r="AE85" s="646"/>
      <c r="AF85" s="646"/>
      <c r="AG85" s="646"/>
      <c r="AH85" s="646"/>
      <c r="AI85" s="646"/>
      <c r="AJ85" s="646"/>
      <c r="AK85" s="646"/>
      <c r="AL85" s="646"/>
      <c r="AM85" s="646"/>
      <c r="AN85" s="646"/>
      <c r="AO85" s="646"/>
      <c r="AP85" s="646"/>
      <c r="AQ85" s="646"/>
      <c r="AR85" s="646"/>
      <c r="AS85" s="646"/>
      <c r="AT85" s="646"/>
      <c r="AU85" s="645"/>
      <c r="AV85" s="645"/>
      <c r="AW85" s="645"/>
      <c r="AX85" s="645"/>
      <c r="AY85" s="646"/>
      <c r="AZ85" s="646"/>
      <c r="BA85" s="646"/>
      <c r="BB85" s="646"/>
      <c r="BC85" s="646"/>
      <c r="BD85" s="646"/>
      <c r="BE85" s="646"/>
      <c r="BF85" s="646"/>
      <c r="BG85" s="646"/>
      <c r="BH85" s="646"/>
      <c r="BI85" s="647"/>
      <c r="BJ85" s="647"/>
      <c r="BK85" s="647"/>
      <c r="BL85" s="647"/>
      <c r="BM85" s="647"/>
    </row>
    <row r="86" spans="2:65" s="640" customFormat="1" hidden="1">
      <c r="B86" s="1022"/>
      <c r="C86" s="1022"/>
      <c r="D86" s="1022"/>
      <c r="E86" s="1022"/>
      <c r="F86" s="1022"/>
      <c r="G86" s="1022"/>
      <c r="H86" s="1022"/>
      <c r="I86" s="1022"/>
      <c r="J86" s="1022"/>
      <c r="K86" s="1022"/>
      <c r="L86" s="1022"/>
      <c r="M86" s="1022"/>
      <c r="N86" s="1022"/>
      <c r="O86" s="1022"/>
      <c r="P86" s="1022"/>
      <c r="Q86" s="1022"/>
      <c r="R86" s="1022"/>
      <c r="S86" s="1022"/>
      <c r="T86" s="1022"/>
      <c r="U86" s="1022"/>
      <c r="W86" s="645"/>
      <c r="X86" s="1066"/>
      <c r="Y86" s="646"/>
      <c r="Z86" s="673"/>
      <c r="AA86" s="646"/>
      <c r="AB86" s="646"/>
      <c r="AC86" s="646"/>
      <c r="AD86" s="646"/>
      <c r="AE86" s="646"/>
      <c r="AF86" s="646"/>
      <c r="AG86" s="646"/>
      <c r="AH86" s="646"/>
      <c r="AI86" s="646"/>
      <c r="AJ86" s="646"/>
      <c r="AK86" s="646"/>
      <c r="AL86" s="646"/>
      <c r="AM86" s="646"/>
      <c r="AN86" s="646"/>
      <c r="AO86" s="646"/>
      <c r="AP86" s="646"/>
      <c r="AQ86" s="646"/>
      <c r="AR86" s="646"/>
      <c r="AS86" s="646"/>
      <c r="AT86" s="646"/>
      <c r="AU86" s="645"/>
      <c r="AV86" s="645"/>
      <c r="AW86" s="645"/>
      <c r="AX86" s="645"/>
      <c r="AY86" s="646"/>
      <c r="AZ86" s="646"/>
      <c r="BA86" s="646"/>
      <c r="BB86" s="646"/>
      <c r="BC86" s="646"/>
      <c r="BD86" s="646"/>
      <c r="BE86" s="646"/>
      <c r="BF86" s="646"/>
      <c r="BG86" s="646"/>
      <c r="BH86" s="646"/>
      <c r="BI86" s="647"/>
      <c r="BJ86" s="647"/>
      <c r="BK86" s="647"/>
      <c r="BL86" s="647"/>
      <c r="BM86" s="647"/>
    </row>
    <row r="87" spans="2:65" s="640" customFormat="1" hidden="1">
      <c r="B87" s="1022"/>
      <c r="C87" s="1022"/>
      <c r="D87" s="1022"/>
      <c r="E87" s="1022"/>
      <c r="F87" s="1022"/>
      <c r="G87" s="1022"/>
      <c r="H87" s="1022"/>
      <c r="I87" s="1022"/>
      <c r="J87" s="1022"/>
      <c r="K87" s="1022"/>
      <c r="L87" s="1022"/>
      <c r="M87" s="1022"/>
      <c r="N87" s="1022"/>
      <c r="O87" s="1022"/>
      <c r="P87" s="1022"/>
      <c r="Q87" s="1022"/>
      <c r="R87" s="1022"/>
      <c r="S87" s="1022"/>
      <c r="T87" s="1022"/>
      <c r="U87" s="1022"/>
      <c r="W87" s="645"/>
      <c r="X87" s="1066"/>
      <c r="Y87" s="646"/>
      <c r="Z87" s="673"/>
      <c r="AA87" s="646"/>
      <c r="AB87" s="646"/>
      <c r="AC87" s="646"/>
      <c r="AD87" s="646"/>
      <c r="AE87" s="646"/>
      <c r="AF87" s="646"/>
      <c r="AG87" s="646"/>
      <c r="AH87" s="646"/>
      <c r="AI87" s="646"/>
      <c r="AJ87" s="646"/>
      <c r="AK87" s="646"/>
      <c r="AL87" s="646"/>
      <c r="AM87" s="646"/>
      <c r="AN87" s="646"/>
      <c r="AO87" s="646"/>
      <c r="AP87" s="646"/>
      <c r="AQ87" s="646"/>
      <c r="AR87" s="646"/>
      <c r="AS87" s="646"/>
      <c r="AT87" s="646"/>
      <c r="AU87" s="645"/>
      <c r="AV87" s="645"/>
      <c r="AW87" s="645"/>
      <c r="AX87" s="645"/>
      <c r="AY87" s="646"/>
      <c r="AZ87" s="646"/>
      <c r="BA87" s="646"/>
      <c r="BB87" s="646"/>
      <c r="BC87" s="646"/>
      <c r="BD87" s="646"/>
      <c r="BE87" s="646"/>
      <c r="BF87" s="646"/>
      <c r="BG87" s="646"/>
      <c r="BH87" s="646"/>
      <c r="BI87" s="647"/>
      <c r="BJ87" s="647"/>
      <c r="BK87" s="647"/>
      <c r="BL87" s="647"/>
      <c r="BM87" s="647"/>
    </row>
    <row r="88" spans="2:65" s="640" customFormat="1" hidden="1">
      <c r="B88" s="1022"/>
      <c r="C88" s="1022"/>
      <c r="D88" s="1022"/>
      <c r="E88" s="1022"/>
      <c r="F88" s="1022"/>
      <c r="G88" s="1022"/>
      <c r="H88" s="1022"/>
      <c r="I88" s="1022"/>
      <c r="J88" s="1022"/>
      <c r="K88" s="1022"/>
      <c r="L88" s="1022"/>
      <c r="M88" s="1022"/>
      <c r="N88" s="1022"/>
      <c r="O88" s="1022"/>
      <c r="P88" s="1022"/>
      <c r="Q88" s="1022"/>
      <c r="R88" s="1022"/>
      <c r="S88" s="1022"/>
      <c r="T88" s="1022"/>
      <c r="U88" s="1022"/>
      <c r="W88" s="645"/>
      <c r="X88" s="1066"/>
      <c r="Y88" s="646"/>
      <c r="Z88" s="673"/>
      <c r="AA88" s="646"/>
      <c r="AB88" s="646"/>
      <c r="AC88" s="646"/>
      <c r="AD88" s="646"/>
      <c r="AE88" s="646"/>
      <c r="AF88" s="646"/>
      <c r="AG88" s="646"/>
      <c r="AH88" s="646"/>
      <c r="AI88" s="646"/>
      <c r="AJ88" s="646"/>
      <c r="AK88" s="646"/>
      <c r="AL88" s="646"/>
      <c r="AM88" s="646"/>
      <c r="AN88" s="646"/>
      <c r="AO88" s="646"/>
      <c r="AP88" s="646"/>
      <c r="AQ88" s="646"/>
      <c r="AR88" s="646"/>
      <c r="AS88" s="646"/>
      <c r="AT88" s="646"/>
      <c r="AU88" s="645"/>
      <c r="AV88" s="645"/>
      <c r="AW88" s="645"/>
      <c r="AX88" s="645"/>
      <c r="AY88" s="646"/>
      <c r="AZ88" s="646"/>
      <c r="BA88" s="646"/>
      <c r="BB88" s="646"/>
      <c r="BC88" s="646"/>
      <c r="BD88" s="646"/>
      <c r="BE88" s="646"/>
      <c r="BF88" s="646"/>
      <c r="BG88" s="646"/>
      <c r="BH88" s="646"/>
      <c r="BI88" s="647"/>
      <c r="BJ88" s="647"/>
      <c r="BK88" s="647"/>
      <c r="BL88" s="647"/>
      <c r="BM88" s="647"/>
    </row>
    <row r="89" spans="2:65" s="640" customFormat="1" hidden="1">
      <c r="B89" s="1022"/>
      <c r="C89" s="1022"/>
      <c r="D89" s="1022"/>
      <c r="E89" s="1022"/>
      <c r="F89" s="1022"/>
      <c r="G89" s="1022"/>
      <c r="H89" s="1022"/>
      <c r="I89" s="1022"/>
      <c r="J89" s="1022"/>
      <c r="K89" s="1022"/>
      <c r="L89" s="1022"/>
      <c r="M89" s="1022"/>
      <c r="N89" s="1022"/>
      <c r="O89" s="1022"/>
      <c r="P89" s="1022"/>
      <c r="Q89" s="1022"/>
      <c r="R89" s="1022"/>
      <c r="S89" s="1022"/>
      <c r="T89" s="1022"/>
      <c r="U89" s="1022"/>
      <c r="W89" s="645"/>
      <c r="X89" s="1066"/>
      <c r="Y89" s="646"/>
      <c r="Z89" s="673"/>
      <c r="AA89" s="646"/>
      <c r="AB89" s="646"/>
      <c r="AC89" s="646"/>
      <c r="AD89" s="646"/>
      <c r="AE89" s="646"/>
      <c r="AF89" s="646"/>
      <c r="AG89" s="646"/>
      <c r="AH89" s="646"/>
      <c r="AI89" s="646"/>
      <c r="AJ89" s="646"/>
      <c r="AK89" s="646"/>
      <c r="AL89" s="646"/>
      <c r="AM89" s="646"/>
      <c r="AN89" s="646"/>
      <c r="AO89" s="646"/>
      <c r="AP89" s="646"/>
      <c r="AQ89" s="646"/>
      <c r="AR89" s="646"/>
      <c r="AS89" s="646"/>
      <c r="AT89" s="646"/>
      <c r="AU89" s="645"/>
      <c r="AV89" s="645"/>
      <c r="AW89" s="645"/>
      <c r="AX89" s="645"/>
      <c r="AY89" s="646"/>
      <c r="AZ89" s="646"/>
      <c r="BA89" s="646"/>
      <c r="BB89" s="646"/>
      <c r="BC89" s="646"/>
      <c r="BD89" s="646"/>
      <c r="BE89" s="646"/>
      <c r="BF89" s="646"/>
      <c r="BG89" s="646"/>
      <c r="BH89" s="646"/>
      <c r="BI89" s="647"/>
      <c r="BJ89" s="647"/>
      <c r="BK89" s="647"/>
      <c r="BL89" s="647"/>
      <c r="BM89" s="647"/>
    </row>
    <row r="90" spans="2:65" s="640" customFormat="1" hidden="1">
      <c r="B90" s="1022"/>
      <c r="C90" s="1022"/>
      <c r="D90" s="1022"/>
      <c r="E90" s="1022"/>
      <c r="F90" s="1022"/>
      <c r="G90" s="1022"/>
      <c r="H90" s="1022"/>
      <c r="I90" s="1022"/>
      <c r="J90" s="1022"/>
      <c r="K90" s="1022"/>
      <c r="L90" s="1022"/>
      <c r="M90" s="1022"/>
      <c r="N90" s="1022"/>
      <c r="O90" s="1022"/>
      <c r="P90" s="1022"/>
      <c r="Q90" s="1022"/>
      <c r="R90" s="1022"/>
      <c r="S90" s="1022"/>
      <c r="T90" s="1022"/>
      <c r="U90" s="1022"/>
      <c r="W90" s="645"/>
      <c r="X90" s="1066"/>
      <c r="Y90" s="646"/>
      <c r="Z90" s="673"/>
      <c r="AA90" s="646"/>
      <c r="AB90" s="646"/>
      <c r="AC90" s="646"/>
      <c r="AD90" s="646"/>
      <c r="AE90" s="646"/>
      <c r="AF90" s="646"/>
      <c r="AG90" s="646"/>
      <c r="AH90" s="646"/>
      <c r="AI90" s="646"/>
      <c r="AJ90" s="646"/>
      <c r="AK90" s="646"/>
      <c r="AL90" s="646"/>
      <c r="AM90" s="646"/>
      <c r="AN90" s="646"/>
      <c r="AO90" s="646"/>
      <c r="AP90" s="646"/>
      <c r="AQ90" s="646"/>
      <c r="AR90" s="646"/>
      <c r="AS90" s="646"/>
      <c r="AT90" s="646"/>
      <c r="AU90" s="645"/>
      <c r="AV90" s="645"/>
      <c r="AW90" s="645"/>
      <c r="AX90" s="645"/>
      <c r="AY90" s="646"/>
      <c r="AZ90" s="646"/>
      <c r="BA90" s="646"/>
      <c r="BB90" s="646"/>
      <c r="BC90" s="646"/>
      <c r="BD90" s="646"/>
      <c r="BE90" s="646"/>
      <c r="BF90" s="646"/>
      <c r="BG90" s="646"/>
      <c r="BH90" s="646"/>
      <c r="BI90" s="647"/>
      <c r="BJ90" s="647"/>
      <c r="BK90" s="647"/>
      <c r="BL90" s="647"/>
      <c r="BM90" s="647"/>
    </row>
    <row r="91" spans="2:65" s="640" customFormat="1" hidden="1">
      <c r="B91" s="1022"/>
      <c r="C91" s="1022"/>
      <c r="D91" s="1022"/>
      <c r="E91" s="1022"/>
      <c r="F91" s="1022"/>
      <c r="G91" s="1022"/>
      <c r="H91" s="1022"/>
      <c r="I91" s="1022"/>
      <c r="J91" s="1022"/>
      <c r="K91" s="1022"/>
      <c r="L91" s="1022"/>
      <c r="M91" s="1022"/>
      <c r="N91" s="1022"/>
      <c r="O91" s="1022"/>
      <c r="P91" s="1022"/>
      <c r="Q91" s="1022"/>
      <c r="R91" s="1022"/>
      <c r="S91" s="1022"/>
      <c r="T91" s="1022"/>
      <c r="U91" s="1022"/>
      <c r="W91" s="645"/>
      <c r="X91" s="1066"/>
      <c r="Y91" s="646"/>
      <c r="Z91" s="673"/>
      <c r="AA91" s="646"/>
      <c r="AB91" s="646"/>
      <c r="AC91" s="646"/>
      <c r="AD91" s="646"/>
      <c r="AE91" s="646"/>
      <c r="AF91" s="646"/>
      <c r="AG91" s="646"/>
      <c r="AH91" s="646"/>
      <c r="AI91" s="646"/>
      <c r="AJ91" s="646"/>
      <c r="AK91" s="646"/>
      <c r="AL91" s="646"/>
      <c r="AM91" s="646"/>
      <c r="AN91" s="646"/>
      <c r="AO91" s="646"/>
      <c r="AP91" s="646"/>
      <c r="AQ91" s="646"/>
      <c r="AR91" s="646"/>
      <c r="AS91" s="646"/>
      <c r="AT91" s="646"/>
      <c r="AU91" s="645"/>
      <c r="AV91" s="645"/>
      <c r="AW91" s="645"/>
      <c r="AX91" s="645"/>
      <c r="AY91" s="646"/>
      <c r="AZ91" s="646"/>
      <c r="BA91" s="646"/>
      <c r="BB91" s="646"/>
      <c r="BC91" s="646"/>
      <c r="BD91" s="646"/>
      <c r="BE91" s="646"/>
      <c r="BF91" s="646"/>
      <c r="BG91" s="646"/>
      <c r="BH91" s="646"/>
      <c r="BI91" s="647"/>
      <c r="BJ91" s="647"/>
      <c r="BK91" s="647"/>
      <c r="BL91" s="647"/>
      <c r="BM91" s="647"/>
    </row>
    <row r="92" spans="2:65" s="640" customFormat="1" hidden="1">
      <c r="B92" s="1022"/>
      <c r="C92" s="1022"/>
      <c r="D92" s="1022"/>
      <c r="E92" s="1022"/>
      <c r="F92" s="1022"/>
      <c r="G92" s="1022"/>
      <c r="H92" s="1022"/>
      <c r="I92" s="1022"/>
      <c r="J92" s="1022"/>
      <c r="K92" s="1022"/>
      <c r="L92" s="1022"/>
      <c r="M92" s="1022"/>
      <c r="N92" s="1022"/>
      <c r="O92" s="1022"/>
      <c r="P92" s="1022"/>
      <c r="Q92" s="1022"/>
      <c r="R92" s="1022"/>
      <c r="S92" s="1022"/>
      <c r="T92" s="1022"/>
      <c r="U92" s="1022"/>
      <c r="W92" s="645"/>
      <c r="X92" s="1066"/>
      <c r="Y92" s="646"/>
      <c r="Z92" s="673"/>
      <c r="AA92" s="646"/>
      <c r="AB92" s="646"/>
      <c r="AC92" s="646"/>
      <c r="AD92" s="646"/>
      <c r="AE92" s="646"/>
      <c r="AF92" s="646"/>
      <c r="AG92" s="646"/>
      <c r="AH92" s="646"/>
      <c r="AI92" s="646"/>
      <c r="AJ92" s="646"/>
      <c r="AK92" s="646"/>
      <c r="AL92" s="646"/>
      <c r="AM92" s="646"/>
      <c r="AN92" s="646"/>
      <c r="AO92" s="646"/>
      <c r="AP92" s="646"/>
      <c r="AQ92" s="646"/>
      <c r="AR92" s="646"/>
      <c r="AS92" s="646"/>
      <c r="AT92" s="646"/>
      <c r="AU92" s="645"/>
      <c r="AV92" s="645"/>
      <c r="AW92" s="645"/>
      <c r="AX92" s="645"/>
      <c r="AY92" s="646"/>
      <c r="AZ92" s="646"/>
      <c r="BA92" s="646"/>
      <c r="BB92" s="646"/>
      <c r="BC92" s="646"/>
      <c r="BD92" s="646"/>
      <c r="BE92" s="646"/>
      <c r="BF92" s="646"/>
      <c r="BG92" s="646"/>
      <c r="BH92" s="646"/>
      <c r="BI92" s="647"/>
      <c r="BJ92" s="647"/>
      <c r="BK92" s="647"/>
      <c r="BL92" s="647"/>
      <c r="BM92" s="647"/>
    </row>
    <row r="93" spans="2:65" s="640" customFormat="1" hidden="1">
      <c r="B93" s="1022"/>
      <c r="C93" s="1022"/>
      <c r="D93" s="1022"/>
      <c r="E93" s="1022"/>
      <c r="F93" s="1022"/>
      <c r="G93" s="1022"/>
      <c r="H93" s="1022"/>
      <c r="I93" s="1022"/>
      <c r="J93" s="1022"/>
      <c r="K93" s="1022"/>
      <c r="L93" s="1022"/>
      <c r="M93" s="1022"/>
      <c r="N93" s="1022"/>
      <c r="O93" s="1022"/>
      <c r="P93" s="1022"/>
      <c r="Q93" s="1022"/>
      <c r="R93" s="1022"/>
      <c r="S93" s="1022"/>
      <c r="T93" s="1022"/>
      <c r="U93" s="1022"/>
      <c r="W93" s="645"/>
      <c r="X93" s="1066"/>
      <c r="Y93" s="646"/>
      <c r="Z93" s="673"/>
      <c r="AA93" s="646"/>
      <c r="AB93" s="646"/>
      <c r="AC93" s="646"/>
      <c r="AD93" s="646"/>
      <c r="AE93" s="646"/>
      <c r="AF93" s="646"/>
      <c r="AG93" s="646"/>
      <c r="AH93" s="646"/>
      <c r="AI93" s="646"/>
      <c r="AJ93" s="646"/>
      <c r="AK93" s="646"/>
      <c r="AL93" s="646"/>
      <c r="AM93" s="646"/>
      <c r="AN93" s="646"/>
      <c r="AO93" s="646"/>
      <c r="AP93" s="646"/>
      <c r="AQ93" s="646"/>
      <c r="AR93" s="646"/>
      <c r="AS93" s="646"/>
      <c r="AT93" s="646"/>
      <c r="AU93" s="645"/>
      <c r="AV93" s="645"/>
      <c r="AW93" s="645"/>
      <c r="AX93" s="645"/>
      <c r="AY93" s="646"/>
      <c r="AZ93" s="646"/>
      <c r="BA93" s="646"/>
      <c r="BB93" s="646"/>
      <c r="BC93" s="646"/>
      <c r="BD93" s="646"/>
      <c r="BE93" s="646"/>
      <c r="BF93" s="646"/>
      <c r="BG93" s="646"/>
      <c r="BH93" s="646"/>
      <c r="BI93" s="647"/>
      <c r="BJ93" s="647"/>
      <c r="BK93" s="647"/>
      <c r="BL93" s="647"/>
      <c r="BM93" s="647"/>
    </row>
    <row r="94" spans="2:65" s="640" customFormat="1" hidden="1">
      <c r="B94" s="1022"/>
      <c r="C94" s="1022"/>
      <c r="D94" s="1022"/>
      <c r="E94" s="1022"/>
      <c r="F94" s="1022"/>
      <c r="G94" s="1022"/>
      <c r="H94" s="1022"/>
      <c r="I94" s="1022"/>
      <c r="J94" s="1022"/>
      <c r="K94" s="1022"/>
      <c r="L94" s="1022"/>
      <c r="M94" s="1022"/>
      <c r="N94" s="1022"/>
      <c r="O94" s="1022"/>
      <c r="P94" s="1022"/>
      <c r="Q94" s="1022"/>
      <c r="R94" s="1022"/>
      <c r="S94" s="1022"/>
      <c r="T94" s="1022"/>
      <c r="U94" s="1022"/>
      <c r="W94" s="645"/>
      <c r="X94" s="1066"/>
      <c r="Y94" s="646"/>
      <c r="Z94" s="673"/>
      <c r="AA94" s="646"/>
      <c r="AB94" s="646"/>
      <c r="AC94" s="646"/>
      <c r="AD94" s="646"/>
      <c r="AE94" s="646"/>
      <c r="AF94" s="646"/>
      <c r="AG94" s="646"/>
      <c r="AH94" s="646"/>
      <c r="AI94" s="646"/>
      <c r="AJ94" s="646"/>
      <c r="AK94" s="646"/>
      <c r="AL94" s="646"/>
      <c r="AM94" s="646"/>
      <c r="AN94" s="646"/>
      <c r="AO94" s="646"/>
      <c r="AP94" s="646"/>
      <c r="AQ94" s="646"/>
      <c r="AR94" s="646"/>
      <c r="AS94" s="646"/>
      <c r="AT94" s="646"/>
      <c r="AU94" s="645"/>
      <c r="AV94" s="645"/>
      <c r="AW94" s="645"/>
      <c r="AX94" s="645"/>
      <c r="AY94" s="646"/>
      <c r="AZ94" s="646"/>
      <c r="BA94" s="646"/>
      <c r="BB94" s="646"/>
      <c r="BC94" s="646"/>
      <c r="BD94" s="646"/>
      <c r="BE94" s="646"/>
      <c r="BF94" s="646"/>
      <c r="BG94" s="646"/>
      <c r="BH94" s="646"/>
      <c r="BI94" s="647"/>
      <c r="BJ94" s="647"/>
      <c r="BK94" s="647"/>
      <c r="BL94" s="647"/>
      <c r="BM94" s="647"/>
    </row>
    <row r="95" spans="2:65" s="640" customFormat="1" hidden="1">
      <c r="B95" s="1022"/>
      <c r="C95" s="1022"/>
      <c r="D95" s="1022"/>
      <c r="E95" s="1022"/>
      <c r="F95" s="1022"/>
      <c r="G95" s="1022"/>
      <c r="H95" s="1022"/>
      <c r="I95" s="1022"/>
      <c r="J95" s="1022"/>
      <c r="K95" s="1022"/>
      <c r="L95" s="1022"/>
      <c r="M95" s="1022"/>
      <c r="N95" s="1022"/>
      <c r="O95" s="1022"/>
      <c r="P95" s="1022"/>
      <c r="Q95" s="1022"/>
      <c r="R95" s="1022"/>
      <c r="S95" s="1022"/>
      <c r="T95" s="1022"/>
      <c r="U95" s="1022"/>
      <c r="W95" s="645"/>
      <c r="X95" s="1066"/>
      <c r="Y95" s="646"/>
      <c r="Z95" s="673"/>
      <c r="AA95" s="646"/>
      <c r="AB95" s="646"/>
      <c r="AC95" s="646"/>
      <c r="AD95" s="646"/>
      <c r="AE95" s="646"/>
      <c r="AF95" s="646"/>
      <c r="AG95" s="646"/>
      <c r="AH95" s="646"/>
      <c r="AI95" s="646"/>
      <c r="AJ95" s="646"/>
      <c r="AK95" s="646"/>
      <c r="AL95" s="646"/>
      <c r="AM95" s="646"/>
      <c r="AN95" s="646"/>
      <c r="AO95" s="646"/>
      <c r="AP95" s="646"/>
      <c r="AQ95" s="646"/>
      <c r="AR95" s="646"/>
      <c r="AS95" s="646"/>
      <c r="AT95" s="646"/>
      <c r="AU95" s="645"/>
      <c r="AV95" s="645"/>
      <c r="AW95" s="645"/>
      <c r="AX95" s="645"/>
      <c r="AY95" s="646"/>
      <c r="AZ95" s="646"/>
      <c r="BA95" s="646"/>
      <c r="BB95" s="646"/>
      <c r="BC95" s="646"/>
      <c r="BD95" s="646"/>
      <c r="BE95" s="646"/>
      <c r="BF95" s="646"/>
      <c r="BG95" s="646"/>
      <c r="BH95" s="646"/>
      <c r="BI95" s="647"/>
      <c r="BJ95" s="647"/>
      <c r="BK95" s="647"/>
      <c r="BL95" s="647"/>
      <c r="BM95" s="647"/>
    </row>
    <row r="96" spans="2:65" s="640" customFormat="1" hidden="1">
      <c r="B96" s="1022"/>
      <c r="C96" s="1022"/>
      <c r="D96" s="1022"/>
      <c r="E96" s="1022"/>
      <c r="F96" s="1022"/>
      <c r="G96" s="1022"/>
      <c r="H96" s="1022"/>
      <c r="I96" s="1022"/>
      <c r="J96" s="1022"/>
      <c r="K96" s="1022"/>
      <c r="L96" s="1022"/>
      <c r="M96" s="1022"/>
      <c r="N96" s="1022"/>
      <c r="O96" s="1022"/>
      <c r="P96" s="1022"/>
      <c r="Q96" s="1022"/>
      <c r="R96" s="1022"/>
      <c r="S96" s="1022"/>
      <c r="T96" s="1022"/>
      <c r="U96" s="1022"/>
      <c r="W96" s="645"/>
      <c r="X96" s="1066"/>
      <c r="Y96" s="646"/>
      <c r="Z96" s="673"/>
      <c r="AA96" s="646"/>
      <c r="AB96" s="646"/>
      <c r="AC96" s="646"/>
      <c r="AD96" s="646"/>
      <c r="AE96" s="646"/>
      <c r="AF96" s="646"/>
      <c r="AG96" s="646"/>
      <c r="AH96" s="646"/>
      <c r="AI96" s="646"/>
      <c r="AJ96" s="646"/>
      <c r="AK96" s="646"/>
      <c r="AL96" s="646"/>
      <c r="AM96" s="646"/>
      <c r="AN96" s="646"/>
      <c r="AO96" s="646"/>
      <c r="AP96" s="646"/>
      <c r="AQ96" s="646"/>
      <c r="AR96" s="646"/>
      <c r="AS96" s="646"/>
      <c r="AT96" s="646"/>
      <c r="AU96" s="645"/>
      <c r="AV96" s="645"/>
      <c r="AW96" s="645"/>
      <c r="AX96" s="645"/>
      <c r="AY96" s="646"/>
      <c r="AZ96" s="646"/>
      <c r="BA96" s="646"/>
      <c r="BB96" s="646"/>
      <c r="BC96" s="646"/>
      <c r="BD96" s="646"/>
      <c r="BE96" s="646"/>
      <c r="BF96" s="646"/>
      <c r="BG96" s="646"/>
      <c r="BH96" s="646"/>
      <c r="BI96" s="647"/>
      <c r="BJ96" s="647"/>
      <c r="BK96" s="647"/>
      <c r="BL96" s="647"/>
      <c r="BM96" s="647"/>
    </row>
    <row r="97" spans="2:65" s="640" customFormat="1" hidden="1">
      <c r="B97" s="1022"/>
      <c r="C97" s="1022"/>
      <c r="D97" s="1022"/>
      <c r="E97" s="1022"/>
      <c r="F97" s="1022"/>
      <c r="G97" s="1022"/>
      <c r="H97" s="1022"/>
      <c r="I97" s="1022"/>
      <c r="J97" s="1022"/>
      <c r="K97" s="1022"/>
      <c r="L97" s="1022"/>
      <c r="M97" s="1022"/>
      <c r="N97" s="1022"/>
      <c r="O97" s="1022"/>
      <c r="P97" s="1022"/>
      <c r="Q97" s="1022"/>
      <c r="R97" s="1022"/>
      <c r="S97" s="1022"/>
      <c r="T97" s="1022"/>
      <c r="U97" s="1022"/>
      <c r="W97" s="645"/>
      <c r="X97" s="1066"/>
      <c r="Y97" s="646"/>
      <c r="Z97" s="673"/>
      <c r="AA97" s="646"/>
      <c r="AB97" s="646"/>
      <c r="AC97" s="646"/>
      <c r="AD97" s="646"/>
      <c r="AE97" s="646"/>
      <c r="AF97" s="646"/>
      <c r="AG97" s="646"/>
      <c r="AH97" s="646"/>
      <c r="AI97" s="646"/>
      <c r="AJ97" s="646"/>
      <c r="AK97" s="646"/>
      <c r="AL97" s="646"/>
      <c r="AM97" s="646"/>
      <c r="AN97" s="646"/>
      <c r="AO97" s="646"/>
      <c r="AP97" s="646"/>
      <c r="AQ97" s="646"/>
      <c r="AR97" s="646"/>
      <c r="AS97" s="646"/>
      <c r="AT97" s="646"/>
      <c r="AU97" s="645"/>
      <c r="AV97" s="645"/>
      <c r="AW97" s="645"/>
      <c r="AX97" s="645"/>
      <c r="AY97" s="646"/>
      <c r="AZ97" s="646"/>
      <c r="BA97" s="646"/>
      <c r="BB97" s="646"/>
      <c r="BC97" s="646"/>
      <c r="BD97" s="646"/>
      <c r="BE97" s="646"/>
      <c r="BF97" s="646"/>
      <c r="BG97" s="646"/>
      <c r="BH97" s="646"/>
      <c r="BI97" s="647"/>
      <c r="BJ97" s="647"/>
      <c r="BK97" s="647"/>
      <c r="BL97" s="647"/>
      <c r="BM97" s="647"/>
    </row>
    <row r="98" spans="2:65" s="640" customFormat="1" hidden="1">
      <c r="B98" s="1022"/>
      <c r="C98" s="1022"/>
      <c r="D98" s="1022"/>
      <c r="E98" s="1022"/>
      <c r="F98" s="1022"/>
      <c r="G98" s="1022"/>
      <c r="H98" s="1022"/>
      <c r="I98" s="1022"/>
      <c r="J98" s="1022"/>
      <c r="K98" s="1022"/>
      <c r="L98" s="1022"/>
      <c r="M98" s="1022"/>
      <c r="N98" s="1022"/>
      <c r="O98" s="1022"/>
      <c r="P98" s="1022"/>
      <c r="Q98" s="1022"/>
      <c r="R98" s="1022"/>
      <c r="S98" s="1022"/>
      <c r="T98" s="1022"/>
      <c r="U98" s="1022"/>
      <c r="W98" s="645"/>
      <c r="X98" s="1066"/>
      <c r="Y98" s="646"/>
      <c r="Z98" s="673"/>
      <c r="AA98" s="646"/>
      <c r="AB98" s="646"/>
      <c r="AC98" s="646"/>
      <c r="AD98" s="646"/>
      <c r="AE98" s="646"/>
      <c r="AF98" s="646"/>
      <c r="AG98" s="646"/>
      <c r="AH98" s="646"/>
      <c r="AI98" s="646"/>
      <c r="AJ98" s="646"/>
      <c r="AK98" s="646"/>
      <c r="AL98" s="646"/>
      <c r="AM98" s="646"/>
      <c r="AN98" s="646"/>
      <c r="AO98" s="646"/>
      <c r="AP98" s="646"/>
      <c r="AQ98" s="646"/>
      <c r="AR98" s="646"/>
      <c r="AS98" s="646"/>
      <c r="AT98" s="646"/>
      <c r="AU98" s="645"/>
      <c r="AV98" s="645"/>
      <c r="AW98" s="645"/>
      <c r="AX98" s="645"/>
      <c r="AY98" s="646"/>
      <c r="AZ98" s="646"/>
      <c r="BA98" s="646"/>
      <c r="BB98" s="646"/>
      <c r="BC98" s="646"/>
      <c r="BD98" s="646"/>
      <c r="BE98" s="646"/>
      <c r="BF98" s="646"/>
      <c r="BG98" s="646"/>
      <c r="BH98" s="646"/>
      <c r="BI98" s="647"/>
      <c r="BJ98" s="647"/>
      <c r="BK98" s="647"/>
      <c r="BL98" s="647"/>
      <c r="BM98" s="647"/>
    </row>
    <row r="99" spans="2:65" s="640" customFormat="1" hidden="1">
      <c r="B99" s="1022"/>
      <c r="C99" s="1022"/>
      <c r="D99" s="1022"/>
      <c r="E99" s="1022"/>
      <c r="F99" s="1022"/>
      <c r="G99" s="1022"/>
      <c r="H99" s="1022"/>
      <c r="I99" s="1022"/>
      <c r="J99" s="1022"/>
      <c r="K99" s="1022"/>
      <c r="L99" s="1022"/>
      <c r="M99" s="1022"/>
      <c r="N99" s="1022"/>
      <c r="O99" s="1022"/>
      <c r="P99" s="1022"/>
      <c r="Q99" s="1022"/>
      <c r="R99" s="1022"/>
      <c r="S99" s="1022"/>
      <c r="T99" s="1022"/>
      <c r="U99" s="1022"/>
      <c r="W99" s="645"/>
      <c r="X99" s="1066"/>
      <c r="Y99" s="646"/>
      <c r="Z99" s="673"/>
      <c r="AA99" s="646"/>
      <c r="AB99" s="646"/>
      <c r="AC99" s="646"/>
      <c r="AD99" s="646"/>
      <c r="AE99" s="646"/>
      <c r="AF99" s="646"/>
      <c r="AG99" s="646"/>
      <c r="AH99" s="646"/>
      <c r="AI99" s="646"/>
      <c r="AJ99" s="646"/>
      <c r="AK99" s="646"/>
      <c r="AL99" s="646"/>
      <c r="AM99" s="646"/>
      <c r="AN99" s="646"/>
      <c r="AO99" s="646"/>
      <c r="AP99" s="646"/>
      <c r="AQ99" s="646"/>
      <c r="AR99" s="646"/>
      <c r="AS99" s="646"/>
      <c r="AT99" s="646"/>
      <c r="AU99" s="645"/>
      <c r="AV99" s="645"/>
      <c r="AW99" s="645"/>
      <c r="AX99" s="645"/>
      <c r="AY99" s="646"/>
      <c r="AZ99" s="646"/>
      <c r="BA99" s="646"/>
      <c r="BB99" s="646"/>
      <c r="BC99" s="646"/>
      <c r="BD99" s="646"/>
      <c r="BE99" s="646"/>
      <c r="BF99" s="646"/>
      <c r="BG99" s="646"/>
      <c r="BH99" s="646"/>
      <c r="BI99" s="647"/>
      <c r="BJ99" s="647"/>
      <c r="BK99" s="647"/>
      <c r="BL99" s="647"/>
      <c r="BM99" s="647"/>
    </row>
    <row r="100" spans="2:65" s="640" customFormat="1" hidden="1">
      <c r="B100" s="1022"/>
      <c r="C100" s="1022"/>
      <c r="D100" s="1022"/>
      <c r="E100" s="1022"/>
      <c r="F100" s="1022"/>
      <c r="G100" s="1022"/>
      <c r="H100" s="1022"/>
      <c r="I100" s="1022"/>
      <c r="J100" s="1022"/>
      <c r="K100" s="1022"/>
      <c r="L100" s="1022"/>
      <c r="M100" s="1022"/>
      <c r="N100" s="1022"/>
      <c r="O100" s="1022"/>
      <c r="P100" s="1022"/>
      <c r="Q100" s="1022"/>
      <c r="R100" s="1022"/>
      <c r="S100" s="1022"/>
      <c r="T100" s="1022"/>
      <c r="U100" s="1022"/>
      <c r="W100" s="645"/>
      <c r="X100" s="1066"/>
      <c r="Y100" s="646"/>
      <c r="Z100" s="673"/>
      <c r="AA100" s="646"/>
      <c r="AB100" s="646"/>
      <c r="AC100" s="646"/>
      <c r="AD100" s="646"/>
      <c r="AE100" s="646"/>
      <c r="AF100" s="646"/>
      <c r="AG100" s="646"/>
      <c r="AH100" s="646"/>
      <c r="AI100" s="646"/>
      <c r="AJ100" s="646"/>
      <c r="AK100" s="646"/>
      <c r="AL100" s="646"/>
      <c r="AM100" s="646"/>
      <c r="AN100" s="646"/>
      <c r="AO100" s="646"/>
      <c r="AP100" s="646"/>
      <c r="AQ100" s="646"/>
      <c r="AR100" s="646"/>
      <c r="AS100" s="646"/>
      <c r="AT100" s="646"/>
      <c r="AU100" s="645"/>
      <c r="AV100" s="645"/>
      <c r="AW100" s="645"/>
      <c r="AX100" s="645"/>
      <c r="AY100" s="646"/>
      <c r="AZ100" s="646"/>
      <c r="BA100" s="646"/>
      <c r="BB100" s="646"/>
      <c r="BC100" s="646"/>
      <c r="BD100" s="646"/>
      <c r="BE100" s="646"/>
      <c r="BF100" s="646"/>
      <c r="BG100" s="646"/>
      <c r="BH100" s="646"/>
      <c r="BI100" s="647"/>
      <c r="BJ100" s="647"/>
      <c r="BK100" s="647"/>
      <c r="BL100" s="647"/>
      <c r="BM100" s="647"/>
    </row>
    <row r="101" spans="2:65" s="640" customFormat="1" hidden="1">
      <c r="B101" s="1022"/>
      <c r="C101" s="1022"/>
      <c r="D101" s="1022"/>
      <c r="E101" s="1022"/>
      <c r="F101" s="1022"/>
      <c r="G101" s="1022"/>
      <c r="H101" s="1022"/>
      <c r="I101" s="1022"/>
      <c r="J101" s="1022"/>
      <c r="K101" s="1022"/>
      <c r="L101" s="1022"/>
      <c r="M101" s="1022"/>
      <c r="N101" s="1022"/>
      <c r="O101" s="1022"/>
      <c r="P101" s="1022"/>
      <c r="Q101" s="1022"/>
      <c r="R101" s="1022"/>
      <c r="S101" s="1022"/>
      <c r="T101" s="1022"/>
      <c r="U101" s="1022"/>
      <c r="W101" s="645"/>
      <c r="X101" s="1066"/>
      <c r="Y101" s="646"/>
      <c r="Z101" s="673"/>
      <c r="AA101" s="646"/>
      <c r="AB101" s="646"/>
      <c r="AC101" s="646"/>
      <c r="AD101" s="646"/>
      <c r="AE101" s="646"/>
      <c r="AF101" s="646"/>
      <c r="AG101" s="646"/>
      <c r="AH101" s="646"/>
      <c r="AI101" s="646"/>
      <c r="AJ101" s="646"/>
      <c r="AK101" s="646"/>
      <c r="AL101" s="646"/>
      <c r="AM101" s="646"/>
      <c r="AN101" s="646"/>
      <c r="AO101" s="646"/>
      <c r="AP101" s="646"/>
      <c r="AQ101" s="646"/>
      <c r="AR101" s="646"/>
      <c r="AS101" s="646"/>
      <c r="AT101" s="646"/>
      <c r="AU101" s="645"/>
      <c r="AV101" s="645"/>
      <c r="AW101" s="645"/>
      <c r="AX101" s="645"/>
      <c r="AY101" s="646"/>
      <c r="AZ101" s="646"/>
      <c r="BA101" s="646"/>
      <c r="BB101" s="646"/>
      <c r="BC101" s="646"/>
      <c r="BD101" s="646"/>
      <c r="BE101" s="646"/>
      <c r="BF101" s="646"/>
      <c r="BG101" s="646"/>
      <c r="BH101" s="646"/>
      <c r="BI101" s="647"/>
      <c r="BJ101" s="647"/>
      <c r="BK101" s="647"/>
      <c r="BL101" s="647"/>
      <c r="BM101" s="647"/>
    </row>
    <row r="102" spans="2:65" s="640" customFormat="1" hidden="1">
      <c r="B102" s="1022"/>
      <c r="C102" s="1022"/>
      <c r="D102" s="1022"/>
      <c r="E102" s="1022"/>
      <c r="F102" s="1022"/>
      <c r="G102" s="1022"/>
      <c r="H102" s="1022"/>
      <c r="I102" s="1022"/>
      <c r="J102" s="1022"/>
      <c r="K102" s="1022"/>
      <c r="L102" s="1022"/>
      <c r="M102" s="1022"/>
      <c r="N102" s="1022"/>
      <c r="O102" s="1022"/>
      <c r="P102" s="1022"/>
      <c r="Q102" s="1022"/>
      <c r="R102" s="1022"/>
      <c r="S102" s="1022"/>
      <c r="T102" s="1022"/>
      <c r="U102" s="1022"/>
      <c r="W102" s="645"/>
      <c r="X102" s="1066"/>
      <c r="Y102" s="646"/>
      <c r="Z102" s="673"/>
      <c r="AA102" s="646"/>
      <c r="AB102" s="646"/>
      <c r="AC102" s="646"/>
      <c r="AD102" s="646"/>
      <c r="AE102" s="646"/>
      <c r="AF102" s="646"/>
      <c r="AG102" s="646"/>
      <c r="AH102" s="646"/>
      <c r="AI102" s="646"/>
      <c r="AJ102" s="646"/>
      <c r="AK102" s="646"/>
      <c r="AL102" s="646"/>
      <c r="AM102" s="646"/>
      <c r="AN102" s="646"/>
      <c r="AO102" s="646"/>
      <c r="AP102" s="646"/>
      <c r="AQ102" s="646"/>
      <c r="AR102" s="646"/>
      <c r="AS102" s="646"/>
      <c r="AT102" s="646"/>
      <c r="AU102" s="645"/>
      <c r="AV102" s="645"/>
      <c r="AW102" s="645"/>
      <c r="AX102" s="645"/>
      <c r="AY102" s="646"/>
      <c r="AZ102" s="646"/>
      <c r="BA102" s="646"/>
      <c r="BB102" s="646"/>
      <c r="BC102" s="646"/>
      <c r="BD102" s="646"/>
      <c r="BE102" s="646"/>
      <c r="BF102" s="646"/>
      <c r="BG102" s="646"/>
      <c r="BH102" s="646"/>
      <c r="BI102" s="647"/>
      <c r="BJ102" s="647"/>
      <c r="BK102" s="647"/>
      <c r="BL102" s="647"/>
      <c r="BM102" s="647"/>
    </row>
    <row r="103" spans="2:65" s="640" customFormat="1" hidden="1">
      <c r="B103" s="1022"/>
      <c r="C103" s="1022"/>
      <c r="D103" s="1022"/>
      <c r="E103" s="1022"/>
      <c r="F103" s="1022"/>
      <c r="G103" s="1022"/>
      <c r="H103" s="1022"/>
      <c r="I103" s="1022"/>
      <c r="J103" s="1022"/>
      <c r="K103" s="1022"/>
      <c r="L103" s="1022"/>
      <c r="M103" s="1022"/>
      <c r="N103" s="1022"/>
      <c r="O103" s="1022"/>
      <c r="P103" s="1022"/>
      <c r="Q103" s="1022"/>
      <c r="R103" s="1022"/>
      <c r="S103" s="1022"/>
      <c r="T103" s="1022"/>
      <c r="U103" s="1022"/>
      <c r="W103" s="645"/>
      <c r="X103" s="1066"/>
      <c r="Y103" s="646"/>
      <c r="Z103" s="673"/>
      <c r="AA103" s="646"/>
      <c r="AB103" s="646"/>
      <c r="AC103" s="646"/>
      <c r="AD103" s="646"/>
      <c r="AE103" s="646"/>
      <c r="AF103" s="646"/>
      <c r="AG103" s="646"/>
      <c r="AH103" s="646"/>
      <c r="AI103" s="646"/>
      <c r="AJ103" s="646"/>
      <c r="AK103" s="646"/>
      <c r="AL103" s="646"/>
      <c r="AM103" s="646"/>
      <c r="AN103" s="646"/>
      <c r="AO103" s="646"/>
      <c r="AP103" s="646"/>
      <c r="AQ103" s="646"/>
      <c r="AR103" s="646"/>
      <c r="AS103" s="646"/>
      <c r="AT103" s="646"/>
      <c r="AU103" s="645"/>
      <c r="AV103" s="645"/>
      <c r="AW103" s="645"/>
      <c r="AX103" s="645"/>
      <c r="AY103" s="646"/>
      <c r="AZ103" s="646"/>
      <c r="BA103" s="646"/>
      <c r="BB103" s="646"/>
      <c r="BC103" s="646"/>
      <c r="BD103" s="646"/>
      <c r="BE103" s="646"/>
      <c r="BF103" s="646"/>
      <c r="BG103" s="646"/>
      <c r="BH103" s="646"/>
      <c r="BI103" s="647"/>
      <c r="BJ103" s="647"/>
      <c r="BK103" s="647"/>
      <c r="BL103" s="647"/>
      <c r="BM103" s="647"/>
    </row>
    <row r="104" spans="2:65" s="640" customFormat="1" hidden="1">
      <c r="B104" s="1022"/>
      <c r="C104" s="1022"/>
      <c r="D104" s="1022"/>
      <c r="E104" s="1022"/>
      <c r="F104" s="1022"/>
      <c r="G104" s="1022"/>
      <c r="H104" s="1022"/>
      <c r="I104" s="1022"/>
      <c r="J104" s="1022"/>
      <c r="K104" s="1022"/>
      <c r="L104" s="1022"/>
      <c r="M104" s="1022"/>
      <c r="N104" s="1022"/>
      <c r="O104" s="1022"/>
      <c r="P104" s="1022"/>
      <c r="Q104" s="1022"/>
      <c r="R104" s="1022"/>
      <c r="S104" s="1022"/>
      <c r="T104" s="1022"/>
      <c r="U104" s="1022"/>
      <c r="W104" s="645"/>
      <c r="X104" s="1066"/>
      <c r="Y104" s="646"/>
      <c r="Z104" s="673"/>
      <c r="AA104" s="646"/>
      <c r="AB104" s="646"/>
      <c r="AC104" s="646"/>
      <c r="AD104" s="646"/>
      <c r="AE104" s="646"/>
      <c r="AF104" s="646"/>
      <c r="AG104" s="646"/>
      <c r="AH104" s="646"/>
      <c r="AI104" s="646"/>
      <c r="AJ104" s="646"/>
      <c r="AK104" s="646"/>
      <c r="AL104" s="646"/>
      <c r="AM104" s="646"/>
      <c r="AN104" s="646"/>
      <c r="AO104" s="646"/>
      <c r="AP104" s="646"/>
      <c r="AQ104" s="646"/>
      <c r="AR104" s="646"/>
      <c r="AS104" s="646"/>
      <c r="AT104" s="646"/>
      <c r="AU104" s="645"/>
      <c r="AV104" s="645"/>
      <c r="AW104" s="645"/>
      <c r="AX104" s="645"/>
      <c r="AY104" s="646"/>
      <c r="AZ104" s="646"/>
      <c r="BA104" s="646"/>
      <c r="BB104" s="646"/>
      <c r="BC104" s="646"/>
      <c r="BD104" s="646"/>
      <c r="BE104" s="646"/>
      <c r="BF104" s="646"/>
      <c r="BG104" s="646"/>
      <c r="BH104" s="646"/>
      <c r="BI104" s="647"/>
      <c r="BJ104" s="647"/>
      <c r="BK104" s="647"/>
      <c r="BL104" s="647"/>
      <c r="BM104" s="647"/>
    </row>
    <row r="105" spans="2:65" s="640" customFormat="1" hidden="1">
      <c r="B105" s="1022"/>
      <c r="C105" s="1022"/>
      <c r="D105" s="1022"/>
      <c r="E105" s="1022"/>
      <c r="F105" s="1022"/>
      <c r="G105" s="1022"/>
      <c r="H105" s="1022"/>
      <c r="I105" s="1022"/>
      <c r="J105" s="1022"/>
      <c r="K105" s="1022"/>
      <c r="L105" s="1022"/>
      <c r="M105" s="1022"/>
      <c r="N105" s="1022"/>
      <c r="O105" s="1022"/>
      <c r="P105" s="1022"/>
      <c r="Q105" s="1022"/>
      <c r="R105" s="1022"/>
      <c r="S105" s="1022"/>
      <c r="T105" s="1022"/>
      <c r="U105" s="1022"/>
      <c r="W105" s="645"/>
      <c r="X105" s="1066"/>
      <c r="Y105" s="646"/>
      <c r="Z105" s="673"/>
      <c r="AA105" s="646"/>
      <c r="AB105" s="646"/>
      <c r="AC105" s="646"/>
      <c r="AD105" s="646"/>
      <c r="AE105" s="646"/>
      <c r="AF105" s="646"/>
      <c r="AG105" s="646"/>
      <c r="AH105" s="646"/>
      <c r="AI105" s="646"/>
      <c r="AJ105" s="646"/>
      <c r="AK105" s="646"/>
      <c r="AL105" s="646"/>
      <c r="AM105" s="646"/>
      <c r="AN105" s="646"/>
      <c r="AO105" s="646"/>
      <c r="AP105" s="646"/>
      <c r="AQ105" s="646"/>
      <c r="AR105" s="646"/>
      <c r="AS105" s="646"/>
      <c r="AT105" s="646"/>
      <c r="AU105" s="645"/>
      <c r="AV105" s="645"/>
      <c r="AW105" s="645"/>
      <c r="AX105" s="645"/>
      <c r="AY105" s="646"/>
      <c r="AZ105" s="646"/>
      <c r="BA105" s="646"/>
      <c r="BB105" s="646"/>
      <c r="BC105" s="646"/>
      <c r="BD105" s="646"/>
      <c r="BE105" s="646"/>
      <c r="BF105" s="646"/>
      <c r="BG105" s="646"/>
      <c r="BH105" s="646"/>
      <c r="BI105" s="647"/>
      <c r="BJ105" s="647"/>
      <c r="BK105" s="647"/>
      <c r="BL105" s="647"/>
      <c r="BM105" s="647"/>
    </row>
    <row r="106" spans="2:65" s="640" customFormat="1" hidden="1">
      <c r="B106" s="1022"/>
      <c r="C106" s="1022"/>
      <c r="D106" s="1022"/>
      <c r="E106" s="1022"/>
      <c r="F106" s="1022"/>
      <c r="G106" s="1022"/>
      <c r="H106" s="1022"/>
      <c r="I106" s="1022"/>
      <c r="J106" s="1022"/>
      <c r="K106" s="1022"/>
      <c r="L106" s="1022"/>
      <c r="M106" s="1022"/>
      <c r="N106" s="1022"/>
      <c r="O106" s="1022"/>
      <c r="P106" s="1022"/>
      <c r="Q106" s="1022"/>
      <c r="R106" s="1022"/>
      <c r="S106" s="1022"/>
      <c r="T106" s="1022"/>
      <c r="U106" s="1022"/>
      <c r="W106" s="645"/>
      <c r="X106" s="1066"/>
      <c r="Y106" s="646"/>
      <c r="Z106" s="673"/>
      <c r="AA106" s="646"/>
      <c r="AB106" s="646"/>
      <c r="AC106" s="646"/>
      <c r="AD106" s="646"/>
      <c r="AE106" s="646"/>
      <c r="AF106" s="646"/>
      <c r="AG106" s="646"/>
      <c r="AH106" s="646"/>
      <c r="AI106" s="646"/>
      <c r="AJ106" s="646"/>
      <c r="AK106" s="646"/>
      <c r="AL106" s="646"/>
      <c r="AM106" s="646"/>
      <c r="AN106" s="646"/>
      <c r="AO106" s="646"/>
      <c r="AP106" s="646"/>
      <c r="AQ106" s="646"/>
      <c r="AR106" s="646"/>
      <c r="AS106" s="646"/>
      <c r="AT106" s="646"/>
      <c r="AU106" s="645"/>
      <c r="AV106" s="645"/>
      <c r="AW106" s="645"/>
      <c r="AX106" s="645"/>
      <c r="AY106" s="646"/>
      <c r="AZ106" s="646"/>
      <c r="BA106" s="646"/>
      <c r="BB106" s="646"/>
      <c r="BC106" s="646"/>
      <c r="BD106" s="646"/>
      <c r="BE106" s="646"/>
      <c r="BF106" s="646"/>
      <c r="BG106" s="646"/>
      <c r="BH106" s="646"/>
      <c r="BI106" s="647"/>
      <c r="BJ106" s="647"/>
      <c r="BK106" s="647"/>
      <c r="BL106" s="647"/>
      <c r="BM106" s="647"/>
    </row>
    <row r="107" spans="2:65" s="640" customFormat="1" hidden="1">
      <c r="B107" s="1022"/>
      <c r="C107" s="1022"/>
      <c r="D107" s="1022"/>
      <c r="E107" s="1022"/>
      <c r="F107" s="1022"/>
      <c r="G107" s="1022"/>
      <c r="H107" s="1022"/>
      <c r="I107" s="1022"/>
      <c r="J107" s="1022"/>
      <c r="K107" s="1022"/>
      <c r="L107" s="1022"/>
      <c r="M107" s="1022"/>
      <c r="N107" s="1022"/>
      <c r="O107" s="1022"/>
      <c r="P107" s="1022"/>
      <c r="Q107" s="1022"/>
      <c r="R107" s="1022"/>
      <c r="S107" s="1022"/>
      <c r="T107" s="1022"/>
      <c r="U107" s="1022"/>
      <c r="W107" s="645"/>
      <c r="X107" s="1066"/>
      <c r="Y107" s="646"/>
      <c r="Z107" s="673"/>
      <c r="AA107" s="646"/>
      <c r="AB107" s="646"/>
      <c r="AC107" s="646"/>
      <c r="AD107" s="646"/>
      <c r="AE107" s="646"/>
      <c r="AF107" s="646"/>
      <c r="AG107" s="646"/>
      <c r="AH107" s="646"/>
      <c r="AI107" s="646"/>
      <c r="AJ107" s="646"/>
      <c r="AK107" s="646"/>
      <c r="AL107" s="646"/>
      <c r="AM107" s="646"/>
      <c r="AN107" s="646"/>
      <c r="AO107" s="646"/>
      <c r="AP107" s="646"/>
      <c r="AQ107" s="646"/>
      <c r="AR107" s="646"/>
      <c r="AS107" s="646"/>
      <c r="AT107" s="646"/>
      <c r="AU107" s="645"/>
      <c r="AV107" s="645"/>
      <c r="AW107" s="645"/>
      <c r="AX107" s="645"/>
      <c r="AY107" s="646"/>
      <c r="AZ107" s="646"/>
      <c r="BA107" s="646"/>
      <c r="BB107" s="646"/>
      <c r="BC107" s="646"/>
      <c r="BD107" s="646"/>
      <c r="BE107" s="646"/>
      <c r="BF107" s="646"/>
      <c r="BG107" s="646"/>
      <c r="BH107" s="646"/>
      <c r="BI107" s="647"/>
      <c r="BJ107" s="647"/>
      <c r="BK107" s="647"/>
      <c r="BL107" s="647"/>
      <c r="BM107" s="647"/>
    </row>
    <row r="108" spans="2:65" s="640" customFormat="1" hidden="1">
      <c r="B108" s="1022"/>
      <c r="C108" s="1022"/>
      <c r="D108" s="1022"/>
      <c r="E108" s="1022"/>
      <c r="F108" s="1022"/>
      <c r="G108" s="1022"/>
      <c r="H108" s="1022"/>
      <c r="I108" s="1022"/>
      <c r="J108" s="1022"/>
      <c r="K108" s="1022"/>
      <c r="L108" s="1022"/>
      <c r="M108" s="1022"/>
      <c r="N108" s="1022"/>
      <c r="O108" s="1022"/>
      <c r="P108" s="1022"/>
      <c r="Q108" s="1022"/>
      <c r="R108" s="1022"/>
      <c r="S108" s="1022"/>
      <c r="T108" s="1022"/>
      <c r="U108" s="1022"/>
      <c r="W108" s="645"/>
      <c r="X108" s="1066"/>
      <c r="Y108" s="646"/>
      <c r="Z108" s="673"/>
      <c r="AA108" s="646"/>
      <c r="AB108" s="646"/>
      <c r="AC108" s="646"/>
      <c r="AD108" s="646"/>
      <c r="AE108" s="646"/>
      <c r="AF108" s="646"/>
      <c r="AG108" s="646"/>
      <c r="AH108" s="646"/>
      <c r="AI108" s="646"/>
      <c r="AJ108" s="646"/>
      <c r="AK108" s="646"/>
      <c r="AL108" s="646"/>
      <c r="AM108" s="646"/>
      <c r="AN108" s="646"/>
      <c r="AO108" s="646"/>
      <c r="AP108" s="646"/>
      <c r="AQ108" s="646"/>
      <c r="AR108" s="646"/>
      <c r="AS108" s="646"/>
      <c r="AT108" s="646"/>
      <c r="AU108" s="645"/>
      <c r="AV108" s="645"/>
      <c r="AW108" s="645"/>
      <c r="AX108" s="645"/>
      <c r="AY108" s="646"/>
      <c r="AZ108" s="646"/>
      <c r="BA108" s="646"/>
      <c r="BB108" s="646"/>
      <c r="BC108" s="646"/>
      <c r="BD108" s="646"/>
      <c r="BE108" s="646"/>
      <c r="BF108" s="646"/>
      <c r="BG108" s="646"/>
      <c r="BH108" s="646"/>
      <c r="BI108" s="647"/>
      <c r="BJ108" s="647"/>
      <c r="BK108" s="647"/>
      <c r="BL108" s="647"/>
      <c r="BM108" s="647"/>
    </row>
    <row r="109" spans="2:65" s="640" customFormat="1" hidden="1">
      <c r="B109" s="1022"/>
      <c r="C109" s="1022"/>
      <c r="D109" s="1022"/>
      <c r="E109" s="1022"/>
      <c r="F109" s="1022"/>
      <c r="G109" s="1022"/>
      <c r="H109" s="1022"/>
      <c r="I109" s="1022"/>
      <c r="J109" s="1022"/>
      <c r="K109" s="1022"/>
      <c r="L109" s="1022"/>
      <c r="M109" s="1022"/>
      <c r="N109" s="1022"/>
      <c r="O109" s="1022"/>
      <c r="P109" s="1022"/>
      <c r="Q109" s="1022"/>
      <c r="R109" s="1022"/>
      <c r="S109" s="1022"/>
      <c r="T109" s="1022"/>
      <c r="U109" s="1022"/>
      <c r="W109" s="645"/>
      <c r="X109" s="1066"/>
      <c r="Y109" s="646"/>
      <c r="Z109" s="673"/>
      <c r="AA109" s="646"/>
      <c r="AB109" s="646"/>
      <c r="AC109" s="646"/>
      <c r="AD109" s="646"/>
      <c r="AE109" s="646"/>
      <c r="AF109" s="646"/>
      <c r="AG109" s="646"/>
      <c r="AH109" s="646"/>
      <c r="AI109" s="646"/>
      <c r="AJ109" s="646"/>
      <c r="AK109" s="646"/>
      <c r="AL109" s="646"/>
      <c r="AM109" s="646"/>
      <c r="AN109" s="646"/>
      <c r="AO109" s="646"/>
      <c r="AP109" s="646"/>
      <c r="AQ109" s="646"/>
      <c r="AR109" s="646"/>
      <c r="AS109" s="646"/>
      <c r="AT109" s="646"/>
      <c r="AU109" s="645"/>
      <c r="AV109" s="645"/>
      <c r="AW109" s="645"/>
      <c r="AX109" s="645"/>
      <c r="AY109" s="646"/>
      <c r="AZ109" s="646"/>
      <c r="BA109" s="646"/>
      <c r="BB109" s="646"/>
      <c r="BC109" s="646"/>
      <c r="BD109" s="646"/>
      <c r="BE109" s="646"/>
      <c r="BF109" s="646"/>
      <c r="BG109" s="646"/>
      <c r="BH109" s="646"/>
      <c r="BI109" s="647"/>
      <c r="BJ109" s="647"/>
      <c r="BK109" s="647"/>
      <c r="BL109" s="647"/>
      <c r="BM109" s="647"/>
    </row>
    <row r="110" spans="2:65" s="640" customFormat="1" hidden="1">
      <c r="B110" s="1022"/>
      <c r="C110" s="1022"/>
      <c r="D110" s="1022"/>
      <c r="E110" s="1022"/>
      <c r="F110" s="1022"/>
      <c r="G110" s="1022"/>
      <c r="H110" s="1022"/>
      <c r="I110" s="1022"/>
      <c r="J110" s="1022"/>
      <c r="K110" s="1022"/>
      <c r="L110" s="1022"/>
      <c r="M110" s="1022"/>
      <c r="N110" s="1022"/>
      <c r="O110" s="1022"/>
      <c r="P110" s="1022"/>
      <c r="Q110" s="1022"/>
      <c r="R110" s="1022"/>
      <c r="S110" s="1022"/>
      <c r="T110" s="1022"/>
      <c r="U110" s="1022"/>
      <c r="W110" s="645"/>
      <c r="X110" s="1066"/>
      <c r="Y110" s="646"/>
      <c r="Z110" s="673"/>
      <c r="AA110" s="646"/>
      <c r="AB110" s="646"/>
      <c r="AC110" s="646"/>
      <c r="AD110" s="646"/>
      <c r="AE110" s="646"/>
      <c r="AF110" s="646"/>
      <c r="AG110" s="646"/>
      <c r="AH110" s="646"/>
      <c r="AI110" s="646"/>
      <c r="AJ110" s="646"/>
      <c r="AK110" s="646"/>
      <c r="AL110" s="646"/>
      <c r="AM110" s="646"/>
      <c r="AN110" s="646"/>
      <c r="AO110" s="646"/>
      <c r="AP110" s="646"/>
      <c r="AQ110" s="646"/>
      <c r="AR110" s="646"/>
      <c r="AS110" s="646"/>
      <c r="AT110" s="646"/>
      <c r="AU110" s="645"/>
      <c r="AV110" s="645"/>
      <c r="AW110" s="645"/>
      <c r="AX110" s="645"/>
      <c r="AY110" s="646"/>
      <c r="AZ110" s="646"/>
      <c r="BA110" s="646"/>
      <c r="BB110" s="646"/>
      <c r="BC110" s="646"/>
      <c r="BD110" s="646"/>
      <c r="BE110" s="646"/>
      <c r="BF110" s="646"/>
      <c r="BG110" s="646"/>
      <c r="BH110" s="646"/>
      <c r="BI110" s="647"/>
      <c r="BJ110" s="647"/>
      <c r="BK110" s="647"/>
      <c r="BL110" s="647"/>
      <c r="BM110" s="647"/>
    </row>
    <row r="111" spans="2:65" s="640" customFormat="1" hidden="1">
      <c r="B111" s="1022"/>
      <c r="C111" s="1022"/>
      <c r="D111" s="1022"/>
      <c r="E111" s="1022"/>
      <c r="F111" s="1022"/>
      <c r="G111" s="1022"/>
      <c r="H111" s="1022"/>
      <c r="I111" s="1022"/>
      <c r="J111" s="1022"/>
      <c r="K111" s="1022"/>
      <c r="L111" s="1022"/>
      <c r="M111" s="1022"/>
      <c r="N111" s="1022"/>
      <c r="O111" s="1022"/>
      <c r="P111" s="1022"/>
      <c r="Q111" s="1022"/>
      <c r="R111" s="1022"/>
      <c r="S111" s="1022"/>
      <c r="T111" s="1022"/>
      <c r="U111" s="1022"/>
      <c r="W111" s="645"/>
      <c r="X111" s="1066"/>
      <c r="Y111" s="646"/>
      <c r="Z111" s="673"/>
      <c r="AA111" s="646"/>
      <c r="AB111" s="646"/>
      <c r="AC111" s="646"/>
      <c r="AD111" s="646"/>
      <c r="AE111" s="646"/>
      <c r="AF111" s="646"/>
      <c r="AG111" s="646"/>
      <c r="AH111" s="646"/>
      <c r="AI111" s="646"/>
      <c r="AJ111" s="646"/>
      <c r="AK111" s="646"/>
      <c r="AL111" s="646"/>
      <c r="AM111" s="646"/>
      <c r="AN111" s="646"/>
      <c r="AO111" s="646"/>
      <c r="AP111" s="646"/>
      <c r="AQ111" s="646"/>
      <c r="AR111" s="646"/>
      <c r="AS111" s="646"/>
      <c r="AT111" s="646"/>
      <c r="AU111" s="645"/>
      <c r="AV111" s="645"/>
      <c r="AW111" s="645"/>
      <c r="AX111" s="645"/>
      <c r="AY111" s="646"/>
      <c r="AZ111" s="646"/>
      <c r="BA111" s="646"/>
      <c r="BB111" s="646"/>
      <c r="BC111" s="646"/>
      <c r="BD111" s="646"/>
      <c r="BE111" s="646"/>
      <c r="BF111" s="646"/>
      <c r="BG111" s="646"/>
      <c r="BH111" s="646"/>
      <c r="BI111" s="647"/>
      <c r="BJ111" s="647"/>
      <c r="BK111" s="647"/>
      <c r="BL111" s="647"/>
      <c r="BM111" s="647"/>
    </row>
    <row r="112" spans="2:65" s="640" customFormat="1" hidden="1">
      <c r="B112" s="1022"/>
      <c r="C112" s="1022"/>
      <c r="D112" s="1022"/>
      <c r="E112" s="1022"/>
      <c r="F112" s="1022"/>
      <c r="G112" s="1022"/>
      <c r="H112" s="1022"/>
      <c r="I112" s="1022"/>
      <c r="J112" s="1022"/>
      <c r="K112" s="1022"/>
      <c r="L112" s="1022"/>
      <c r="M112" s="1022"/>
      <c r="N112" s="1022"/>
      <c r="O112" s="1022"/>
      <c r="P112" s="1022"/>
      <c r="Q112" s="1022"/>
      <c r="R112" s="1022"/>
      <c r="S112" s="1022"/>
      <c r="T112" s="1022"/>
      <c r="U112" s="1022"/>
      <c r="W112" s="645"/>
      <c r="X112" s="1066"/>
      <c r="Y112" s="646"/>
      <c r="Z112" s="673"/>
      <c r="AA112" s="646"/>
      <c r="AB112" s="646"/>
      <c r="AC112" s="646"/>
      <c r="AD112" s="646"/>
      <c r="AE112" s="646"/>
      <c r="AF112" s="646"/>
      <c r="AG112" s="646"/>
      <c r="AH112" s="646"/>
      <c r="AI112" s="646"/>
      <c r="AJ112" s="646"/>
      <c r="AK112" s="646"/>
      <c r="AL112" s="646"/>
      <c r="AM112" s="646"/>
      <c r="AN112" s="646"/>
      <c r="AO112" s="646"/>
      <c r="AP112" s="646"/>
      <c r="AQ112" s="646"/>
      <c r="AR112" s="646"/>
      <c r="AS112" s="646"/>
      <c r="AT112" s="646"/>
      <c r="AU112" s="645"/>
      <c r="AV112" s="645"/>
      <c r="AW112" s="645"/>
      <c r="AX112" s="645"/>
      <c r="AY112" s="646"/>
      <c r="AZ112" s="646"/>
      <c r="BA112" s="646"/>
      <c r="BB112" s="646"/>
      <c r="BC112" s="646"/>
      <c r="BD112" s="646"/>
      <c r="BE112" s="646"/>
      <c r="BF112" s="646"/>
      <c r="BG112" s="646"/>
      <c r="BH112" s="646"/>
      <c r="BI112" s="647"/>
      <c r="BJ112" s="647"/>
      <c r="BK112" s="647"/>
      <c r="BL112" s="647"/>
      <c r="BM112" s="647"/>
    </row>
    <row r="113" spans="2:65" s="640" customFormat="1" hidden="1">
      <c r="B113" s="1022"/>
      <c r="C113" s="1022"/>
      <c r="D113" s="1022"/>
      <c r="E113" s="1022"/>
      <c r="F113" s="1022"/>
      <c r="G113" s="1022"/>
      <c r="H113" s="1022"/>
      <c r="I113" s="1022"/>
      <c r="J113" s="1022"/>
      <c r="K113" s="1022"/>
      <c r="L113" s="1022"/>
      <c r="M113" s="1022"/>
      <c r="N113" s="1022"/>
      <c r="O113" s="1022"/>
      <c r="P113" s="1022"/>
      <c r="Q113" s="1022"/>
      <c r="R113" s="1022"/>
      <c r="S113" s="1022"/>
      <c r="T113" s="1022"/>
      <c r="U113" s="1022"/>
      <c r="W113" s="645"/>
      <c r="X113" s="1066"/>
      <c r="Y113" s="646"/>
      <c r="Z113" s="673"/>
      <c r="AA113" s="646"/>
      <c r="AB113" s="646"/>
      <c r="AC113" s="646"/>
      <c r="AD113" s="646"/>
      <c r="AE113" s="646"/>
      <c r="AF113" s="646"/>
      <c r="AG113" s="646"/>
      <c r="AH113" s="646"/>
      <c r="AI113" s="646"/>
      <c r="AJ113" s="646"/>
      <c r="AK113" s="646"/>
      <c r="AL113" s="646"/>
      <c r="AM113" s="646"/>
      <c r="AN113" s="646"/>
      <c r="AO113" s="646"/>
      <c r="AP113" s="646"/>
      <c r="AQ113" s="646"/>
      <c r="AR113" s="646"/>
      <c r="AS113" s="646"/>
      <c r="AT113" s="646"/>
      <c r="AU113" s="645"/>
      <c r="AV113" s="645"/>
      <c r="AW113" s="645"/>
      <c r="AX113" s="645"/>
      <c r="AY113" s="646"/>
      <c r="AZ113" s="646"/>
      <c r="BA113" s="646"/>
      <c r="BB113" s="646"/>
      <c r="BC113" s="646"/>
      <c r="BD113" s="646"/>
      <c r="BE113" s="646"/>
      <c r="BF113" s="646"/>
      <c r="BG113" s="646"/>
      <c r="BH113" s="646"/>
      <c r="BI113" s="647"/>
      <c r="BJ113" s="647"/>
      <c r="BK113" s="647"/>
      <c r="BL113" s="647"/>
      <c r="BM113" s="647"/>
    </row>
    <row r="114" spans="2:65" s="640" customFormat="1" hidden="1">
      <c r="B114" s="1022"/>
      <c r="C114" s="1022"/>
      <c r="D114" s="1022"/>
      <c r="E114" s="1022"/>
      <c r="F114" s="1022"/>
      <c r="G114" s="1022"/>
      <c r="H114" s="1022"/>
      <c r="I114" s="1022"/>
      <c r="J114" s="1022"/>
      <c r="K114" s="1022"/>
      <c r="L114" s="1022"/>
      <c r="M114" s="1022"/>
      <c r="N114" s="1022"/>
      <c r="O114" s="1022"/>
      <c r="P114" s="1022"/>
      <c r="Q114" s="1022"/>
      <c r="R114" s="1022"/>
      <c r="S114" s="1022"/>
      <c r="T114" s="1022"/>
      <c r="U114" s="1022"/>
      <c r="W114" s="645"/>
      <c r="X114" s="1066"/>
      <c r="Y114" s="646"/>
      <c r="Z114" s="673"/>
      <c r="AA114" s="646"/>
      <c r="AB114" s="646"/>
      <c r="AC114" s="646"/>
      <c r="AD114" s="646"/>
      <c r="AE114" s="646"/>
      <c r="AF114" s="646"/>
      <c r="AG114" s="646"/>
      <c r="AH114" s="646"/>
      <c r="AI114" s="646"/>
      <c r="AJ114" s="646"/>
      <c r="AK114" s="646"/>
      <c r="AL114" s="646"/>
      <c r="AM114" s="646"/>
      <c r="AN114" s="646"/>
      <c r="AO114" s="646"/>
      <c r="AP114" s="646"/>
      <c r="AQ114" s="646"/>
      <c r="AR114" s="646"/>
      <c r="AS114" s="646"/>
      <c r="AT114" s="646"/>
      <c r="AU114" s="645"/>
      <c r="AV114" s="645"/>
      <c r="AW114" s="645"/>
      <c r="AX114" s="645"/>
      <c r="AY114" s="646"/>
      <c r="AZ114" s="646"/>
      <c r="BA114" s="646"/>
      <c r="BB114" s="646"/>
      <c r="BC114" s="646"/>
      <c r="BD114" s="646"/>
      <c r="BE114" s="646"/>
      <c r="BF114" s="646"/>
      <c r="BG114" s="646"/>
      <c r="BH114" s="646"/>
      <c r="BI114" s="647"/>
      <c r="BJ114" s="647"/>
      <c r="BK114" s="647"/>
      <c r="BL114" s="647"/>
      <c r="BM114" s="647"/>
    </row>
    <row r="115" spans="2:65" s="640" customFormat="1" hidden="1">
      <c r="B115" s="1022"/>
      <c r="C115" s="1022"/>
      <c r="D115" s="1022"/>
      <c r="E115" s="1022"/>
      <c r="F115" s="1022"/>
      <c r="G115" s="1022"/>
      <c r="H115" s="1022"/>
      <c r="I115" s="1022"/>
      <c r="J115" s="1022"/>
      <c r="K115" s="1022"/>
      <c r="L115" s="1022"/>
      <c r="M115" s="1022"/>
      <c r="N115" s="1022"/>
      <c r="O115" s="1022"/>
      <c r="P115" s="1022"/>
      <c r="Q115" s="1022"/>
      <c r="R115" s="1022"/>
      <c r="S115" s="1022"/>
      <c r="T115" s="1022"/>
      <c r="U115" s="1022"/>
      <c r="W115" s="645"/>
      <c r="X115" s="1066"/>
      <c r="Y115" s="646"/>
      <c r="Z115" s="673"/>
      <c r="AA115" s="646"/>
      <c r="AB115" s="646"/>
      <c r="AC115" s="646"/>
      <c r="AD115" s="646"/>
      <c r="AE115" s="646"/>
      <c r="AF115" s="646"/>
      <c r="AG115" s="646"/>
      <c r="AH115" s="646"/>
      <c r="AI115" s="646"/>
      <c r="AJ115" s="646"/>
      <c r="AK115" s="646"/>
      <c r="AL115" s="646"/>
      <c r="AM115" s="646"/>
      <c r="AN115" s="646"/>
      <c r="AO115" s="646"/>
      <c r="AP115" s="646"/>
      <c r="AQ115" s="646"/>
      <c r="AR115" s="646"/>
      <c r="AS115" s="646"/>
      <c r="AT115" s="646"/>
      <c r="AU115" s="645"/>
      <c r="AV115" s="645"/>
      <c r="AW115" s="645"/>
      <c r="AX115" s="645"/>
      <c r="AY115" s="646"/>
      <c r="AZ115" s="646"/>
      <c r="BA115" s="646"/>
      <c r="BB115" s="646"/>
      <c r="BC115" s="646"/>
      <c r="BD115" s="646"/>
      <c r="BE115" s="646"/>
      <c r="BF115" s="646"/>
      <c r="BG115" s="646"/>
      <c r="BH115" s="646"/>
      <c r="BI115" s="647"/>
      <c r="BJ115" s="647"/>
      <c r="BK115" s="647"/>
      <c r="BL115" s="647"/>
      <c r="BM115" s="647"/>
    </row>
    <row r="116" spans="2:65" s="640" customFormat="1" hidden="1">
      <c r="B116" s="1022"/>
      <c r="C116" s="1022"/>
      <c r="D116" s="1022"/>
      <c r="E116" s="1022"/>
      <c r="F116" s="1022"/>
      <c r="G116" s="1022"/>
      <c r="H116" s="1022"/>
      <c r="I116" s="1022"/>
      <c r="J116" s="1022"/>
      <c r="K116" s="1022"/>
      <c r="L116" s="1022"/>
      <c r="M116" s="1022"/>
      <c r="N116" s="1022"/>
      <c r="O116" s="1022"/>
      <c r="P116" s="1022"/>
      <c r="Q116" s="1022"/>
      <c r="R116" s="1022"/>
      <c r="S116" s="1022"/>
      <c r="T116" s="1022"/>
      <c r="U116" s="1022"/>
      <c r="W116" s="645"/>
      <c r="X116" s="1066"/>
      <c r="Y116" s="646"/>
      <c r="Z116" s="673"/>
      <c r="AA116" s="646"/>
      <c r="AB116" s="646"/>
      <c r="AC116" s="646"/>
      <c r="AD116" s="646"/>
      <c r="AE116" s="646"/>
      <c r="AF116" s="646"/>
      <c r="AG116" s="646"/>
      <c r="AH116" s="646"/>
      <c r="AI116" s="646"/>
      <c r="AJ116" s="646"/>
      <c r="AK116" s="646"/>
      <c r="AL116" s="646"/>
      <c r="AM116" s="646"/>
      <c r="AN116" s="646"/>
      <c r="AO116" s="646"/>
      <c r="AP116" s="646"/>
      <c r="AQ116" s="646"/>
      <c r="AR116" s="646"/>
      <c r="AS116" s="646"/>
      <c r="AT116" s="646"/>
      <c r="AU116" s="645"/>
      <c r="AV116" s="645"/>
      <c r="AW116" s="645"/>
      <c r="AX116" s="645"/>
      <c r="AY116" s="646"/>
      <c r="AZ116" s="646"/>
      <c r="BA116" s="646"/>
      <c r="BB116" s="646"/>
      <c r="BC116" s="646"/>
      <c r="BD116" s="646"/>
      <c r="BE116" s="646"/>
      <c r="BF116" s="646"/>
      <c r="BG116" s="646"/>
      <c r="BH116" s="646"/>
      <c r="BI116" s="647"/>
      <c r="BJ116" s="647"/>
      <c r="BK116" s="647"/>
      <c r="BL116" s="647"/>
      <c r="BM116" s="647"/>
    </row>
    <row r="117" spans="2:65" s="640" customFormat="1" hidden="1">
      <c r="B117" s="1022"/>
      <c r="C117" s="1022"/>
      <c r="D117" s="1022"/>
      <c r="E117" s="1022"/>
      <c r="F117" s="1022"/>
      <c r="G117" s="1022"/>
      <c r="H117" s="1022"/>
      <c r="I117" s="1022"/>
      <c r="J117" s="1022"/>
      <c r="K117" s="1022"/>
      <c r="L117" s="1022"/>
      <c r="M117" s="1022"/>
      <c r="N117" s="1022"/>
      <c r="O117" s="1022"/>
      <c r="P117" s="1022"/>
      <c r="Q117" s="1022"/>
      <c r="R117" s="1022"/>
      <c r="S117" s="1022"/>
      <c r="T117" s="1022"/>
      <c r="U117" s="1022"/>
      <c r="W117" s="645"/>
      <c r="X117" s="1066"/>
      <c r="Y117" s="646"/>
      <c r="Z117" s="673"/>
      <c r="AA117" s="646"/>
      <c r="AB117" s="646"/>
      <c r="AC117" s="646"/>
      <c r="AD117" s="646"/>
      <c r="AE117" s="646"/>
      <c r="AF117" s="646"/>
      <c r="AG117" s="646"/>
      <c r="AH117" s="646"/>
      <c r="AI117" s="646"/>
      <c r="AJ117" s="646"/>
      <c r="AK117" s="646"/>
      <c r="AL117" s="646"/>
      <c r="AM117" s="646"/>
      <c r="AN117" s="646"/>
      <c r="AO117" s="646"/>
      <c r="AP117" s="646"/>
      <c r="AQ117" s="646"/>
      <c r="AR117" s="646"/>
      <c r="AS117" s="646"/>
      <c r="AT117" s="646"/>
      <c r="AU117" s="645"/>
      <c r="AV117" s="645"/>
      <c r="AW117" s="645"/>
      <c r="AX117" s="645"/>
      <c r="AY117" s="646"/>
      <c r="AZ117" s="646"/>
      <c r="BA117" s="646"/>
      <c r="BB117" s="646"/>
      <c r="BC117" s="646"/>
      <c r="BD117" s="646"/>
      <c r="BE117" s="646"/>
      <c r="BF117" s="646"/>
      <c r="BG117" s="646"/>
      <c r="BH117" s="646"/>
      <c r="BI117" s="647"/>
      <c r="BJ117" s="647"/>
      <c r="BK117" s="647"/>
      <c r="BL117" s="647"/>
      <c r="BM117" s="647"/>
    </row>
    <row r="118" spans="2:65" s="640" customFormat="1" hidden="1">
      <c r="B118" s="1022"/>
      <c r="C118" s="1022"/>
      <c r="D118" s="1022"/>
      <c r="E118" s="1022"/>
      <c r="F118" s="1022"/>
      <c r="G118" s="1022"/>
      <c r="H118" s="1022"/>
      <c r="I118" s="1022"/>
      <c r="J118" s="1022"/>
      <c r="K118" s="1022"/>
      <c r="L118" s="1022"/>
      <c r="M118" s="1022"/>
      <c r="N118" s="1022"/>
      <c r="O118" s="1022"/>
      <c r="P118" s="1022"/>
      <c r="Q118" s="1022"/>
      <c r="R118" s="1022"/>
      <c r="S118" s="1022"/>
      <c r="T118" s="1022"/>
      <c r="U118" s="1022"/>
      <c r="W118" s="645"/>
      <c r="X118" s="1066"/>
      <c r="Y118" s="646"/>
      <c r="Z118" s="673"/>
      <c r="AA118" s="646"/>
      <c r="AB118" s="646"/>
      <c r="AC118" s="646"/>
      <c r="AD118" s="646"/>
      <c r="AE118" s="646"/>
      <c r="AF118" s="646"/>
      <c r="AG118" s="646"/>
      <c r="AH118" s="646"/>
      <c r="AI118" s="646"/>
      <c r="AJ118" s="646"/>
      <c r="AK118" s="646"/>
      <c r="AL118" s="646"/>
      <c r="AM118" s="646"/>
      <c r="AN118" s="646"/>
      <c r="AO118" s="646"/>
      <c r="AP118" s="646"/>
      <c r="AQ118" s="646"/>
      <c r="AR118" s="646"/>
      <c r="AS118" s="646"/>
      <c r="AT118" s="646"/>
      <c r="AU118" s="645"/>
      <c r="AV118" s="645"/>
      <c r="AW118" s="645"/>
      <c r="AX118" s="645"/>
      <c r="AY118" s="646"/>
      <c r="AZ118" s="646"/>
      <c r="BA118" s="646"/>
      <c r="BB118" s="646"/>
      <c r="BC118" s="646"/>
      <c r="BD118" s="646"/>
      <c r="BE118" s="646"/>
      <c r="BF118" s="646"/>
      <c r="BG118" s="646"/>
      <c r="BH118" s="646"/>
      <c r="BI118" s="647"/>
      <c r="BJ118" s="647"/>
      <c r="BK118" s="647"/>
      <c r="BL118" s="647"/>
      <c r="BM118" s="647"/>
    </row>
    <row r="119" spans="2:65" s="640" customFormat="1" hidden="1">
      <c r="B119" s="1022"/>
      <c r="C119" s="1022"/>
      <c r="D119" s="1022"/>
      <c r="E119" s="1022"/>
      <c r="F119" s="1022"/>
      <c r="G119" s="1022"/>
      <c r="H119" s="1022"/>
      <c r="I119" s="1022"/>
      <c r="J119" s="1022"/>
      <c r="K119" s="1022"/>
      <c r="L119" s="1022"/>
      <c r="M119" s="1022"/>
      <c r="N119" s="1022"/>
      <c r="O119" s="1022"/>
      <c r="P119" s="1022"/>
      <c r="Q119" s="1022"/>
      <c r="R119" s="1022"/>
      <c r="S119" s="1022"/>
      <c r="T119" s="1022"/>
      <c r="U119" s="1022"/>
      <c r="W119" s="645"/>
      <c r="X119" s="1066"/>
      <c r="Y119" s="646"/>
      <c r="Z119" s="673"/>
      <c r="AA119" s="646"/>
      <c r="AB119" s="646"/>
      <c r="AC119" s="646"/>
      <c r="AD119" s="646"/>
      <c r="AE119" s="646"/>
      <c r="AF119" s="646"/>
      <c r="AG119" s="646"/>
      <c r="AH119" s="646"/>
      <c r="AI119" s="646"/>
      <c r="AJ119" s="646"/>
      <c r="AK119" s="646"/>
      <c r="AL119" s="646"/>
      <c r="AM119" s="646"/>
      <c r="AN119" s="646"/>
      <c r="AO119" s="646"/>
      <c r="AP119" s="646"/>
      <c r="AQ119" s="646"/>
      <c r="AR119" s="646"/>
      <c r="AS119" s="646"/>
      <c r="AT119" s="646"/>
      <c r="AU119" s="645"/>
      <c r="AV119" s="645"/>
      <c r="AW119" s="645"/>
      <c r="AX119" s="645"/>
      <c r="AY119" s="646"/>
      <c r="AZ119" s="646"/>
      <c r="BA119" s="646"/>
      <c r="BB119" s="646"/>
      <c r="BC119" s="646"/>
      <c r="BD119" s="646"/>
      <c r="BE119" s="646"/>
      <c r="BF119" s="646"/>
      <c r="BG119" s="646"/>
      <c r="BH119" s="646"/>
      <c r="BI119" s="647"/>
      <c r="BJ119" s="647"/>
      <c r="BK119" s="647"/>
      <c r="BL119" s="647"/>
      <c r="BM119" s="647"/>
    </row>
    <row r="120" spans="2:65" s="640" customFormat="1" hidden="1">
      <c r="B120" s="1022"/>
      <c r="C120" s="1022"/>
      <c r="D120" s="1022"/>
      <c r="E120" s="1022"/>
      <c r="F120" s="1022"/>
      <c r="G120" s="1022"/>
      <c r="H120" s="1022"/>
      <c r="I120" s="1022"/>
      <c r="J120" s="1022"/>
      <c r="K120" s="1022"/>
      <c r="L120" s="1022"/>
      <c r="M120" s="1022"/>
      <c r="N120" s="1022"/>
      <c r="O120" s="1022"/>
      <c r="P120" s="1022"/>
      <c r="Q120" s="1022"/>
      <c r="R120" s="1022"/>
      <c r="S120" s="1022"/>
      <c r="T120" s="1022"/>
      <c r="U120" s="1022"/>
      <c r="W120" s="645"/>
      <c r="X120" s="1066"/>
      <c r="Y120" s="646"/>
      <c r="Z120" s="673"/>
      <c r="AA120" s="646"/>
      <c r="AB120" s="646"/>
      <c r="AC120" s="646"/>
      <c r="AD120" s="646"/>
      <c r="AE120" s="646"/>
      <c r="AF120" s="646"/>
      <c r="AG120" s="646"/>
      <c r="AH120" s="646"/>
      <c r="AI120" s="646"/>
      <c r="AJ120" s="646"/>
      <c r="AK120" s="646"/>
      <c r="AL120" s="646"/>
      <c r="AM120" s="646"/>
      <c r="AN120" s="646"/>
      <c r="AO120" s="646"/>
      <c r="AP120" s="646"/>
      <c r="AQ120" s="646"/>
      <c r="AR120" s="646"/>
      <c r="AS120" s="646"/>
      <c r="AT120" s="646"/>
      <c r="AU120" s="645"/>
      <c r="AV120" s="645"/>
      <c r="AW120" s="645"/>
      <c r="AX120" s="645"/>
      <c r="AY120" s="646"/>
      <c r="AZ120" s="646"/>
      <c r="BA120" s="646"/>
      <c r="BB120" s="646"/>
      <c r="BC120" s="646"/>
      <c r="BD120" s="646"/>
      <c r="BE120" s="646"/>
      <c r="BF120" s="646"/>
      <c r="BG120" s="646"/>
      <c r="BH120" s="646"/>
      <c r="BI120" s="647"/>
      <c r="BJ120" s="647"/>
      <c r="BK120" s="647"/>
      <c r="BL120" s="647"/>
      <c r="BM120" s="647"/>
    </row>
    <row r="121" spans="2:65" s="640" customFormat="1" hidden="1">
      <c r="B121" s="1022"/>
      <c r="C121" s="1022"/>
      <c r="D121" s="1022"/>
      <c r="E121" s="1022"/>
      <c r="F121" s="1022"/>
      <c r="G121" s="1022"/>
      <c r="H121" s="1022"/>
      <c r="I121" s="1022"/>
      <c r="J121" s="1022"/>
      <c r="K121" s="1022"/>
      <c r="L121" s="1022"/>
      <c r="M121" s="1022"/>
      <c r="N121" s="1022"/>
      <c r="O121" s="1022"/>
      <c r="P121" s="1022"/>
      <c r="Q121" s="1022"/>
      <c r="R121" s="1022"/>
      <c r="S121" s="1022"/>
      <c r="T121" s="1022"/>
      <c r="U121" s="1022"/>
      <c r="W121" s="645"/>
      <c r="X121" s="1066"/>
      <c r="Y121" s="646"/>
      <c r="Z121" s="673"/>
      <c r="AA121" s="646"/>
      <c r="AB121" s="646"/>
      <c r="AC121" s="646"/>
      <c r="AD121" s="646"/>
      <c r="AE121" s="646"/>
      <c r="AF121" s="646"/>
      <c r="AG121" s="646"/>
      <c r="AH121" s="646"/>
      <c r="AI121" s="646"/>
      <c r="AJ121" s="646"/>
      <c r="AK121" s="646"/>
      <c r="AL121" s="646"/>
      <c r="AM121" s="646"/>
      <c r="AN121" s="646"/>
      <c r="AO121" s="646"/>
      <c r="AP121" s="646"/>
      <c r="AQ121" s="646"/>
      <c r="AR121" s="646"/>
      <c r="AS121" s="646"/>
      <c r="AT121" s="646"/>
      <c r="AU121" s="645"/>
      <c r="AV121" s="645"/>
      <c r="AW121" s="645"/>
      <c r="AX121" s="645"/>
      <c r="AY121" s="646"/>
      <c r="AZ121" s="646"/>
      <c r="BA121" s="646"/>
      <c r="BB121" s="646"/>
      <c r="BC121" s="646"/>
      <c r="BD121" s="646"/>
      <c r="BE121" s="646"/>
      <c r="BF121" s="646"/>
      <c r="BG121" s="646"/>
      <c r="BH121" s="646"/>
      <c r="BI121" s="647"/>
      <c r="BJ121" s="647"/>
      <c r="BK121" s="647"/>
      <c r="BL121" s="647"/>
      <c r="BM121" s="647"/>
    </row>
    <row r="122" spans="2:65" s="640" customFormat="1" hidden="1">
      <c r="B122" s="1022"/>
      <c r="C122" s="1022"/>
      <c r="D122" s="1022"/>
      <c r="E122" s="1022"/>
      <c r="F122" s="1022"/>
      <c r="G122" s="1022"/>
      <c r="H122" s="1022"/>
      <c r="I122" s="1022"/>
      <c r="J122" s="1022"/>
      <c r="K122" s="1022"/>
      <c r="L122" s="1022"/>
      <c r="M122" s="1022"/>
      <c r="N122" s="1022"/>
      <c r="O122" s="1022"/>
      <c r="P122" s="1022"/>
      <c r="Q122" s="1022"/>
      <c r="R122" s="1022"/>
      <c r="S122" s="1022"/>
      <c r="T122" s="1022"/>
      <c r="U122" s="1022"/>
      <c r="W122" s="645"/>
      <c r="X122" s="1066"/>
      <c r="Y122" s="646"/>
      <c r="Z122" s="673"/>
      <c r="AA122" s="646"/>
      <c r="AB122" s="646"/>
      <c r="AC122" s="646"/>
      <c r="AD122" s="646"/>
      <c r="AE122" s="646"/>
      <c r="AF122" s="646"/>
      <c r="AG122" s="646"/>
      <c r="AH122" s="646"/>
      <c r="AI122" s="646"/>
      <c r="AJ122" s="646"/>
      <c r="AK122" s="646"/>
      <c r="AL122" s="646"/>
      <c r="AM122" s="646"/>
      <c r="AN122" s="646"/>
      <c r="AO122" s="646"/>
      <c r="AP122" s="646"/>
      <c r="AQ122" s="646"/>
      <c r="AR122" s="646"/>
      <c r="AS122" s="646"/>
      <c r="AT122" s="646"/>
      <c r="AU122" s="645"/>
      <c r="AV122" s="645"/>
      <c r="AW122" s="645"/>
      <c r="AX122" s="645"/>
      <c r="AY122" s="646"/>
      <c r="AZ122" s="646"/>
      <c r="BA122" s="646"/>
      <c r="BB122" s="646"/>
      <c r="BC122" s="646"/>
      <c r="BD122" s="646"/>
      <c r="BE122" s="646"/>
      <c r="BF122" s="646"/>
      <c r="BG122" s="646"/>
      <c r="BH122" s="646"/>
      <c r="BI122" s="647"/>
      <c r="BJ122" s="647"/>
      <c r="BK122" s="647"/>
      <c r="BL122" s="647"/>
      <c r="BM122" s="647"/>
    </row>
    <row r="123" spans="2:65" s="640" customFormat="1" hidden="1">
      <c r="B123" s="1022"/>
      <c r="C123" s="1022"/>
      <c r="D123" s="1022"/>
      <c r="E123" s="1022"/>
      <c r="F123" s="1022"/>
      <c r="G123" s="1022"/>
      <c r="H123" s="1022"/>
      <c r="I123" s="1022"/>
      <c r="J123" s="1022"/>
      <c r="K123" s="1022"/>
      <c r="L123" s="1022"/>
      <c r="M123" s="1022"/>
      <c r="N123" s="1022"/>
      <c r="O123" s="1022"/>
      <c r="P123" s="1022"/>
      <c r="Q123" s="1022"/>
      <c r="R123" s="1022"/>
      <c r="S123" s="1022"/>
      <c r="T123" s="1022"/>
      <c r="U123" s="1022"/>
      <c r="W123" s="645"/>
      <c r="X123" s="1066"/>
      <c r="Y123" s="646"/>
      <c r="Z123" s="673"/>
      <c r="AA123" s="646"/>
      <c r="AB123" s="646"/>
      <c r="AC123" s="646"/>
      <c r="AD123" s="646"/>
      <c r="AE123" s="646"/>
      <c r="AF123" s="646"/>
      <c r="AG123" s="646"/>
      <c r="AH123" s="646"/>
      <c r="AI123" s="646"/>
      <c r="AJ123" s="646"/>
      <c r="AK123" s="646"/>
      <c r="AL123" s="646"/>
      <c r="AM123" s="646"/>
      <c r="AN123" s="646"/>
      <c r="AO123" s="646"/>
      <c r="AP123" s="646"/>
      <c r="AQ123" s="646"/>
      <c r="AR123" s="646"/>
      <c r="AS123" s="646"/>
      <c r="AT123" s="646"/>
      <c r="AU123" s="645"/>
      <c r="AV123" s="645"/>
      <c r="AW123" s="645"/>
      <c r="AX123" s="645"/>
      <c r="AY123" s="646"/>
      <c r="AZ123" s="646"/>
      <c r="BA123" s="646"/>
      <c r="BB123" s="646"/>
      <c r="BC123" s="646"/>
      <c r="BD123" s="646"/>
      <c r="BE123" s="646"/>
      <c r="BF123" s="646"/>
      <c r="BG123" s="646"/>
      <c r="BH123" s="646"/>
      <c r="BI123" s="647"/>
      <c r="BJ123" s="647"/>
      <c r="BK123" s="647"/>
      <c r="BL123" s="647"/>
      <c r="BM123" s="647"/>
    </row>
    <row r="124" spans="2:65" s="640" customFormat="1" hidden="1">
      <c r="B124" s="1022"/>
      <c r="C124" s="1022"/>
      <c r="D124" s="1022"/>
      <c r="E124" s="1022"/>
      <c r="F124" s="1022"/>
      <c r="G124" s="1022"/>
      <c r="H124" s="1022"/>
      <c r="I124" s="1022"/>
      <c r="J124" s="1022"/>
      <c r="K124" s="1022"/>
      <c r="L124" s="1022"/>
      <c r="M124" s="1022"/>
      <c r="N124" s="1022"/>
      <c r="O124" s="1022"/>
      <c r="P124" s="1022"/>
      <c r="Q124" s="1022"/>
      <c r="R124" s="1022"/>
      <c r="S124" s="1022"/>
      <c r="T124" s="1022"/>
      <c r="U124" s="1022"/>
      <c r="W124" s="645"/>
      <c r="X124" s="1066"/>
      <c r="Y124" s="646"/>
      <c r="Z124" s="673"/>
      <c r="AA124" s="646"/>
      <c r="AB124" s="646"/>
      <c r="AC124" s="646"/>
      <c r="AD124" s="646"/>
      <c r="AE124" s="646"/>
      <c r="AF124" s="646"/>
      <c r="AG124" s="646"/>
      <c r="AH124" s="646"/>
      <c r="AI124" s="646"/>
      <c r="AJ124" s="646"/>
      <c r="AK124" s="646"/>
      <c r="AL124" s="646"/>
      <c r="AM124" s="646"/>
      <c r="AN124" s="646"/>
      <c r="AO124" s="646"/>
      <c r="AP124" s="646"/>
      <c r="AQ124" s="646"/>
      <c r="AR124" s="646"/>
      <c r="AS124" s="646"/>
      <c r="AT124" s="646"/>
      <c r="AU124" s="645"/>
      <c r="AV124" s="645"/>
      <c r="AW124" s="645"/>
      <c r="AX124" s="645"/>
      <c r="AY124" s="646"/>
      <c r="AZ124" s="646"/>
      <c r="BA124" s="646"/>
      <c r="BB124" s="646"/>
      <c r="BC124" s="646"/>
      <c r="BD124" s="646"/>
      <c r="BE124" s="646"/>
      <c r="BF124" s="646"/>
      <c r="BG124" s="646"/>
      <c r="BH124" s="646"/>
      <c r="BI124" s="647"/>
      <c r="BJ124" s="647"/>
      <c r="BK124" s="647"/>
      <c r="BL124" s="647"/>
      <c r="BM124" s="647"/>
    </row>
    <row r="125" spans="2:65" s="640" customFormat="1" hidden="1">
      <c r="B125" s="1022"/>
      <c r="C125" s="1022"/>
      <c r="D125" s="1022"/>
      <c r="E125" s="1022"/>
      <c r="F125" s="1022"/>
      <c r="G125" s="1022"/>
      <c r="H125" s="1022"/>
      <c r="I125" s="1022"/>
      <c r="J125" s="1022"/>
      <c r="K125" s="1022"/>
      <c r="L125" s="1022"/>
      <c r="M125" s="1022"/>
      <c r="N125" s="1022"/>
      <c r="O125" s="1022"/>
      <c r="P125" s="1022"/>
      <c r="Q125" s="1022"/>
      <c r="R125" s="1022"/>
      <c r="S125" s="1022"/>
      <c r="T125" s="1022"/>
      <c r="U125" s="1022"/>
      <c r="W125" s="645"/>
      <c r="X125" s="1066"/>
      <c r="Y125" s="646"/>
      <c r="Z125" s="673"/>
      <c r="AA125" s="646"/>
      <c r="AB125" s="646"/>
      <c r="AC125" s="646"/>
      <c r="AD125" s="646"/>
      <c r="AE125" s="646"/>
      <c r="AF125" s="646"/>
      <c r="AG125" s="646"/>
      <c r="AH125" s="646"/>
      <c r="AI125" s="646"/>
      <c r="AJ125" s="646"/>
      <c r="AK125" s="646"/>
      <c r="AL125" s="646"/>
      <c r="AM125" s="646"/>
      <c r="AN125" s="646"/>
      <c r="AO125" s="646"/>
      <c r="AP125" s="646"/>
      <c r="AQ125" s="646"/>
      <c r="AR125" s="646"/>
      <c r="AS125" s="646"/>
      <c r="AT125" s="646"/>
      <c r="AU125" s="645"/>
      <c r="AV125" s="645"/>
      <c r="AW125" s="645"/>
      <c r="AX125" s="645"/>
      <c r="AY125" s="646"/>
      <c r="AZ125" s="646"/>
      <c r="BA125" s="646"/>
      <c r="BB125" s="646"/>
      <c r="BC125" s="646"/>
      <c r="BD125" s="646"/>
      <c r="BE125" s="646"/>
      <c r="BF125" s="646"/>
      <c r="BG125" s="646"/>
      <c r="BH125" s="646"/>
      <c r="BI125" s="647"/>
      <c r="BJ125" s="647"/>
      <c r="BK125" s="647"/>
      <c r="BL125" s="647"/>
      <c r="BM125" s="647"/>
    </row>
    <row r="126" spans="2:65" s="640" customFormat="1" hidden="1">
      <c r="B126" s="1022"/>
      <c r="C126" s="1022"/>
      <c r="D126" s="1022"/>
      <c r="E126" s="1022"/>
      <c r="F126" s="1022"/>
      <c r="G126" s="1022"/>
      <c r="H126" s="1022"/>
      <c r="I126" s="1022"/>
      <c r="J126" s="1022"/>
      <c r="K126" s="1022"/>
      <c r="L126" s="1022"/>
      <c r="M126" s="1022"/>
      <c r="N126" s="1022"/>
      <c r="O126" s="1022"/>
      <c r="P126" s="1022"/>
      <c r="Q126" s="1022"/>
      <c r="R126" s="1022"/>
      <c r="S126" s="1022"/>
      <c r="T126" s="1022"/>
      <c r="U126" s="1022"/>
      <c r="W126" s="645"/>
      <c r="X126" s="1066"/>
      <c r="Y126" s="646"/>
      <c r="Z126" s="673"/>
      <c r="AA126" s="646"/>
      <c r="AB126" s="646"/>
      <c r="AC126" s="646"/>
      <c r="AD126" s="646"/>
      <c r="AE126" s="646"/>
      <c r="AF126" s="646"/>
      <c r="AG126" s="646"/>
      <c r="AH126" s="646"/>
      <c r="AI126" s="646"/>
      <c r="AJ126" s="646"/>
      <c r="AK126" s="646"/>
      <c r="AL126" s="646"/>
      <c r="AM126" s="646"/>
      <c r="AN126" s="646"/>
      <c r="AO126" s="646"/>
      <c r="AP126" s="646"/>
      <c r="AQ126" s="646"/>
      <c r="AR126" s="646"/>
      <c r="AS126" s="646"/>
      <c r="AT126" s="646"/>
      <c r="AU126" s="645"/>
      <c r="AV126" s="645"/>
      <c r="AW126" s="645"/>
      <c r="AX126" s="645"/>
      <c r="AY126" s="646"/>
      <c r="AZ126" s="646"/>
      <c r="BA126" s="646"/>
      <c r="BB126" s="646"/>
      <c r="BC126" s="646"/>
      <c r="BD126" s="646"/>
      <c r="BE126" s="646"/>
      <c r="BF126" s="646"/>
      <c r="BG126" s="646"/>
      <c r="BH126" s="646"/>
      <c r="BI126" s="647"/>
      <c r="BJ126" s="647"/>
      <c r="BK126" s="647"/>
      <c r="BL126" s="647"/>
      <c r="BM126" s="647"/>
    </row>
    <row r="127" spans="2:65" s="640" customFormat="1" hidden="1">
      <c r="B127" s="1022"/>
      <c r="C127" s="1022"/>
      <c r="D127" s="1022"/>
      <c r="E127" s="1022"/>
      <c r="F127" s="1022"/>
      <c r="G127" s="1022"/>
      <c r="H127" s="1022"/>
      <c r="I127" s="1022"/>
      <c r="J127" s="1022"/>
      <c r="K127" s="1022"/>
      <c r="L127" s="1022"/>
      <c r="M127" s="1022"/>
      <c r="N127" s="1022"/>
      <c r="O127" s="1022"/>
      <c r="P127" s="1022"/>
      <c r="Q127" s="1022"/>
      <c r="R127" s="1022"/>
      <c r="S127" s="1022"/>
      <c r="T127" s="1022"/>
      <c r="U127" s="1022"/>
      <c r="W127" s="645"/>
      <c r="X127" s="1066"/>
      <c r="Y127" s="646"/>
      <c r="Z127" s="673"/>
      <c r="AA127" s="646"/>
      <c r="AB127" s="646"/>
      <c r="AC127" s="646"/>
      <c r="AD127" s="646"/>
      <c r="AE127" s="646"/>
      <c r="AF127" s="646"/>
      <c r="AG127" s="646"/>
      <c r="AH127" s="646"/>
      <c r="AI127" s="646"/>
      <c r="AJ127" s="646"/>
      <c r="AK127" s="646"/>
      <c r="AL127" s="646"/>
      <c r="AM127" s="646"/>
      <c r="AN127" s="646"/>
      <c r="AO127" s="646"/>
      <c r="AP127" s="646"/>
      <c r="AQ127" s="646"/>
      <c r="AR127" s="646"/>
      <c r="AS127" s="646"/>
      <c r="AT127" s="646"/>
      <c r="AU127" s="645"/>
      <c r="AV127" s="645"/>
      <c r="AW127" s="645"/>
      <c r="AX127" s="645"/>
      <c r="AY127" s="646"/>
      <c r="AZ127" s="646"/>
      <c r="BA127" s="646"/>
      <c r="BB127" s="646"/>
      <c r="BC127" s="646"/>
      <c r="BD127" s="646"/>
      <c r="BE127" s="646"/>
      <c r="BF127" s="646"/>
      <c r="BG127" s="646"/>
      <c r="BH127" s="646"/>
      <c r="BI127" s="647"/>
      <c r="BJ127" s="647"/>
      <c r="BK127" s="647"/>
      <c r="BL127" s="647"/>
      <c r="BM127" s="647"/>
    </row>
    <row r="128" spans="2:65" s="640" customFormat="1" hidden="1">
      <c r="B128" s="1022"/>
      <c r="C128" s="1022"/>
      <c r="D128" s="1022"/>
      <c r="E128" s="1022"/>
      <c r="F128" s="1022"/>
      <c r="G128" s="1022"/>
      <c r="H128" s="1022"/>
      <c r="I128" s="1022"/>
      <c r="J128" s="1022"/>
      <c r="K128" s="1022"/>
      <c r="L128" s="1022"/>
      <c r="M128" s="1022"/>
      <c r="N128" s="1022"/>
      <c r="O128" s="1022"/>
      <c r="P128" s="1022"/>
      <c r="Q128" s="1022"/>
      <c r="R128" s="1022"/>
      <c r="S128" s="1022"/>
      <c r="T128" s="1022"/>
      <c r="U128" s="1022"/>
      <c r="W128" s="645"/>
      <c r="X128" s="1066"/>
      <c r="Y128" s="646"/>
      <c r="Z128" s="673"/>
      <c r="AA128" s="646"/>
      <c r="AB128" s="646"/>
      <c r="AC128" s="646"/>
      <c r="AD128" s="646"/>
      <c r="AE128" s="646"/>
      <c r="AF128" s="646"/>
      <c r="AG128" s="646"/>
      <c r="AH128" s="646"/>
      <c r="AI128" s="646"/>
      <c r="AJ128" s="646"/>
      <c r="AK128" s="646"/>
      <c r="AL128" s="646"/>
      <c r="AM128" s="646"/>
      <c r="AN128" s="646"/>
      <c r="AO128" s="646"/>
      <c r="AP128" s="646"/>
      <c r="AQ128" s="646"/>
      <c r="AR128" s="646"/>
      <c r="AS128" s="646"/>
      <c r="AT128" s="646"/>
      <c r="AU128" s="645"/>
      <c r="AV128" s="645"/>
      <c r="AW128" s="645"/>
      <c r="AX128" s="645"/>
      <c r="AY128" s="646"/>
      <c r="AZ128" s="646"/>
      <c r="BA128" s="646"/>
      <c r="BB128" s="646"/>
      <c r="BC128" s="646"/>
      <c r="BD128" s="646"/>
      <c r="BE128" s="646"/>
      <c r="BF128" s="646"/>
      <c r="BG128" s="646"/>
      <c r="BH128" s="646"/>
      <c r="BI128" s="647"/>
      <c r="BJ128" s="647"/>
      <c r="BK128" s="647"/>
      <c r="BL128" s="647"/>
      <c r="BM128" s="647"/>
    </row>
    <row r="129" spans="2:65" s="640" customFormat="1" hidden="1">
      <c r="B129" s="1022"/>
      <c r="C129" s="1022"/>
      <c r="D129" s="1022"/>
      <c r="E129" s="1022"/>
      <c r="F129" s="1022"/>
      <c r="G129" s="1022"/>
      <c r="H129" s="1022"/>
      <c r="I129" s="1022"/>
      <c r="J129" s="1022"/>
      <c r="K129" s="1022"/>
      <c r="L129" s="1022"/>
      <c r="M129" s="1022"/>
      <c r="N129" s="1022"/>
      <c r="O129" s="1022"/>
      <c r="P129" s="1022"/>
      <c r="Q129" s="1022"/>
      <c r="R129" s="1022"/>
      <c r="S129" s="1022"/>
      <c r="T129" s="1022"/>
      <c r="U129" s="1022"/>
      <c r="W129" s="645"/>
      <c r="X129" s="1066"/>
      <c r="Y129" s="646"/>
      <c r="Z129" s="673"/>
      <c r="AA129" s="646"/>
      <c r="AB129" s="646"/>
      <c r="AC129" s="646"/>
      <c r="AD129" s="646"/>
      <c r="AE129" s="646"/>
      <c r="AF129" s="646"/>
      <c r="AG129" s="646"/>
      <c r="AH129" s="646"/>
      <c r="AI129" s="646"/>
      <c r="AJ129" s="646"/>
      <c r="AK129" s="646"/>
      <c r="AL129" s="646"/>
      <c r="AM129" s="646"/>
      <c r="AN129" s="646"/>
      <c r="AO129" s="646"/>
      <c r="AP129" s="646"/>
      <c r="AQ129" s="646"/>
      <c r="AR129" s="646"/>
      <c r="AS129" s="646"/>
      <c r="AT129" s="646"/>
      <c r="AU129" s="645"/>
      <c r="AV129" s="645"/>
      <c r="AW129" s="645"/>
      <c r="AX129" s="645"/>
      <c r="AY129" s="646"/>
      <c r="AZ129" s="646"/>
      <c r="BA129" s="646"/>
      <c r="BB129" s="646"/>
      <c r="BC129" s="646"/>
      <c r="BD129" s="646"/>
      <c r="BE129" s="646"/>
      <c r="BF129" s="646"/>
      <c r="BG129" s="646"/>
      <c r="BH129" s="646"/>
      <c r="BI129" s="647"/>
      <c r="BJ129" s="647"/>
      <c r="BK129" s="647"/>
      <c r="BL129" s="647"/>
      <c r="BM129" s="647"/>
    </row>
    <row r="130" spans="2:65" s="640" customFormat="1" hidden="1">
      <c r="B130" s="1022"/>
      <c r="C130" s="1022"/>
      <c r="D130" s="1022"/>
      <c r="E130" s="1022"/>
      <c r="F130" s="1022"/>
      <c r="G130" s="1022"/>
      <c r="H130" s="1022"/>
      <c r="I130" s="1022"/>
      <c r="J130" s="1022"/>
      <c r="K130" s="1022"/>
      <c r="L130" s="1022"/>
      <c r="M130" s="1022"/>
      <c r="N130" s="1022"/>
      <c r="O130" s="1022"/>
      <c r="P130" s="1022"/>
      <c r="Q130" s="1022"/>
      <c r="R130" s="1022"/>
      <c r="S130" s="1022"/>
      <c r="T130" s="1022"/>
      <c r="U130" s="1022"/>
      <c r="W130" s="645"/>
      <c r="X130" s="1066"/>
      <c r="Y130" s="646"/>
      <c r="Z130" s="673"/>
      <c r="AA130" s="646"/>
      <c r="AB130" s="646"/>
      <c r="AC130" s="646"/>
      <c r="AD130" s="646"/>
      <c r="AE130" s="646"/>
      <c r="AF130" s="646"/>
      <c r="AG130" s="646"/>
      <c r="AH130" s="646"/>
      <c r="AI130" s="646"/>
      <c r="AJ130" s="646"/>
      <c r="AK130" s="646"/>
      <c r="AL130" s="646"/>
      <c r="AM130" s="646"/>
      <c r="AN130" s="646"/>
      <c r="AO130" s="646"/>
      <c r="AP130" s="646"/>
      <c r="AQ130" s="646"/>
      <c r="AR130" s="646"/>
      <c r="AS130" s="646"/>
      <c r="AT130" s="646"/>
      <c r="AU130" s="645"/>
      <c r="AV130" s="645"/>
      <c r="AW130" s="645"/>
      <c r="AX130" s="645"/>
      <c r="AY130" s="646"/>
      <c r="AZ130" s="646"/>
      <c r="BA130" s="646"/>
      <c r="BB130" s="646"/>
      <c r="BC130" s="646"/>
      <c r="BD130" s="646"/>
      <c r="BE130" s="646"/>
      <c r="BF130" s="646"/>
      <c r="BG130" s="646"/>
      <c r="BH130" s="646"/>
      <c r="BI130" s="647"/>
      <c r="BJ130" s="647"/>
      <c r="BK130" s="647"/>
      <c r="BL130" s="647"/>
      <c r="BM130" s="647"/>
    </row>
    <row r="131" spans="2:65" s="640" customFormat="1" hidden="1">
      <c r="B131" s="1022"/>
      <c r="C131" s="1022"/>
      <c r="D131" s="1022"/>
      <c r="E131" s="1022"/>
      <c r="F131" s="1022"/>
      <c r="G131" s="1022"/>
      <c r="H131" s="1022"/>
      <c r="I131" s="1022"/>
      <c r="J131" s="1022"/>
      <c r="K131" s="1022"/>
      <c r="L131" s="1022"/>
      <c r="M131" s="1022"/>
      <c r="N131" s="1022"/>
      <c r="O131" s="1022"/>
      <c r="P131" s="1022"/>
      <c r="Q131" s="1022"/>
      <c r="R131" s="1022"/>
      <c r="S131" s="1022"/>
      <c r="T131" s="1022"/>
      <c r="U131" s="1022"/>
      <c r="W131" s="645"/>
      <c r="X131" s="1066"/>
      <c r="Y131" s="646"/>
      <c r="Z131" s="673"/>
      <c r="AA131" s="646"/>
      <c r="AB131" s="646"/>
      <c r="AC131" s="646"/>
      <c r="AD131" s="646"/>
      <c r="AE131" s="646"/>
      <c r="AF131" s="646"/>
      <c r="AG131" s="646"/>
      <c r="AH131" s="646"/>
      <c r="AI131" s="646"/>
      <c r="AJ131" s="646"/>
      <c r="AK131" s="646"/>
      <c r="AL131" s="646"/>
      <c r="AM131" s="646"/>
      <c r="AN131" s="646"/>
      <c r="AO131" s="646"/>
      <c r="AP131" s="646"/>
      <c r="AQ131" s="646"/>
      <c r="AR131" s="646"/>
      <c r="AS131" s="646"/>
      <c r="AT131" s="646"/>
      <c r="AU131" s="645"/>
      <c r="AV131" s="645"/>
      <c r="AW131" s="645"/>
      <c r="AX131" s="645"/>
      <c r="AY131" s="646"/>
      <c r="AZ131" s="646"/>
      <c r="BA131" s="646"/>
      <c r="BB131" s="646"/>
      <c r="BC131" s="646"/>
      <c r="BD131" s="646"/>
      <c r="BE131" s="646"/>
      <c r="BF131" s="646"/>
      <c r="BG131" s="646"/>
      <c r="BH131" s="646"/>
      <c r="BI131" s="647"/>
      <c r="BJ131" s="647"/>
      <c r="BK131" s="647"/>
      <c r="BL131" s="647"/>
      <c r="BM131" s="647"/>
    </row>
    <row r="132" spans="2:65" s="640" customFormat="1" hidden="1">
      <c r="B132" s="1022"/>
      <c r="C132" s="1022"/>
      <c r="D132" s="1022"/>
      <c r="E132" s="1022"/>
      <c r="F132" s="1022"/>
      <c r="G132" s="1022"/>
      <c r="H132" s="1022"/>
      <c r="I132" s="1022"/>
      <c r="J132" s="1022"/>
      <c r="K132" s="1022"/>
      <c r="L132" s="1022"/>
      <c r="M132" s="1022"/>
      <c r="N132" s="1022"/>
      <c r="O132" s="1022"/>
      <c r="P132" s="1022"/>
      <c r="Q132" s="1022"/>
      <c r="R132" s="1022"/>
      <c r="S132" s="1022"/>
      <c r="T132" s="1022"/>
      <c r="U132" s="1022"/>
      <c r="W132" s="645"/>
      <c r="X132" s="1066"/>
      <c r="Y132" s="646"/>
      <c r="Z132" s="673"/>
      <c r="AA132" s="646"/>
      <c r="AB132" s="646"/>
      <c r="AC132" s="646"/>
      <c r="AD132" s="646"/>
      <c r="AE132" s="646"/>
      <c r="AF132" s="646"/>
      <c r="AG132" s="646"/>
      <c r="AH132" s="646"/>
      <c r="AI132" s="646"/>
      <c r="AJ132" s="646"/>
      <c r="AK132" s="646"/>
      <c r="AL132" s="646"/>
      <c r="AM132" s="646"/>
      <c r="AN132" s="646"/>
      <c r="AO132" s="646"/>
      <c r="AP132" s="646"/>
      <c r="AQ132" s="646"/>
      <c r="AR132" s="646"/>
      <c r="AS132" s="646"/>
      <c r="AT132" s="646"/>
      <c r="AU132" s="645"/>
      <c r="AV132" s="645"/>
      <c r="AW132" s="645"/>
      <c r="AX132" s="645"/>
      <c r="AY132" s="646"/>
      <c r="AZ132" s="646"/>
      <c r="BA132" s="646"/>
      <c r="BB132" s="646"/>
      <c r="BC132" s="646"/>
      <c r="BD132" s="646"/>
      <c r="BE132" s="646"/>
      <c r="BF132" s="646"/>
      <c r="BG132" s="646"/>
      <c r="BH132" s="646"/>
      <c r="BI132" s="647"/>
      <c r="BJ132" s="647"/>
      <c r="BK132" s="647"/>
      <c r="BL132" s="647"/>
      <c r="BM132" s="647"/>
    </row>
    <row r="133" spans="2:65" s="640" customFormat="1" hidden="1">
      <c r="B133" s="1022"/>
      <c r="C133" s="1022"/>
      <c r="D133" s="1022"/>
      <c r="E133" s="1022"/>
      <c r="F133" s="1022"/>
      <c r="G133" s="1022"/>
      <c r="H133" s="1022"/>
      <c r="I133" s="1022"/>
      <c r="J133" s="1022"/>
      <c r="K133" s="1022"/>
      <c r="L133" s="1022"/>
      <c r="M133" s="1022"/>
      <c r="N133" s="1022"/>
      <c r="O133" s="1022"/>
      <c r="P133" s="1022"/>
      <c r="Q133" s="1022"/>
      <c r="R133" s="1022"/>
      <c r="S133" s="1022"/>
      <c r="T133" s="1022"/>
      <c r="U133" s="1022"/>
      <c r="W133" s="645"/>
      <c r="X133" s="1066"/>
      <c r="Y133" s="646"/>
      <c r="Z133" s="673"/>
      <c r="AA133" s="646"/>
      <c r="AB133" s="646"/>
      <c r="AC133" s="646"/>
      <c r="AD133" s="646"/>
      <c r="AE133" s="646"/>
      <c r="AF133" s="646"/>
      <c r="AG133" s="646"/>
      <c r="AH133" s="646"/>
      <c r="AI133" s="646"/>
      <c r="AJ133" s="646"/>
      <c r="AK133" s="646"/>
      <c r="AL133" s="646"/>
      <c r="AM133" s="646"/>
      <c r="AN133" s="646"/>
      <c r="AO133" s="646"/>
      <c r="AP133" s="646"/>
      <c r="AQ133" s="646"/>
      <c r="AR133" s="646"/>
      <c r="AS133" s="646"/>
      <c r="AT133" s="646"/>
      <c r="AU133" s="645"/>
      <c r="AV133" s="645"/>
      <c r="AW133" s="645"/>
      <c r="AX133" s="645"/>
      <c r="AY133" s="646"/>
      <c r="AZ133" s="646"/>
      <c r="BA133" s="646"/>
      <c r="BB133" s="646"/>
      <c r="BC133" s="646"/>
      <c r="BD133" s="646"/>
      <c r="BE133" s="646"/>
      <c r="BF133" s="646"/>
      <c r="BG133" s="646"/>
      <c r="BH133" s="646"/>
      <c r="BI133" s="647"/>
      <c r="BJ133" s="647"/>
      <c r="BK133" s="647"/>
      <c r="BL133" s="647"/>
      <c r="BM133" s="647"/>
    </row>
    <row r="134" spans="2:65" s="640" customFormat="1" hidden="1">
      <c r="B134" s="1022"/>
      <c r="C134" s="1022"/>
      <c r="D134" s="1022"/>
      <c r="E134" s="1022"/>
      <c r="F134" s="1022"/>
      <c r="G134" s="1022"/>
      <c r="H134" s="1022"/>
      <c r="I134" s="1022"/>
      <c r="J134" s="1022"/>
      <c r="K134" s="1022"/>
      <c r="L134" s="1022"/>
      <c r="M134" s="1022"/>
      <c r="N134" s="1022"/>
      <c r="O134" s="1022"/>
      <c r="P134" s="1022"/>
      <c r="Q134" s="1022"/>
      <c r="R134" s="1022"/>
      <c r="S134" s="1022"/>
      <c r="T134" s="1022"/>
      <c r="U134" s="1022"/>
      <c r="W134" s="645"/>
      <c r="X134" s="1066"/>
      <c r="Y134" s="646"/>
      <c r="Z134" s="673"/>
      <c r="AA134" s="646"/>
      <c r="AB134" s="646"/>
      <c r="AC134" s="646"/>
      <c r="AD134" s="646"/>
      <c r="AE134" s="646"/>
      <c r="AF134" s="646"/>
      <c r="AG134" s="646"/>
      <c r="AH134" s="646"/>
      <c r="AI134" s="646"/>
      <c r="AJ134" s="646"/>
      <c r="AK134" s="646"/>
      <c r="AL134" s="646"/>
      <c r="AM134" s="646"/>
      <c r="AN134" s="646"/>
      <c r="AO134" s="646"/>
      <c r="AP134" s="646"/>
      <c r="AQ134" s="646"/>
      <c r="AR134" s="646"/>
      <c r="AS134" s="646"/>
      <c r="AT134" s="646"/>
      <c r="AU134" s="645"/>
      <c r="AV134" s="645"/>
      <c r="AW134" s="645"/>
      <c r="AX134" s="645"/>
      <c r="AY134" s="646"/>
      <c r="AZ134" s="646"/>
      <c r="BA134" s="646"/>
      <c r="BB134" s="646"/>
      <c r="BC134" s="646"/>
      <c r="BD134" s="646"/>
      <c r="BE134" s="646"/>
      <c r="BF134" s="646"/>
      <c r="BG134" s="646"/>
      <c r="BH134" s="646"/>
      <c r="BI134" s="647"/>
      <c r="BJ134" s="647"/>
      <c r="BK134" s="647"/>
      <c r="BL134" s="647"/>
      <c r="BM134" s="647"/>
    </row>
    <row r="135" spans="2:65" s="640" customFormat="1" hidden="1">
      <c r="B135" s="1022"/>
      <c r="C135" s="1022"/>
      <c r="D135" s="1022"/>
      <c r="E135" s="1022"/>
      <c r="F135" s="1022"/>
      <c r="G135" s="1022"/>
      <c r="H135" s="1022"/>
      <c r="I135" s="1022"/>
      <c r="J135" s="1022"/>
      <c r="K135" s="1022"/>
      <c r="L135" s="1022"/>
      <c r="M135" s="1022"/>
      <c r="N135" s="1022"/>
      <c r="O135" s="1022"/>
      <c r="P135" s="1022"/>
      <c r="Q135" s="1022"/>
      <c r="R135" s="1022"/>
      <c r="S135" s="1022"/>
      <c r="T135" s="1022"/>
      <c r="U135" s="1022"/>
      <c r="W135" s="645"/>
      <c r="X135" s="1066"/>
      <c r="Y135" s="646"/>
      <c r="Z135" s="673"/>
      <c r="AA135" s="646"/>
      <c r="AB135" s="646"/>
      <c r="AC135" s="646"/>
      <c r="AD135" s="646"/>
      <c r="AE135" s="646"/>
      <c r="AF135" s="646"/>
      <c r="AG135" s="646"/>
      <c r="AH135" s="646"/>
      <c r="AI135" s="646"/>
      <c r="AJ135" s="646"/>
      <c r="AK135" s="646"/>
      <c r="AL135" s="646"/>
      <c r="AM135" s="646"/>
      <c r="AN135" s="646"/>
      <c r="AO135" s="646"/>
      <c r="AP135" s="646"/>
      <c r="AQ135" s="646"/>
      <c r="AR135" s="646"/>
      <c r="AS135" s="646"/>
      <c r="AT135" s="646"/>
      <c r="AU135" s="645"/>
      <c r="AV135" s="645"/>
      <c r="AW135" s="645"/>
      <c r="AX135" s="645"/>
      <c r="AY135" s="646"/>
      <c r="AZ135" s="646"/>
      <c r="BA135" s="646"/>
      <c r="BB135" s="646"/>
      <c r="BC135" s="646"/>
      <c r="BD135" s="646"/>
      <c r="BE135" s="646"/>
      <c r="BF135" s="646"/>
      <c r="BG135" s="646"/>
      <c r="BH135" s="646"/>
      <c r="BI135" s="647"/>
      <c r="BJ135" s="647"/>
      <c r="BK135" s="647"/>
      <c r="BL135" s="647"/>
      <c r="BM135" s="647"/>
    </row>
    <row r="136" spans="2:65" s="640" customFormat="1" hidden="1">
      <c r="B136" s="1022"/>
      <c r="C136" s="1022"/>
      <c r="D136" s="1022"/>
      <c r="E136" s="1022"/>
      <c r="F136" s="1022"/>
      <c r="G136" s="1022"/>
      <c r="H136" s="1022"/>
      <c r="I136" s="1022"/>
      <c r="J136" s="1022"/>
      <c r="K136" s="1022"/>
      <c r="L136" s="1022"/>
      <c r="M136" s="1022"/>
      <c r="N136" s="1022"/>
      <c r="O136" s="1022"/>
      <c r="P136" s="1022"/>
      <c r="Q136" s="1022"/>
      <c r="R136" s="1022"/>
      <c r="S136" s="1022"/>
      <c r="T136" s="1022"/>
      <c r="U136" s="1022"/>
      <c r="W136" s="645"/>
      <c r="X136" s="1066"/>
      <c r="Y136" s="646"/>
      <c r="Z136" s="673"/>
      <c r="AA136" s="646"/>
      <c r="AB136" s="646"/>
      <c r="AC136" s="646"/>
      <c r="AD136" s="646"/>
      <c r="AE136" s="646"/>
      <c r="AF136" s="646"/>
      <c r="AG136" s="646"/>
      <c r="AH136" s="646"/>
      <c r="AI136" s="646"/>
      <c r="AJ136" s="646"/>
      <c r="AK136" s="646"/>
      <c r="AL136" s="646"/>
      <c r="AM136" s="646"/>
      <c r="AN136" s="646"/>
      <c r="AO136" s="646"/>
      <c r="AP136" s="646"/>
      <c r="AQ136" s="646"/>
      <c r="AR136" s="646"/>
      <c r="AS136" s="646"/>
      <c r="AT136" s="646"/>
      <c r="AU136" s="645"/>
      <c r="AV136" s="645"/>
      <c r="AW136" s="645"/>
      <c r="AX136" s="645"/>
      <c r="AY136" s="646"/>
      <c r="AZ136" s="646"/>
      <c r="BA136" s="646"/>
      <c r="BB136" s="646"/>
      <c r="BC136" s="646"/>
      <c r="BD136" s="646"/>
      <c r="BE136" s="646"/>
      <c r="BF136" s="646"/>
      <c r="BG136" s="646"/>
      <c r="BH136" s="646"/>
      <c r="BI136" s="647"/>
      <c r="BJ136" s="647"/>
      <c r="BK136" s="647"/>
      <c r="BL136" s="647"/>
      <c r="BM136" s="647"/>
    </row>
    <row r="137" spans="2:65" s="640" customFormat="1" hidden="1">
      <c r="B137" s="1022"/>
      <c r="C137" s="1022"/>
      <c r="D137" s="1022"/>
      <c r="E137" s="1022"/>
      <c r="F137" s="1022"/>
      <c r="G137" s="1022"/>
      <c r="H137" s="1022"/>
      <c r="I137" s="1022"/>
      <c r="J137" s="1022"/>
      <c r="K137" s="1022"/>
      <c r="L137" s="1022"/>
      <c r="M137" s="1022"/>
      <c r="N137" s="1022"/>
      <c r="O137" s="1022"/>
      <c r="P137" s="1022"/>
      <c r="Q137" s="1022"/>
      <c r="R137" s="1022"/>
      <c r="S137" s="1022"/>
      <c r="T137" s="1022"/>
      <c r="U137" s="1022"/>
      <c r="W137" s="645"/>
      <c r="X137" s="1066"/>
      <c r="Y137" s="646"/>
      <c r="Z137" s="673"/>
      <c r="AA137" s="646"/>
      <c r="AB137" s="646"/>
      <c r="AC137" s="646"/>
      <c r="AD137" s="646"/>
      <c r="AE137" s="646"/>
      <c r="AF137" s="646"/>
      <c r="AG137" s="646"/>
      <c r="AH137" s="646"/>
      <c r="AI137" s="646"/>
      <c r="AJ137" s="646"/>
      <c r="AK137" s="646"/>
      <c r="AL137" s="646"/>
      <c r="AM137" s="646"/>
      <c r="AN137" s="646"/>
      <c r="AO137" s="646"/>
      <c r="AP137" s="646"/>
      <c r="AQ137" s="646"/>
      <c r="AR137" s="646"/>
      <c r="AS137" s="646"/>
      <c r="AT137" s="646"/>
      <c r="AU137" s="645"/>
      <c r="AV137" s="645"/>
      <c r="AW137" s="645"/>
      <c r="AX137" s="645"/>
      <c r="AY137" s="646"/>
      <c r="AZ137" s="646"/>
      <c r="BA137" s="646"/>
      <c r="BB137" s="646"/>
      <c r="BC137" s="646"/>
      <c r="BD137" s="646"/>
      <c r="BE137" s="646"/>
      <c r="BF137" s="646"/>
      <c r="BG137" s="646"/>
      <c r="BH137" s="646"/>
      <c r="BI137" s="647"/>
      <c r="BJ137" s="647"/>
      <c r="BK137" s="647"/>
      <c r="BL137" s="647"/>
      <c r="BM137" s="647"/>
    </row>
    <row r="138" spans="2:65" s="640" customFormat="1" hidden="1">
      <c r="B138" s="1022"/>
      <c r="C138" s="1022"/>
      <c r="D138" s="1022"/>
      <c r="E138" s="1022"/>
      <c r="F138" s="1022"/>
      <c r="G138" s="1022"/>
      <c r="H138" s="1022"/>
      <c r="I138" s="1022"/>
      <c r="J138" s="1022"/>
      <c r="K138" s="1022"/>
      <c r="L138" s="1022"/>
      <c r="M138" s="1022"/>
      <c r="N138" s="1022"/>
      <c r="O138" s="1022"/>
      <c r="P138" s="1022"/>
      <c r="Q138" s="1022"/>
      <c r="R138" s="1022"/>
      <c r="S138" s="1022"/>
      <c r="T138" s="1022"/>
      <c r="U138" s="1022"/>
      <c r="W138" s="645"/>
      <c r="X138" s="1066"/>
      <c r="Y138" s="646"/>
      <c r="Z138" s="673"/>
      <c r="AA138" s="646"/>
      <c r="AB138" s="646"/>
      <c r="AC138" s="646"/>
      <c r="AD138" s="646"/>
      <c r="AE138" s="646"/>
      <c r="AF138" s="646"/>
      <c r="AG138" s="646"/>
      <c r="AH138" s="646"/>
      <c r="AI138" s="646"/>
      <c r="AJ138" s="646"/>
      <c r="AK138" s="646"/>
      <c r="AL138" s="646"/>
      <c r="AM138" s="646"/>
      <c r="AN138" s="646"/>
      <c r="AO138" s="646"/>
      <c r="AP138" s="646"/>
      <c r="AQ138" s="646"/>
      <c r="AR138" s="646"/>
      <c r="AS138" s="646"/>
      <c r="AT138" s="646"/>
      <c r="AU138" s="645"/>
      <c r="AV138" s="645"/>
      <c r="AW138" s="645"/>
      <c r="AX138" s="645"/>
      <c r="AY138" s="646"/>
      <c r="AZ138" s="646"/>
      <c r="BA138" s="646"/>
      <c r="BB138" s="646"/>
      <c r="BC138" s="646"/>
      <c r="BD138" s="646"/>
      <c r="BE138" s="646"/>
      <c r="BF138" s="646"/>
      <c r="BG138" s="646"/>
      <c r="BH138" s="646"/>
      <c r="BI138" s="647"/>
      <c r="BJ138" s="647"/>
      <c r="BK138" s="647"/>
      <c r="BL138" s="647"/>
      <c r="BM138" s="647"/>
    </row>
    <row r="139" spans="2:65" s="640" customFormat="1" hidden="1">
      <c r="B139" s="1022"/>
      <c r="C139" s="1022"/>
      <c r="D139" s="1022"/>
      <c r="E139" s="1022"/>
      <c r="F139" s="1022"/>
      <c r="G139" s="1022"/>
      <c r="H139" s="1022"/>
      <c r="I139" s="1022"/>
      <c r="J139" s="1022"/>
      <c r="K139" s="1022"/>
      <c r="L139" s="1022"/>
      <c r="M139" s="1022"/>
      <c r="N139" s="1022"/>
      <c r="O139" s="1022"/>
      <c r="P139" s="1022"/>
      <c r="Q139" s="1022"/>
      <c r="R139" s="1022"/>
      <c r="S139" s="1022"/>
      <c r="T139" s="1022"/>
      <c r="U139" s="1022"/>
      <c r="W139" s="645"/>
      <c r="X139" s="1066"/>
      <c r="Y139" s="646"/>
      <c r="Z139" s="673"/>
      <c r="AA139" s="646"/>
      <c r="AB139" s="646"/>
      <c r="AC139" s="646"/>
      <c r="AD139" s="646"/>
      <c r="AE139" s="646"/>
      <c r="AF139" s="646"/>
      <c r="AG139" s="646"/>
      <c r="AH139" s="646"/>
      <c r="AI139" s="646"/>
      <c r="AJ139" s="646"/>
      <c r="AK139" s="646"/>
      <c r="AL139" s="646"/>
      <c r="AM139" s="646"/>
      <c r="AN139" s="646"/>
      <c r="AO139" s="646"/>
      <c r="AP139" s="646"/>
      <c r="AQ139" s="646"/>
      <c r="AR139" s="646"/>
      <c r="AS139" s="646"/>
      <c r="AT139" s="646"/>
      <c r="AU139" s="645"/>
      <c r="AV139" s="645"/>
      <c r="AW139" s="645"/>
      <c r="AX139" s="645"/>
      <c r="AY139" s="646"/>
      <c r="AZ139" s="646"/>
      <c r="BA139" s="646"/>
      <c r="BB139" s="646"/>
      <c r="BC139" s="646"/>
      <c r="BD139" s="646"/>
      <c r="BE139" s="646"/>
      <c r="BF139" s="646"/>
      <c r="BG139" s="646"/>
      <c r="BH139" s="646"/>
      <c r="BI139" s="647"/>
      <c r="BJ139" s="647"/>
      <c r="BK139" s="647"/>
      <c r="BL139" s="647"/>
      <c r="BM139" s="647"/>
    </row>
    <row r="140" spans="2:65" s="640" customFormat="1" hidden="1">
      <c r="B140" s="1022"/>
      <c r="C140" s="1022"/>
      <c r="D140" s="1022"/>
      <c r="E140" s="1022"/>
      <c r="F140" s="1022"/>
      <c r="G140" s="1022"/>
      <c r="H140" s="1022"/>
      <c r="I140" s="1022"/>
      <c r="J140" s="1022"/>
      <c r="K140" s="1022"/>
      <c r="L140" s="1022"/>
      <c r="M140" s="1022"/>
      <c r="N140" s="1022"/>
      <c r="O140" s="1022"/>
      <c r="P140" s="1022"/>
      <c r="Q140" s="1022"/>
      <c r="R140" s="1022"/>
      <c r="S140" s="1022"/>
      <c r="T140" s="1022"/>
      <c r="U140" s="1022"/>
      <c r="W140" s="645"/>
      <c r="X140" s="1066"/>
      <c r="Y140" s="646"/>
      <c r="Z140" s="673"/>
      <c r="AA140" s="646"/>
      <c r="AB140" s="646"/>
      <c r="AC140" s="646"/>
      <c r="AD140" s="646"/>
      <c r="AE140" s="646"/>
      <c r="AF140" s="646"/>
      <c r="AG140" s="646"/>
      <c r="AH140" s="646"/>
      <c r="AI140" s="646"/>
      <c r="AJ140" s="646"/>
      <c r="AK140" s="646"/>
      <c r="AL140" s="646"/>
      <c r="AM140" s="646"/>
      <c r="AN140" s="646"/>
      <c r="AO140" s="646"/>
      <c r="AP140" s="646"/>
      <c r="AQ140" s="646"/>
      <c r="AR140" s="646"/>
      <c r="AS140" s="646"/>
      <c r="AT140" s="646"/>
      <c r="AU140" s="645"/>
      <c r="AV140" s="645"/>
      <c r="AW140" s="645"/>
      <c r="AX140" s="645"/>
      <c r="AY140" s="646"/>
      <c r="AZ140" s="646"/>
      <c r="BA140" s="646"/>
      <c r="BB140" s="646"/>
      <c r="BC140" s="646"/>
      <c r="BD140" s="646"/>
      <c r="BE140" s="646"/>
      <c r="BF140" s="646"/>
      <c r="BG140" s="646"/>
      <c r="BH140" s="646"/>
      <c r="BI140" s="647"/>
      <c r="BJ140" s="647"/>
      <c r="BK140" s="647"/>
      <c r="BL140" s="647"/>
      <c r="BM140" s="647"/>
    </row>
    <row r="141" spans="2:65" s="640" customFormat="1" hidden="1">
      <c r="B141" s="1022"/>
      <c r="C141" s="1022"/>
      <c r="D141" s="1022"/>
      <c r="E141" s="1022"/>
      <c r="F141" s="1022"/>
      <c r="G141" s="1022"/>
      <c r="H141" s="1022"/>
      <c r="I141" s="1022"/>
      <c r="J141" s="1022"/>
      <c r="K141" s="1022"/>
      <c r="L141" s="1022"/>
      <c r="M141" s="1022"/>
      <c r="N141" s="1022"/>
      <c r="O141" s="1022"/>
      <c r="P141" s="1022"/>
      <c r="Q141" s="1022"/>
      <c r="R141" s="1022"/>
      <c r="S141" s="1022"/>
      <c r="T141" s="1022"/>
      <c r="U141" s="1022"/>
      <c r="W141" s="645"/>
      <c r="X141" s="1066"/>
      <c r="Y141" s="646"/>
      <c r="Z141" s="673"/>
      <c r="AA141" s="646"/>
      <c r="AB141" s="646"/>
      <c r="AC141" s="646"/>
      <c r="AD141" s="646"/>
      <c r="AE141" s="646"/>
      <c r="AF141" s="646"/>
      <c r="AG141" s="646"/>
      <c r="AH141" s="646"/>
      <c r="AI141" s="646"/>
      <c r="AJ141" s="646"/>
      <c r="AK141" s="646"/>
      <c r="AL141" s="646"/>
      <c r="AM141" s="646"/>
      <c r="AN141" s="646"/>
      <c r="AO141" s="646"/>
      <c r="AP141" s="646"/>
      <c r="AQ141" s="646"/>
      <c r="AR141" s="646"/>
      <c r="AS141" s="646"/>
      <c r="AT141" s="646"/>
      <c r="AU141" s="645"/>
      <c r="AV141" s="645"/>
      <c r="AW141" s="645"/>
      <c r="AX141" s="645"/>
      <c r="AY141" s="646"/>
      <c r="AZ141" s="646"/>
      <c r="BA141" s="646"/>
      <c r="BB141" s="646"/>
      <c r="BC141" s="646"/>
      <c r="BD141" s="646"/>
      <c r="BE141" s="646"/>
      <c r="BF141" s="646"/>
      <c r="BG141" s="646"/>
      <c r="BH141" s="646"/>
      <c r="BI141" s="647"/>
      <c r="BJ141" s="647"/>
      <c r="BK141" s="647"/>
      <c r="BL141" s="647"/>
      <c r="BM141" s="647"/>
    </row>
    <row r="142" spans="2:65" s="640" customFormat="1" hidden="1">
      <c r="B142" s="1022"/>
      <c r="C142" s="1022"/>
      <c r="D142" s="1022"/>
      <c r="E142" s="1022"/>
      <c r="F142" s="1022"/>
      <c r="G142" s="1022"/>
      <c r="H142" s="1022"/>
      <c r="I142" s="1022"/>
      <c r="J142" s="1022"/>
      <c r="K142" s="1022"/>
      <c r="L142" s="1022"/>
      <c r="M142" s="1022"/>
      <c r="N142" s="1022"/>
      <c r="O142" s="1022"/>
      <c r="P142" s="1022"/>
      <c r="Q142" s="1022"/>
      <c r="R142" s="1022"/>
      <c r="S142" s="1022"/>
      <c r="T142" s="1022"/>
      <c r="U142" s="1022"/>
      <c r="W142" s="645"/>
      <c r="X142" s="1066"/>
      <c r="Y142" s="646"/>
      <c r="Z142" s="673"/>
      <c r="AA142" s="646"/>
      <c r="AB142" s="646"/>
      <c r="AC142" s="646"/>
      <c r="AD142" s="646"/>
      <c r="AE142" s="646"/>
      <c r="AF142" s="646"/>
      <c r="AG142" s="646"/>
      <c r="AH142" s="646"/>
      <c r="AI142" s="646"/>
      <c r="AJ142" s="646"/>
      <c r="AK142" s="646"/>
      <c r="AL142" s="646"/>
      <c r="AM142" s="646"/>
      <c r="AN142" s="646"/>
      <c r="AO142" s="646"/>
      <c r="AP142" s="646"/>
      <c r="AQ142" s="646"/>
      <c r="AR142" s="646"/>
      <c r="AS142" s="646"/>
      <c r="AT142" s="646"/>
      <c r="AU142" s="645"/>
      <c r="AV142" s="645"/>
      <c r="AW142" s="645"/>
      <c r="AX142" s="645"/>
      <c r="AY142" s="646"/>
      <c r="AZ142" s="646"/>
      <c r="BA142" s="646"/>
      <c r="BB142" s="646"/>
      <c r="BC142" s="646"/>
      <c r="BD142" s="646"/>
      <c r="BE142" s="646"/>
      <c r="BF142" s="646"/>
      <c r="BG142" s="646"/>
      <c r="BH142" s="646"/>
      <c r="BI142" s="647"/>
      <c r="BJ142" s="647"/>
      <c r="BK142" s="647"/>
      <c r="BL142" s="647"/>
      <c r="BM142" s="647"/>
    </row>
    <row r="143" spans="2:65" s="640" customFormat="1" hidden="1">
      <c r="B143" s="1022"/>
      <c r="C143" s="1022"/>
      <c r="D143" s="1022"/>
      <c r="E143" s="1022"/>
      <c r="F143" s="1022"/>
      <c r="G143" s="1022"/>
      <c r="H143" s="1022"/>
      <c r="I143" s="1022"/>
      <c r="J143" s="1022"/>
      <c r="K143" s="1022"/>
      <c r="L143" s="1022"/>
      <c r="M143" s="1022"/>
      <c r="N143" s="1022"/>
      <c r="O143" s="1022"/>
      <c r="P143" s="1022"/>
      <c r="Q143" s="1022"/>
      <c r="R143" s="1022"/>
      <c r="S143" s="1022"/>
      <c r="T143" s="1022"/>
      <c r="U143" s="1022"/>
      <c r="W143" s="645"/>
      <c r="X143" s="1066"/>
      <c r="Y143" s="646"/>
      <c r="Z143" s="673"/>
      <c r="AA143" s="646"/>
      <c r="AB143" s="646"/>
      <c r="AC143" s="646"/>
      <c r="AD143" s="646"/>
      <c r="AE143" s="646"/>
      <c r="AF143" s="646"/>
      <c r="AG143" s="646"/>
      <c r="AH143" s="646"/>
      <c r="AI143" s="646"/>
      <c r="AJ143" s="646"/>
      <c r="AK143" s="646"/>
      <c r="AL143" s="646"/>
      <c r="AM143" s="646"/>
      <c r="AN143" s="646"/>
      <c r="AO143" s="646"/>
      <c r="AP143" s="646"/>
      <c r="AQ143" s="646"/>
      <c r="AR143" s="646"/>
      <c r="AS143" s="646"/>
      <c r="AT143" s="646"/>
      <c r="AU143" s="645"/>
      <c r="AV143" s="645"/>
      <c r="AW143" s="645"/>
      <c r="AX143" s="645"/>
      <c r="AY143" s="646"/>
      <c r="AZ143" s="646"/>
      <c r="BA143" s="646"/>
      <c r="BB143" s="646"/>
      <c r="BC143" s="646"/>
      <c r="BD143" s="646"/>
      <c r="BE143" s="646"/>
      <c r="BF143" s="646"/>
      <c r="BG143" s="646"/>
      <c r="BH143" s="646"/>
      <c r="BI143" s="647"/>
      <c r="BJ143" s="647"/>
      <c r="BK143" s="647"/>
      <c r="BL143" s="647"/>
      <c r="BM143" s="647"/>
    </row>
    <row r="144" spans="2:65" s="640" customFormat="1" hidden="1">
      <c r="B144" s="1022"/>
      <c r="C144" s="1022"/>
      <c r="D144" s="1022"/>
      <c r="E144" s="1022"/>
      <c r="F144" s="1022"/>
      <c r="G144" s="1022"/>
      <c r="H144" s="1022"/>
      <c r="I144" s="1022"/>
      <c r="J144" s="1022"/>
      <c r="K144" s="1022"/>
      <c r="L144" s="1022"/>
      <c r="M144" s="1022"/>
      <c r="N144" s="1022"/>
      <c r="O144" s="1022"/>
      <c r="P144" s="1022"/>
      <c r="Q144" s="1022"/>
      <c r="R144" s="1022"/>
      <c r="S144" s="1022"/>
      <c r="T144" s="1022"/>
      <c r="U144" s="1022"/>
      <c r="W144" s="645"/>
      <c r="X144" s="1066"/>
      <c r="Y144" s="646"/>
      <c r="Z144" s="673"/>
      <c r="AA144" s="646"/>
      <c r="AB144" s="646"/>
      <c r="AC144" s="646"/>
      <c r="AD144" s="646"/>
      <c r="AE144" s="646"/>
      <c r="AF144" s="646"/>
      <c r="AG144" s="646"/>
      <c r="AH144" s="646"/>
      <c r="AI144" s="646"/>
      <c r="AJ144" s="646"/>
      <c r="AK144" s="646"/>
      <c r="AL144" s="646"/>
      <c r="AM144" s="646"/>
      <c r="AN144" s="646"/>
      <c r="AO144" s="646"/>
      <c r="AP144" s="646"/>
      <c r="AQ144" s="646"/>
      <c r="AR144" s="646"/>
      <c r="AS144" s="646"/>
      <c r="AT144" s="646"/>
      <c r="AU144" s="645"/>
      <c r="AV144" s="645"/>
      <c r="AW144" s="645"/>
      <c r="AX144" s="645"/>
      <c r="AY144" s="646"/>
      <c r="AZ144" s="646"/>
      <c r="BA144" s="646"/>
      <c r="BB144" s="646"/>
      <c r="BC144" s="646"/>
      <c r="BD144" s="646"/>
      <c r="BE144" s="646"/>
      <c r="BF144" s="646"/>
      <c r="BG144" s="646"/>
      <c r="BH144" s="646"/>
      <c r="BI144" s="647"/>
      <c r="BJ144" s="647"/>
      <c r="BK144" s="647"/>
      <c r="BL144" s="647"/>
      <c r="BM144" s="647"/>
    </row>
    <row r="145" spans="2:65" s="640" customFormat="1" hidden="1">
      <c r="B145" s="1022"/>
      <c r="C145" s="1022"/>
      <c r="D145" s="1022"/>
      <c r="E145" s="1022"/>
      <c r="F145" s="1022"/>
      <c r="G145" s="1022"/>
      <c r="H145" s="1022"/>
      <c r="I145" s="1022"/>
      <c r="J145" s="1022"/>
      <c r="K145" s="1022"/>
      <c r="L145" s="1022"/>
      <c r="M145" s="1022"/>
      <c r="N145" s="1022"/>
      <c r="O145" s="1022"/>
      <c r="P145" s="1022"/>
      <c r="Q145" s="1022"/>
      <c r="R145" s="1022"/>
      <c r="S145" s="1022"/>
      <c r="T145" s="1022"/>
      <c r="U145" s="1022"/>
      <c r="W145" s="645"/>
      <c r="X145" s="1066"/>
      <c r="Y145" s="646"/>
      <c r="Z145" s="673"/>
      <c r="AA145" s="646"/>
      <c r="AB145" s="646"/>
      <c r="AC145" s="646"/>
      <c r="AD145" s="646"/>
      <c r="AE145" s="646"/>
      <c r="AF145" s="646"/>
      <c r="AG145" s="646"/>
      <c r="AH145" s="646"/>
      <c r="AI145" s="646"/>
      <c r="AJ145" s="646"/>
      <c r="AK145" s="646"/>
      <c r="AL145" s="646"/>
      <c r="AM145" s="646"/>
      <c r="AN145" s="646"/>
      <c r="AO145" s="646"/>
      <c r="AP145" s="646"/>
      <c r="AQ145" s="646"/>
      <c r="AR145" s="646"/>
      <c r="AS145" s="646"/>
      <c r="AT145" s="646"/>
      <c r="AU145" s="645"/>
      <c r="AV145" s="645"/>
      <c r="AW145" s="645"/>
      <c r="AX145" s="645"/>
      <c r="AY145" s="646"/>
      <c r="AZ145" s="646"/>
      <c r="BA145" s="646"/>
      <c r="BB145" s="646"/>
      <c r="BC145" s="646"/>
      <c r="BD145" s="646"/>
      <c r="BE145" s="646"/>
      <c r="BF145" s="646"/>
      <c r="BG145" s="646"/>
      <c r="BH145" s="646"/>
      <c r="BI145" s="647"/>
      <c r="BJ145" s="647"/>
      <c r="BK145" s="647"/>
      <c r="BL145" s="647"/>
      <c r="BM145" s="647"/>
    </row>
    <row r="146" spans="2:65" s="640" customFormat="1" hidden="1">
      <c r="B146" s="1022"/>
      <c r="C146" s="1022"/>
      <c r="D146" s="1022"/>
      <c r="E146" s="1022"/>
      <c r="F146" s="1022"/>
      <c r="G146" s="1022"/>
      <c r="H146" s="1022"/>
      <c r="I146" s="1022"/>
      <c r="J146" s="1022"/>
      <c r="K146" s="1022"/>
      <c r="L146" s="1022"/>
      <c r="M146" s="1022"/>
      <c r="N146" s="1022"/>
      <c r="O146" s="1022"/>
      <c r="P146" s="1022"/>
      <c r="Q146" s="1022"/>
      <c r="R146" s="1022"/>
      <c r="S146" s="1022"/>
      <c r="T146" s="1022"/>
      <c r="U146" s="1022"/>
      <c r="W146" s="645"/>
      <c r="X146" s="1066"/>
      <c r="Y146" s="646"/>
      <c r="Z146" s="673"/>
      <c r="AA146" s="646"/>
      <c r="AB146" s="646"/>
      <c r="AC146" s="646"/>
      <c r="AD146" s="646"/>
      <c r="AE146" s="646"/>
      <c r="AF146" s="646"/>
      <c r="AG146" s="646"/>
      <c r="AH146" s="646"/>
      <c r="AI146" s="646"/>
      <c r="AJ146" s="646"/>
      <c r="AK146" s="646"/>
      <c r="AL146" s="646"/>
      <c r="AM146" s="646"/>
      <c r="AN146" s="646"/>
      <c r="AO146" s="646"/>
      <c r="AP146" s="646"/>
      <c r="AQ146" s="646"/>
      <c r="AR146" s="646"/>
      <c r="AS146" s="646"/>
      <c r="AT146" s="646"/>
      <c r="AU146" s="645"/>
      <c r="AV146" s="645"/>
      <c r="AW146" s="645"/>
      <c r="AX146" s="645"/>
      <c r="AY146" s="646"/>
      <c r="AZ146" s="646"/>
      <c r="BA146" s="646"/>
      <c r="BB146" s="646"/>
      <c r="BC146" s="646"/>
      <c r="BD146" s="646"/>
      <c r="BE146" s="646"/>
      <c r="BF146" s="646"/>
      <c r="BG146" s="646"/>
      <c r="BH146" s="646"/>
      <c r="BI146" s="647"/>
      <c r="BJ146" s="647"/>
      <c r="BK146" s="647"/>
      <c r="BL146" s="647"/>
      <c r="BM146" s="647"/>
    </row>
    <row r="147" spans="2:65" s="640" customFormat="1" hidden="1">
      <c r="B147" s="1022"/>
      <c r="C147" s="1022"/>
      <c r="D147" s="1022"/>
      <c r="E147" s="1022"/>
      <c r="F147" s="1022"/>
      <c r="G147" s="1022"/>
      <c r="H147" s="1022"/>
      <c r="I147" s="1022"/>
      <c r="J147" s="1022"/>
      <c r="K147" s="1022"/>
      <c r="L147" s="1022"/>
      <c r="M147" s="1022"/>
      <c r="N147" s="1022"/>
      <c r="O147" s="1022"/>
      <c r="P147" s="1022"/>
      <c r="Q147" s="1022"/>
      <c r="R147" s="1022"/>
      <c r="S147" s="1022"/>
      <c r="T147" s="1022"/>
      <c r="U147" s="1022"/>
      <c r="W147" s="645"/>
      <c r="X147" s="1066"/>
      <c r="Y147" s="646"/>
      <c r="Z147" s="673"/>
      <c r="AA147" s="646"/>
      <c r="AB147" s="646"/>
      <c r="AC147" s="646"/>
      <c r="AD147" s="646"/>
      <c r="AE147" s="646"/>
      <c r="AF147" s="646"/>
      <c r="AG147" s="646"/>
      <c r="AH147" s="646"/>
      <c r="AI147" s="646"/>
      <c r="AJ147" s="646"/>
      <c r="AK147" s="646"/>
      <c r="AL147" s="646"/>
      <c r="AM147" s="646"/>
      <c r="AN147" s="646"/>
      <c r="AO147" s="646"/>
      <c r="AP147" s="646"/>
      <c r="AQ147" s="646"/>
      <c r="AR147" s="646"/>
      <c r="AS147" s="646"/>
      <c r="AT147" s="646"/>
      <c r="AU147" s="645"/>
      <c r="AV147" s="645"/>
      <c r="AW147" s="645"/>
      <c r="AX147" s="645"/>
      <c r="AY147" s="646"/>
      <c r="AZ147" s="646"/>
      <c r="BA147" s="646"/>
      <c r="BB147" s="646"/>
      <c r="BC147" s="646"/>
      <c r="BD147" s="646"/>
      <c r="BE147" s="646"/>
      <c r="BF147" s="646"/>
      <c r="BG147" s="646"/>
      <c r="BH147" s="646"/>
      <c r="BI147" s="647"/>
      <c r="BJ147" s="647"/>
      <c r="BK147" s="647"/>
      <c r="BL147" s="647"/>
      <c r="BM147" s="647"/>
    </row>
    <row r="148" spans="2:65" s="640" customFormat="1" hidden="1">
      <c r="B148" s="1022"/>
      <c r="C148" s="1022"/>
      <c r="D148" s="1022"/>
      <c r="E148" s="1022"/>
      <c r="F148" s="1022"/>
      <c r="G148" s="1022"/>
      <c r="H148" s="1022"/>
      <c r="I148" s="1022"/>
      <c r="J148" s="1022"/>
      <c r="K148" s="1022"/>
      <c r="L148" s="1022"/>
      <c r="M148" s="1022"/>
      <c r="N148" s="1022"/>
      <c r="O148" s="1022"/>
      <c r="P148" s="1022"/>
      <c r="Q148" s="1022"/>
      <c r="R148" s="1022"/>
      <c r="S148" s="1022"/>
      <c r="T148" s="1022"/>
      <c r="U148" s="1022"/>
      <c r="W148" s="645"/>
      <c r="X148" s="1066"/>
      <c r="Y148" s="646"/>
      <c r="Z148" s="673"/>
      <c r="AA148" s="646"/>
      <c r="AB148" s="646"/>
      <c r="AC148" s="646"/>
      <c r="AD148" s="646"/>
      <c r="AE148" s="646"/>
      <c r="AF148" s="646"/>
      <c r="AG148" s="646"/>
      <c r="AH148" s="646"/>
      <c r="AI148" s="646"/>
      <c r="AJ148" s="646"/>
      <c r="AK148" s="646"/>
      <c r="AL148" s="646"/>
      <c r="AM148" s="646"/>
      <c r="AN148" s="646"/>
      <c r="AO148" s="646"/>
      <c r="AP148" s="646"/>
      <c r="AQ148" s="646"/>
      <c r="AR148" s="646"/>
      <c r="AS148" s="646"/>
      <c r="AT148" s="646"/>
      <c r="AU148" s="645"/>
      <c r="AV148" s="645"/>
      <c r="AW148" s="645"/>
      <c r="AX148" s="645"/>
      <c r="AY148" s="646"/>
      <c r="AZ148" s="646"/>
      <c r="BA148" s="646"/>
      <c r="BB148" s="646"/>
      <c r="BC148" s="646"/>
      <c r="BD148" s="646"/>
      <c r="BE148" s="646"/>
      <c r="BF148" s="646"/>
      <c r="BG148" s="646"/>
      <c r="BH148" s="646"/>
      <c r="BI148" s="647"/>
      <c r="BJ148" s="647"/>
      <c r="BK148" s="647"/>
      <c r="BL148" s="647"/>
      <c r="BM148" s="647"/>
    </row>
    <row r="149" spans="2:65" s="640" customFormat="1" hidden="1">
      <c r="B149" s="1022"/>
      <c r="C149" s="1022"/>
      <c r="D149" s="1022"/>
      <c r="E149" s="1022"/>
      <c r="F149" s="1022"/>
      <c r="G149" s="1022"/>
      <c r="H149" s="1022"/>
      <c r="I149" s="1022"/>
      <c r="J149" s="1022"/>
      <c r="K149" s="1022"/>
      <c r="L149" s="1022"/>
      <c r="M149" s="1022"/>
      <c r="N149" s="1022"/>
      <c r="O149" s="1022"/>
      <c r="P149" s="1022"/>
      <c r="Q149" s="1022"/>
      <c r="R149" s="1022"/>
      <c r="S149" s="1022"/>
      <c r="T149" s="1022"/>
      <c r="U149" s="1022"/>
      <c r="W149" s="645"/>
      <c r="X149" s="1066"/>
      <c r="Y149" s="646"/>
      <c r="Z149" s="673"/>
      <c r="AA149" s="646"/>
      <c r="AB149" s="646"/>
      <c r="AC149" s="646"/>
      <c r="AD149" s="646"/>
      <c r="AE149" s="646"/>
      <c r="AF149" s="646"/>
      <c r="AG149" s="646"/>
      <c r="AH149" s="646"/>
      <c r="AI149" s="646"/>
      <c r="AJ149" s="646"/>
      <c r="AK149" s="646"/>
      <c r="AL149" s="646"/>
      <c r="AM149" s="646"/>
      <c r="AN149" s="646"/>
      <c r="AO149" s="646"/>
      <c r="AP149" s="646"/>
      <c r="AQ149" s="646"/>
      <c r="AR149" s="646"/>
      <c r="AS149" s="646"/>
      <c r="AT149" s="646"/>
      <c r="AU149" s="645"/>
      <c r="AV149" s="645"/>
      <c r="AW149" s="645"/>
      <c r="AX149" s="645"/>
      <c r="AY149" s="646"/>
      <c r="AZ149" s="646"/>
      <c r="BA149" s="646"/>
      <c r="BB149" s="646"/>
      <c r="BC149" s="646"/>
      <c r="BD149" s="646"/>
      <c r="BE149" s="646"/>
      <c r="BF149" s="646"/>
      <c r="BG149" s="646"/>
      <c r="BH149" s="646"/>
      <c r="BI149" s="647"/>
      <c r="BJ149" s="647"/>
      <c r="BK149" s="647"/>
      <c r="BL149" s="647"/>
      <c r="BM149" s="647"/>
    </row>
    <row r="150" spans="2:65" s="640" customFormat="1" hidden="1">
      <c r="B150" s="1022"/>
      <c r="C150" s="1022"/>
      <c r="D150" s="1022"/>
      <c r="E150" s="1022"/>
      <c r="F150" s="1022"/>
      <c r="G150" s="1022"/>
      <c r="H150" s="1022"/>
      <c r="I150" s="1022"/>
      <c r="J150" s="1022"/>
      <c r="K150" s="1022"/>
      <c r="L150" s="1022"/>
      <c r="M150" s="1022"/>
      <c r="N150" s="1022"/>
      <c r="O150" s="1022"/>
      <c r="P150" s="1022"/>
      <c r="Q150" s="1022"/>
      <c r="R150" s="1022"/>
      <c r="S150" s="1022"/>
      <c r="T150" s="1022"/>
      <c r="U150" s="1022"/>
      <c r="W150" s="645"/>
      <c r="X150" s="1066"/>
      <c r="Y150" s="646"/>
      <c r="Z150" s="673"/>
      <c r="AA150" s="646"/>
      <c r="AB150" s="646"/>
      <c r="AC150" s="646"/>
      <c r="AD150" s="646"/>
      <c r="AE150" s="646"/>
      <c r="AF150" s="646"/>
      <c r="AG150" s="646"/>
      <c r="AH150" s="646"/>
      <c r="AI150" s="646"/>
      <c r="AJ150" s="646"/>
      <c r="AK150" s="646"/>
      <c r="AL150" s="646"/>
      <c r="AM150" s="646"/>
      <c r="AN150" s="646"/>
      <c r="AO150" s="646"/>
      <c r="AP150" s="646"/>
      <c r="AQ150" s="646"/>
      <c r="AR150" s="646"/>
      <c r="AS150" s="646"/>
      <c r="AT150" s="646"/>
      <c r="AU150" s="645"/>
      <c r="AV150" s="645"/>
      <c r="AW150" s="645"/>
      <c r="AX150" s="645"/>
      <c r="AY150" s="646"/>
      <c r="AZ150" s="646"/>
      <c r="BA150" s="646"/>
      <c r="BB150" s="646"/>
      <c r="BC150" s="646"/>
      <c r="BD150" s="646"/>
      <c r="BE150" s="646"/>
      <c r="BF150" s="646"/>
      <c r="BG150" s="646"/>
      <c r="BH150" s="646"/>
      <c r="BI150" s="647"/>
      <c r="BJ150" s="647"/>
      <c r="BK150" s="647"/>
      <c r="BL150" s="647"/>
      <c r="BM150" s="647"/>
    </row>
    <row r="151" spans="2:65" s="640" customFormat="1" hidden="1">
      <c r="B151" s="1022"/>
      <c r="C151" s="1022"/>
      <c r="D151" s="1022"/>
      <c r="E151" s="1022"/>
      <c r="F151" s="1022"/>
      <c r="G151" s="1022"/>
      <c r="H151" s="1022"/>
      <c r="I151" s="1022"/>
      <c r="J151" s="1022"/>
      <c r="K151" s="1022"/>
      <c r="L151" s="1022"/>
      <c r="M151" s="1022"/>
      <c r="N151" s="1022"/>
      <c r="O151" s="1022"/>
      <c r="P151" s="1022"/>
      <c r="Q151" s="1022"/>
      <c r="R151" s="1022"/>
      <c r="S151" s="1022"/>
      <c r="T151" s="1022"/>
      <c r="U151" s="1022"/>
      <c r="W151" s="645"/>
      <c r="X151" s="1066"/>
      <c r="Y151" s="646"/>
      <c r="Z151" s="673"/>
      <c r="AA151" s="646"/>
      <c r="AB151" s="646"/>
      <c r="AC151" s="646"/>
      <c r="AD151" s="646"/>
      <c r="AE151" s="646"/>
      <c r="AF151" s="646"/>
      <c r="AG151" s="646"/>
      <c r="AH151" s="646"/>
      <c r="AI151" s="646"/>
      <c r="AJ151" s="646"/>
      <c r="AK151" s="646"/>
      <c r="AL151" s="646"/>
      <c r="AM151" s="646"/>
      <c r="AN151" s="646"/>
      <c r="AO151" s="646"/>
      <c r="AP151" s="646"/>
      <c r="AQ151" s="646"/>
      <c r="AR151" s="646"/>
      <c r="AS151" s="646"/>
      <c r="AT151" s="646"/>
      <c r="AU151" s="645"/>
      <c r="AV151" s="645"/>
      <c r="AW151" s="645"/>
      <c r="AX151" s="645"/>
      <c r="AY151" s="646"/>
      <c r="AZ151" s="646"/>
      <c r="BA151" s="646"/>
      <c r="BB151" s="646"/>
      <c r="BC151" s="646"/>
      <c r="BD151" s="646"/>
      <c r="BE151" s="646"/>
      <c r="BF151" s="646"/>
      <c r="BG151" s="646"/>
      <c r="BH151" s="646"/>
      <c r="BI151" s="647"/>
      <c r="BJ151" s="647"/>
      <c r="BK151" s="647"/>
      <c r="BL151" s="647"/>
      <c r="BM151" s="647"/>
    </row>
    <row r="152" spans="2:65" s="640" customFormat="1" hidden="1">
      <c r="B152" s="1022"/>
      <c r="C152" s="1022"/>
      <c r="D152" s="1022"/>
      <c r="E152" s="1022"/>
      <c r="F152" s="1022"/>
      <c r="G152" s="1022"/>
      <c r="H152" s="1022"/>
      <c r="I152" s="1022"/>
      <c r="J152" s="1022"/>
      <c r="K152" s="1022"/>
      <c r="L152" s="1022"/>
      <c r="M152" s="1022"/>
      <c r="N152" s="1022"/>
      <c r="O152" s="1022"/>
      <c r="P152" s="1022"/>
      <c r="Q152" s="1022"/>
      <c r="R152" s="1022"/>
      <c r="S152" s="1022"/>
      <c r="T152" s="1022"/>
      <c r="U152" s="1022"/>
      <c r="W152" s="645"/>
      <c r="X152" s="1066"/>
      <c r="Y152" s="646"/>
      <c r="Z152" s="673"/>
      <c r="AA152" s="646"/>
      <c r="AB152" s="646"/>
      <c r="AC152" s="646"/>
      <c r="AD152" s="646"/>
      <c r="AE152" s="646"/>
      <c r="AF152" s="646"/>
      <c r="AG152" s="646"/>
      <c r="AH152" s="646"/>
      <c r="AI152" s="646"/>
      <c r="AJ152" s="646"/>
      <c r="AK152" s="646"/>
      <c r="AL152" s="646"/>
      <c r="AM152" s="646"/>
      <c r="AN152" s="646"/>
      <c r="AO152" s="646"/>
      <c r="AP152" s="646"/>
      <c r="AQ152" s="646"/>
      <c r="AR152" s="646"/>
      <c r="AS152" s="646"/>
      <c r="AT152" s="646"/>
      <c r="AU152" s="645"/>
      <c r="AV152" s="645"/>
      <c r="AW152" s="645"/>
      <c r="AX152" s="645"/>
      <c r="AY152" s="646"/>
      <c r="AZ152" s="646"/>
      <c r="BA152" s="646"/>
      <c r="BB152" s="646"/>
      <c r="BC152" s="646"/>
      <c r="BD152" s="646"/>
      <c r="BE152" s="646"/>
      <c r="BF152" s="646"/>
      <c r="BG152" s="646"/>
      <c r="BH152" s="646"/>
      <c r="BI152" s="647"/>
      <c r="BJ152" s="647"/>
      <c r="BK152" s="647"/>
      <c r="BL152" s="647"/>
      <c r="BM152" s="647"/>
    </row>
    <row r="153" spans="2:65" s="640" customFormat="1" hidden="1">
      <c r="B153" s="1022"/>
      <c r="C153" s="1022"/>
      <c r="D153" s="1022"/>
      <c r="E153" s="1022"/>
      <c r="F153" s="1022"/>
      <c r="G153" s="1022"/>
      <c r="H153" s="1022"/>
      <c r="I153" s="1022"/>
      <c r="J153" s="1022"/>
      <c r="K153" s="1022"/>
      <c r="L153" s="1022"/>
      <c r="M153" s="1022"/>
      <c r="N153" s="1022"/>
      <c r="O153" s="1022"/>
      <c r="P153" s="1022"/>
      <c r="Q153" s="1022"/>
      <c r="R153" s="1022"/>
      <c r="S153" s="1022"/>
      <c r="T153" s="1022"/>
      <c r="U153" s="1022"/>
      <c r="W153" s="645"/>
      <c r="X153" s="1066"/>
      <c r="Y153" s="646"/>
      <c r="Z153" s="673"/>
      <c r="AA153" s="646"/>
      <c r="AB153" s="646"/>
      <c r="AC153" s="646"/>
      <c r="AD153" s="646"/>
      <c r="AE153" s="646"/>
      <c r="AF153" s="646"/>
      <c r="AG153" s="646"/>
      <c r="AH153" s="646"/>
      <c r="AI153" s="646"/>
      <c r="AJ153" s="646"/>
      <c r="AK153" s="646"/>
      <c r="AL153" s="646"/>
      <c r="AM153" s="646"/>
      <c r="AN153" s="646"/>
      <c r="AO153" s="646"/>
      <c r="AP153" s="646"/>
      <c r="AQ153" s="646"/>
      <c r="AR153" s="646"/>
      <c r="AS153" s="646"/>
      <c r="AT153" s="646"/>
      <c r="AU153" s="645"/>
      <c r="AV153" s="645"/>
      <c r="AW153" s="645"/>
      <c r="AX153" s="645"/>
      <c r="AY153" s="646"/>
      <c r="AZ153" s="646"/>
      <c r="BA153" s="646"/>
      <c r="BB153" s="646"/>
      <c r="BC153" s="646"/>
      <c r="BD153" s="646"/>
      <c r="BE153" s="646"/>
      <c r="BF153" s="646"/>
      <c r="BG153" s="646"/>
      <c r="BH153" s="646"/>
      <c r="BI153" s="647"/>
      <c r="BJ153" s="647"/>
      <c r="BK153" s="647"/>
      <c r="BL153" s="647"/>
      <c r="BM153" s="647"/>
    </row>
    <row r="154" spans="2:65" s="640" customFormat="1" hidden="1">
      <c r="B154" s="1022"/>
      <c r="C154" s="1022"/>
      <c r="D154" s="1022"/>
      <c r="E154" s="1022"/>
      <c r="F154" s="1022"/>
      <c r="G154" s="1022"/>
      <c r="H154" s="1022"/>
      <c r="I154" s="1022"/>
      <c r="J154" s="1022"/>
      <c r="K154" s="1022"/>
      <c r="L154" s="1022"/>
      <c r="M154" s="1022"/>
      <c r="N154" s="1022"/>
      <c r="O154" s="1022"/>
      <c r="P154" s="1022"/>
      <c r="Q154" s="1022"/>
      <c r="R154" s="1022"/>
      <c r="S154" s="1022"/>
      <c r="T154" s="1022"/>
      <c r="U154" s="1022"/>
      <c r="W154" s="645"/>
      <c r="X154" s="1066"/>
      <c r="Y154" s="646"/>
      <c r="Z154" s="673"/>
      <c r="AA154" s="646"/>
      <c r="AB154" s="646"/>
      <c r="AC154" s="646"/>
      <c r="AD154" s="646"/>
      <c r="AE154" s="646"/>
      <c r="AF154" s="646"/>
      <c r="AG154" s="646"/>
      <c r="AH154" s="646"/>
      <c r="AI154" s="646"/>
      <c r="AJ154" s="646"/>
      <c r="AK154" s="646"/>
      <c r="AL154" s="646"/>
      <c r="AM154" s="646"/>
      <c r="AN154" s="646"/>
      <c r="AO154" s="646"/>
      <c r="AP154" s="646"/>
      <c r="AQ154" s="646"/>
      <c r="AR154" s="646"/>
      <c r="AS154" s="646"/>
      <c r="AT154" s="646"/>
      <c r="AU154" s="645"/>
      <c r="AV154" s="645"/>
      <c r="AW154" s="645"/>
      <c r="AX154" s="645"/>
      <c r="AY154" s="646"/>
      <c r="AZ154" s="646"/>
      <c r="BA154" s="646"/>
      <c r="BB154" s="646"/>
      <c r="BC154" s="646"/>
      <c r="BD154" s="646"/>
      <c r="BE154" s="646"/>
      <c r="BF154" s="646"/>
      <c r="BG154" s="646"/>
      <c r="BH154" s="646"/>
      <c r="BI154" s="647"/>
      <c r="BJ154" s="647"/>
      <c r="BK154" s="647"/>
      <c r="BL154" s="647"/>
      <c r="BM154" s="647"/>
    </row>
    <row r="155" spans="2:65" s="640" customFormat="1" hidden="1">
      <c r="B155" s="1022"/>
      <c r="C155" s="1022"/>
      <c r="D155" s="1022"/>
      <c r="E155" s="1022"/>
      <c r="F155" s="1022"/>
      <c r="G155" s="1022"/>
      <c r="H155" s="1022"/>
      <c r="I155" s="1022"/>
      <c r="J155" s="1022"/>
      <c r="K155" s="1022"/>
      <c r="L155" s="1022"/>
      <c r="M155" s="1022"/>
      <c r="N155" s="1022"/>
      <c r="O155" s="1022"/>
      <c r="P155" s="1022"/>
      <c r="Q155" s="1022"/>
      <c r="R155" s="1022"/>
      <c r="S155" s="1022"/>
      <c r="T155" s="1022"/>
      <c r="U155" s="1022"/>
      <c r="W155" s="645"/>
      <c r="X155" s="1066"/>
      <c r="Y155" s="646"/>
      <c r="Z155" s="673"/>
      <c r="AA155" s="646"/>
      <c r="AB155" s="646"/>
      <c r="AC155" s="646"/>
      <c r="AD155" s="646"/>
      <c r="AE155" s="646"/>
      <c r="AF155" s="646"/>
      <c r="AG155" s="646"/>
      <c r="AH155" s="646"/>
      <c r="AI155" s="646"/>
      <c r="AJ155" s="646"/>
      <c r="AK155" s="646"/>
      <c r="AL155" s="646"/>
      <c r="AM155" s="646"/>
      <c r="AN155" s="646"/>
      <c r="AO155" s="646"/>
      <c r="AP155" s="646"/>
      <c r="AQ155" s="646"/>
      <c r="AR155" s="646"/>
      <c r="AS155" s="646"/>
      <c r="AT155" s="646"/>
      <c r="AU155" s="645"/>
      <c r="AV155" s="645"/>
      <c r="AW155" s="645"/>
      <c r="AX155" s="645"/>
      <c r="AY155" s="646"/>
      <c r="AZ155" s="646"/>
      <c r="BA155" s="646"/>
      <c r="BB155" s="646"/>
      <c r="BC155" s="646"/>
      <c r="BD155" s="646"/>
      <c r="BE155" s="646"/>
      <c r="BF155" s="646"/>
      <c r="BG155" s="646"/>
      <c r="BH155" s="646"/>
      <c r="BI155" s="647"/>
      <c r="BJ155" s="647"/>
      <c r="BK155" s="647"/>
      <c r="BL155" s="647"/>
      <c r="BM155" s="647"/>
    </row>
    <row r="156" spans="2:65" s="640" customFormat="1" hidden="1">
      <c r="B156" s="1022"/>
      <c r="C156" s="1022"/>
      <c r="D156" s="1022"/>
      <c r="E156" s="1022"/>
      <c r="F156" s="1022"/>
      <c r="G156" s="1022"/>
      <c r="H156" s="1022"/>
      <c r="I156" s="1022"/>
      <c r="J156" s="1022"/>
      <c r="K156" s="1022"/>
      <c r="L156" s="1022"/>
      <c r="M156" s="1022"/>
      <c r="N156" s="1022"/>
      <c r="O156" s="1022"/>
      <c r="P156" s="1022"/>
      <c r="Q156" s="1022"/>
      <c r="R156" s="1022"/>
      <c r="S156" s="1022"/>
      <c r="T156" s="1022"/>
      <c r="U156" s="1022"/>
      <c r="W156" s="645"/>
      <c r="X156" s="1066"/>
      <c r="Y156" s="646"/>
      <c r="Z156" s="673"/>
      <c r="AA156" s="646"/>
      <c r="AB156" s="646"/>
      <c r="AC156" s="646"/>
      <c r="AD156" s="646"/>
      <c r="AE156" s="646"/>
      <c r="AF156" s="646"/>
      <c r="AG156" s="646"/>
      <c r="AH156" s="646"/>
      <c r="AI156" s="646"/>
      <c r="AJ156" s="646"/>
      <c r="AK156" s="646"/>
      <c r="AL156" s="646"/>
      <c r="AM156" s="646"/>
      <c r="AN156" s="646"/>
      <c r="AO156" s="646"/>
      <c r="AP156" s="646"/>
      <c r="AQ156" s="646"/>
      <c r="AR156" s="646"/>
      <c r="AS156" s="646"/>
      <c r="AT156" s="646"/>
      <c r="AU156" s="645"/>
      <c r="AV156" s="645"/>
      <c r="AW156" s="645"/>
      <c r="AX156" s="645"/>
      <c r="AY156" s="646"/>
      <c r="AZ156" s="646"/>
      <c r="BA156" s="646"/>
      <c r="BB156" s="646"/>
      <c r="BC156" s="646"/>
      <c r="BD156" s="646"/>
      <c r="BE156" s="646"/>
      <c r="BF156" s="646"/>
      <c r="BG156" s="646"/>
      <c r="BH156" s="646"/>
      <c r="BI156" s="647"/>
      <c r="BJ156" s="647"/>
      <c r="BK156" s="647"/>
      <c r="BL156" s="647"/>
      <c r="BM156" s="647"/>
    </row>
    <row r="157" spans="2:65" s="640" customFormat="1" hidden="1">
      <c r="B157" s="1022"/>
      <c r="C157" s="1022"/>
      <c r="D157" s="1022"/>
      <c r="E157" s="1022"/>
      <c r="F157" s="1022"/>
      <c r="G157" s="1022"/>
      <c r="H157" s="1022"/>
      <c r="I157" s="1022"/>
      <c r="J157" s="1022"/>
      <c r="K157" s="1022"/>
      <c r="L157" s="1022"/>
      <c r="M157" s="1022"/>
      <c r="N157" s="1022"/>
      <c r="O157" s="1022"/>
      <c r="P157" s="1022"/>
      <c r="Q157" s="1022"/>
      <c r="R157" s="1022"/>
      <c r="S157" s="1022"/>
      <c r="T157" s="1022"/>
      <c r="U157" s="1022"/>
      <c r="W157" s="645"/>
      <c r="X157" s="1066"/>
      <c r="Y157" s="646"/>
      <c r="Z157" s="673"/>
      <c r="AA157" s="646"/>
      <c r="AB157" s="646"/>
      <c r="AC157" s="646"/>
      <c r="AD157" s="646"/>
      <c r="AE157" s="646"/>
      <c r="AF157" s="646"/>
      <c r="AG157" s="646"/>
      <c r="AH157" s="646"/>
      <c r="AI157" s="646"/>
      <c r="AJ157" s="646"/>
      <c r="AK157" s="646"/>
      <c r="AL157" s="646"/>
      <c r="AM157" s="646"/>
      <c r="AN157" s="646"/>
      <c r="AO157" s="646"/>
      <c r="AP157" s="646"/>
      <c r="AQ157" s="646"/>
      <c r="AR157" s="646"/>
      <c r="AS157" s="646"/>
      <c r="AT157" s="646"/>
      <c r="AU157" s="645"/>
      <c r="AV157" s="645"/>
      <c r="AW157" s="645"/>
      <c r="AX157" s="645"/>
      <c r="AY157" s="646"/>
      <c r="AZ157" s="646"/>
      <c r="BA157" s="646"/>
      <c r="BB157" s="646"/>
      <c r="BC157" s="646"/>
      <c r="BD157" s="646"/>
      <c r="BE157" s="646"/>
      <c r="BF157" s="646"/>
      <c r="BG157" s="646"/>
      <c r="BH157" s="646"/>
      <c r="BI157" s="647"/>
      <c r="BJ157" s="647"/>
      <c r="BK157" s="647"/>
      <c r="BL157" s="647"/>
      <c r="BM157" s="647"/>
    </row>
    <row r="158" spans="2:65" s="640" customFormat="1" hidden="1">
      <c r="B158" s="1022"/>
      <c r="C158" s="1022"/>
      <c r="D158" s="1022"/>
      <c r="E158" s="1022"/>
      <c r="F158" s="1022"/>
      <c r="G158" s="1022"/>
      <c r="H158" s="1022"/>
      <c r="I158" s="1022"/>
      <c r="J158" s="1022"/>
      <c r="K158" s="1022"/>
      <c r="L158" s="1022"/>
      <c r="M158" s="1022"/>
      <c r="N158" s="1022"/>
      <c r="O158" s="1022"/>
      <c r="P158" s="1022"/>
      <c r="Q158" s="1022"/>
      <c r="R158" s="1022"/>
      <c r="S158" s="1022"/>
      <c r="T158" s="1022"/>
      <c r="U158" s="1022"/>
      <c r="W158" s="645"/>
      <c r="X158" s="1066"/>
      <c r="Y158" s="646"/>
      <c r="Z158" s="673"/>
      <c r="AA158" s="646"/>
      <c r="AB158" s="646"/>
      <c r="AC158" s="646"/>
      <c r="AD158" s="646"/>
      <c r="AE158" s="646"/>
      <c r="AF158" s="646"/>
      <c r="AG158" s="646"/>
      <c r="AH158" s="646"/>
      <c r="AI158" s="646"/>
      <c r="AJ158" s="646"/>
      <c r="AK158" s="646"/>
      <c r="AL158" s="646"/>
      <c r="AM158" s="646"/>
      <c r="AN158" s="646"/>
      <c r="AO158" s="646"/>
      <c r="AP158" s="646"/>
      <c r="AQ158" s="646"/>
      <c r="AR158" s="646"/>
      <c r="AS158" s="646"/>
      <c r="AT158" s="646"/>
      <c r="AU158" s="645"/>
      <c r="AV158" s="645"/>
      <c r="AW158" s="645"/>
      <c r="AX158" s="645"/>
      <c r="AY158" s="646"/>
      <c r="AZ158" s="646"/>
      <c r="BA158" s="646"/>
      <c r="BB158" s="646"/>
      <c r="BC158" s="646"/>
      <c r="BD158" s="646"/>
      <c r="BE158" s="646"/>
      <c r="BF158" s="646"/>
      <c r="BG158" s="646"/>
      <c r="BH158" s="646"/>
      <c r="BI158" s="647"/>
      <c r="BJ158" s="647"/>
      <c r="BK158" s="647"/>
      <c r="BL158" s="647"/>
      <c r="BM158" s="647"/>
    </row>
    <row r="159" spans="2:65" s="640" customFormat="1" hidden="1">
      <c r="B159" s="1022"/>
      <c r="C159" s="1022"/>
      <c r="D159" s="1022"/>
      <c r="E159" s="1022"/>
      <c r="F159" s="1022"/>
      <c r="G159" s="1022"/>
      <c r="H159" s="1022"/>
      <c r="I159" s="1022"/>
      <c r="J159" s="1022"/>
      <c r="K159" s="1022"/>
      <c r="L159" s="1022"/>
      <c r="M159" s="1022"/>
      <c r="N159" s="1022"/>
      <c r="O159" s="1022"/>
      <c r="P159" s="1022"/>
      <c r="Q159" s="1022"/>
      <c r="R159" s="1022"/>
      <c r="S159" s="1022"/>
      <c r="T159" s="1022"/>
      <c r="U159" s="1022"/>
      <c r="W159" s="645"/>
      <c r="X159" s="1066"/>
      <c r="Y159" s="646"/>
      <c r="Z159" s="673"/>
      <c r="AA159" s="646"/>
      <c r="AB159" s="646"/>
      <c r="AC159" s="646"/>
      <c r="AD159" s="646"/>
      <c r="AE159" s="646"/>
      <c r="AF159" s="646"/>
      <c r="AG159" s="646"/>
      <c r="AH159" s="646"/>
      <c r="AI159" s="646"/>
      <c r="AJ159" s="646"/>
      <c r="AK159" s="646"/>
      <c r="AL159" s="646"/>
      <c r="AM159" s="646"/>
      <c r="AN159" s="646"/>
      <c r="AO159" s="646"/>
      <c r="AP159" s="646"/>
      <c r="AQ159" s="646"/>
      <c r="AR159" s="646"/>
      <c r="AS159" s="646"/>
      <c r="AT159" s="646"/>
      <c r="AU159" s="645"/>
      <c r="AV159" s="645"/>
      <c r="AW159" s="645"/>
      <c r="AX159" s="645"/>
      <c r="AY159" s="646"/>
      <c r="AZ159" s="646"/>
      <c r="BA159" s="646"/>
      <c r="BB159" s="646"/>
      <c r="BC159" s="646"/>
      <c r="BD159" s="646"/>
      <c r="BE159" s="646"/>
      <c r="BF159" s="646"/>
      <c r="BG159" s="646"/>
      <c r="BH159" s="646"/>
      <c r="BI159" s="647"/>
      <c r="BJ159" s="647"/>
      <c r="BK159" s="647"/>
      <c r="BL159" s="647"/>
      <c r="BM159" s="647"/>
    </row>
    <row r="160" spans="2:65" s="640" customFormat="1" hidden="1">
      <c r="B160" s="1022"/>
      <c r="C160" s="1022"/>
      <c r="D160" s="1022"/>
      <c r="E160" s="1022"/>
      <c r="F160" s="1022"/>
      <c r="G160" s="1022"/>
      <c r="H160" s="1022"/>
      <c r="I160" s="1022"/>
      <c r="J160" s="1022"/>
      <c r="K160" s="1022"/>
      <c r="L160" s="1022"/>
      <c r="M160" s="1022"/>
      <c r="N160" s="1022"/>
      <c r="O160" s="1022"/>
      <c r="P160" s="1022"/>
      <c r="Q160" s="1022"/>
      <c r="R160" s="1022"/>
      <c r="S160" s="1022"/>
      <c r="T160" s="1022"/>
      <c r="U160" s="1022"/>
      <c r="W160" s="645"/>
      <c r="X160" s="1066"/>
      <c r="Y160" s="646"/>
      <c r="Z160" s="673"/>
      <c r="AA160" s="646"/>
      <c r="AB160" s="646"/>
      <c r="AC160" s="646"/>
      <c r="AD160" s="646"/>
      <c r="AE160" s="646"/>
      <c r="AF160" s="646"/>
      <c r="AG160" s="646"/>
      <c r="AH160" s="646"/>
      <c r="AI160" s="646"/>
      <c r="AJ160" s="646"/>
      <c r="AK160" s="646"/>
      <c r="AL160" s="646"/>
      <c r="AM160" s="646"/>
      <c r="AN160" s="646"/>
      <c r="AO160" s="646"/>
      <c r="AP160" s="646"/>
      <c r="AQ160" s="646"/>
      <c r="AR160" s="646"/>
      <c r="AS160" s="646"/>
      <c r="AT160" s="646"/>
      <c r="AU160" s="645"/>
      <c r="AV160" s="645"/>
      <c r="AW160" s="645"/>
      <c r="AX160" s="645"/>
      <c r="AY160" s="646"/>
      <c r="AZ160" s="646"/>
      <c r="BA160" s="646"/>
      <c r="BB160" s="646"/>
      <c r="BC160" s="646"/>
      <c r="BD160" s="646"/>
      <c r="BE160" s="646"/>
      <c r="BF160" s="646"/>
      <c r="BG160" s="646"/>
      <c r="BH160" s="646"/>
      <c r="BI160" s="647"/>
      <c r="BJ160" s="647"/>
      <c r="BK160" s="647"/>
      <c r="BL160" s="647"/>
      <c r="BM160" s="647"/>
    </row>
    <row r="161" spans="2:65" s="640" customFormat="1" hidden="1">
      <c r="B161" s="1022"/>
      <c r="C161" s="1022"/>
      <c r="D161" s="1022"/>
      <c r="E161" s="1022"/>
      <c r="F161" s="1022"/>
      <c r="G161" s="1022"/>
      <c r="H161" s="1022"/>
      <c r="I161" s="1022"/>
      <c r="J161" s="1022"/>
      <c r="K161" s="1022"/>
      <c r="L161" s="1022"/>
      <c r="M161" s="1022"/>
      <c r="N161" s="1022"/>
      <c r="O161" s="1022"/>
      <c r="P161" s="1022"/>
      <c r="Q161" s="1022"/>
      <c r="R161" s="1022"/>
      <c r="S161" s="1022"/>
      <c r="T161" s="1022"/>
      <c r="U161" s="1022"/>
      <c r="W161" s="645"/>
      <c r="X161" s="1066"/>
      <c r="Y161" s="646"/>
      <c r="Z161" s="673"/>
      <c r="AA161" s="646"/>
      <c r="AB161" s="646"/>
      <c r="AC161" s="646"/>
      <c r="AD161" s="646"/>
      <c r="AE161" s="646"/>
      <c r="AF161" s="646"/>
      <c r="AG161" s="646"/>
      <c r="AH161" s="646"/>
      <c r="AI161" s="646"/>
      <c r="AJ161" s="646"/>
      <c r="AK161" s="646"/>
      <c r="AL161" s="646"/>
      <c r="AM161" s="646"/>
      <c r="AN161" s="646"/>
      <c r="AO161" s="646"/>
      <c r="AP161" s="646"/>
      <c r="AQ161" s="646"/>
      <c r="AR161" s="646"/>
      <c r="AS161" s="646"/>
      <c r="AT161" s="646"/>
      <c r="AU161" s="645"/>
      <c r="AV161" s="645"/>
      <c r="AW161" s="645"/>
      <c r="AX161" s="645"/>
      <c r="AY161" s="646"/>
      <c r="AZ161" s="646"/>
      <c r="BA161" s="646"/>
      <c r="BB161" s="646"/>
      <c r="BC161" s="646"/>
      <c r="BD161" s="646"/>
      <c r="BE161" s="646"/>
      <c r="BF161" s="646"/>
      <c r="BG161" s="646"/>
      <c r="BH161" s="646"/>
      <c r="BI161" s="647"/>
      <c r="BJ161" s="647"/>
      <c r="BK161" s="647"/>
      <c r="BL161" s="647"/>
      <c r="BM161" s="647"/>
    </row>
    <row r="162" spans="2:65" s="640" customFormat="1" hidden="1">
      <c r="B162" s="1022"/>
      <c r="C162" s="1022"/>
      <c r="D162" s="1022"/>
      <c r="E162" s="1022"/>
      <c r="F162" s="1022"/>
      <c r="G162" s="1022"/>
      <c r="H162" s="1022"/>
      <c r="I162" s="1022"/>
      <c r="J162" s="1022"/>
      <c r="K162" s="1022"/>
      <c r="L162" s="1022"/>
      <c r="M162" s="1022"/>
      <c r="N162" s="1022"/>
      <c r="O162" s="1022"/>
      <c r="P162" s="1022"/>
      <c r="Q162" s="1022"/>
      <c r="R162" s="1022"/>
      <c r="S162" s="1022"/>
      <c r="T162" s="1022"/>
      <c r="U162" s="1022"/>
      <c r="W162" s="645"/>
      <c r="X162" s="1066"/>
      <c r="Y162" s="646"/>
      <c r="Z162" s="673"/>
      <c r="AA162" s="646"/>
      <c r="AB162" s="646"/>
      <c r="AC162" s="646"/>
      <c r="AD162" s="646"/>
      <c r="AE162" s="646"/>
      <c r="AF162" s="646"/>
      <c r="AG162" s="646"/>
      <c r="AH162" s="646"/>
      <c r="AI162" s="646"/>
      <c r="AJ162" s="646"/>
      <c r="AK162" s="646"/>
      <c r="AL162" s="646"/>
      <c r="AM162" s="646"/>
      <c r="AN162" s="646"/>
      <c r="AO162" s="646"/>
      <c r="AP162" s="646"/>
      <c r="AQ162" s="646"/>
      <c r="AR162" s="646"/>
      <c r="AS162" s="646"/>
      <c r="AT162" s="646"/>
      <c r="AU162" s="645"/>
      <c r="AV162" s="645"/>
      <c r="AW162" s="645"/>
      <c r="AX162" s="645"/>
      <c r="AY162" s="646"/>
      <c r="AZ162" s="646"/>
      <c r="BA162" s="646"/>
      <c r="BB162" s="646"/>
      <c r="BC162" s="646"/>
      <c r="BD162" s="646"/>
      <c r="BE162" s="646"/>
      <c r="BF162" s="646"/>
      <c r="BG162" s="646"/>
      <c r="BH162" s="646"/>
      <c r="BI162" s="647"/>
      <c r="BJ162" s="647"/>
      <c r="BK162" s="647"/>
      <c r="BL162" s="647"/>
      <c r="BM162" s="647"/>
    </row>
    <row r="163" spans="2:65" s="640" customFormat="1" hidden="1">
      <c r="B163" s="1022"/>
      <c r="C163" s="1022"/>
      <c r="D163" s="1022"/>
      <c r="E163" s="1022"/>
      <c r="F163" s="1022"/>
      <c r="G163" s="1022"/>
      <c r="H163" s="1022"/>
      <c r="I163" s="1022"/>
      <c r="J163" s="1022"/>
      <c r="K163" s="1022"/>
      <c r="L163" s="1022"/>
      <c r="M163" s="1022"/>
      <c r="N163" s="1022"/>
      <c r="O163" s="1022"/>
      <c r="P163" s="1022"/>
      <c r="Q163" s="1022"/>
      <c r="R163" s="1022"/>
      <c r="S163" s="1022"/>
      <c r="T163" s="1022"/>
      <c r="U163" s="1022"/>
      <c r="W163" s="645"/>
      <c r="X163" s="1066"/>
      <c r="Y163" s="646"/>
      <c r="Z163" s="673"/>
      <c r="AA163" s="646"/>
      <c r="AB163" s="646"/>
      <c r="AC163" s="646"/>
      <c r="AD163" s="646"/>
      <c r="AE163" s="646"/>
      <c r="AF163" s="646"/>
      <c r="AG163" s="646"/>
      <c r="AH163" s="646"/>
      <c r="AI163" s="646"/>
      <c r="AJ163" s="646"/>
      <c r="AK163" s="646"/>
      <c r="AL163" s="646"/>
      <c r="AM163" s="646"/>
      <c r="AN163" s="646"/>
      <c r="AO163" s="646"/>
      <c r="AP163" s="646"/>
      <c r="AQ163" s="646"/>
      <c r="AR163" s="646"/>
      <c r="AS163" s="646"/>
      <c r="AT163" s="646"/>
      <c r="AU163" s="645"/>
      <c r="AV163" s="645"/>
      <c r="AW163" s="645"/>
      <c r="AX163" s="645"/>
      <c r="AY163" s="646"/>
      <c r="AZ163" s="646"/>
      <c r="BA163" s="646"/>
      <c r="BB163" s="646"/>
      <c r="BC163" s="646"/>
      <c r="BD163" s="646"/>
      <c r="BE163" s="646"/>
      <c r="BF163" s="646"/>
      <c r="BG163" s="646"/>
      <c r="BH163" s="646"/>
      <c r="BI163" s="647"/>
      <c r="BJ163" s="647"/>
      <c r="BK163" s="647"/>
      <c r="BL163" s="647"/>
      <c r="BM163" s="647"/>
    </row>
    <row r="164" spans="2:65" s="640" customFormat="1" hidden="1">
      <c r="B164" s="1022"/>
      <c r="C164" s="1022"/>
      <c r="D164" s="1022"/>
      <c r="E164" s="1022"/>
      <c r="F164" s="1022"/>
      <c r="G164" s="1022"/>
      <c r="H164" s="1022"/>
      <c r="I164" s="1022"/>
      <c r="J164" s="1022"/>
      <c r="K164" s="1022"/>
      <c r="L164" s="1022"/>
      <c r="M164" s="1022"/>
      <c r="N164" s="1022"/>
      <c r="O164" s="1022"/>
      <c r="P164" s="1022"/>
      <c r="Q164" s="1022"/>
      <c r="R164" s="1022"/>
      <c r="S164" s="1022"/>
      <c r="T164" s="1022"/>
      <c r="U164" s="1022"/>
      <c r="W164" s="645"/>
      <c r="X164" s="1066"/>
      <c r="Y164" s="646"/>
      <c r="Z164" s="673"/>
      <c r="AA164" s="646"/>
      <c r="AB164" s="646"/>
      <c r="AC164" s="646"/>
      <c r="AD164" s="646"/>
      <c r="AE164" s="646"/>
      <c r="AF164" s="646"/>
      <c r="AG164" s="646"/>
      <c r="AH164" s="646"/>
      <c r="AI164" s="646"/>
      <c r="AJ164" s="646"/>
      <c r="AK164" s="646"/>
      <c r="AL164" s="646"/>
      <c r="AM164" s="646"/>
      <c r="AN164" s="646"/>
      <c r="AO164" s="646"/>
      <c r="AP164" s="646"/>
      <c r="AQ164" s="646"/>
      <c r="AR164" s="646"/>
      <c r="AS164" s="646"/>
      <c r="AT164" s="646"/>
      <c r="AU164" s="645"/>
      <c r="AV164" s="645"/>
      <c r="AW164" s="645"/>
      <c r="AX164" s="645"/>
      <c r="AY164" s="646"/>
      <c r="AZ164" s="646"/>
      <c r="BA164" s="646"/>
      <c r="BB164" s="646"/>
      <c r="BC164" s="646"/>
      <c r="BD164" s="646"/>
      <c r="BE164" s="646"/>
      <c r="BF164" s="646"/>
      <c r="BG164" s="646"/>
      <c r="BH164" s="646"/>
      <c r="BI164" s="647"/>
      <c r="BJ164" s="647"/>
      <c r="BK164" s="647"/>
      <c r="BL164" s="647"/>
      <c r="BM164" s="647"/>
    </row>
    <row r="165" spans="2:65" s="640" customFormat="1" hidden="1">
      <c r="B165" s="1022"/>
      <c r="C165" s="1022"/>
      <c r="D165" s="1022"/>
      <c r="E165" s="1022"/>
      <c r="F165" s="1022"/>
      <c r="G165" s="1022"/>
      <c r="H165" s="1022"/>
      <c r="I165" s="1022"/>
      <c r="J165" s="1022"/>
      <c r="K165" s="1022"/>
      <c r="L165" s="1022"/>
      <c r="M165" s="1022"/>
      <c r="N165" s="1022"/>
      <c r="O165" s="1022"/>
      <c r="P165" s="1022"/>
      <c r="Q165" s="1022"/>
      <c r="R165" s="1022"/>
      <c r="S165" s="1022"/>
      <c r="T165" s="1022"/>
      <c r="U165" s="1022"/>
      <c r="W165" s="645"/>
      <c r="X165" s="1066"/>
      <c r="Y165" s="646"/>
      <c r="Z165" s="673"/>
      <c r="AA165" s="646"/>
      <c r="AB165" s="646"/>
      <c r="AC165" s="646"/>
      <c r="AD165" s="646"/>
      <c r="AE165" s="646"/>
      <c r="AF165" s="646"/>
      <c r="AG165" s="646"/>
      <c r="AH165" s="646"/>
      <c r="AI165" s="646"/>
      <c r="AJ165" s="646"/>
      <c r="AK165" s="646"/>
      <c r="AL165" s="646"/>
      <c r="AM165" s="646"/>
      <c r="AN165" s="646"/>
      <c r="AO165" s="646"/>
      <c r="AP165" s="646"/>
      <c r="AQ165" s="646"/>
      <c r="AR165" s="646"/>
      <c r="AS165" s="646"/>
      <c r="AT165" s="646"/>
      <c r="AU165" s="645"/>
      <c r="AV165" s="645"/>
      <c r="AW165" s="645"/>
      <c r="AX165" s="645"/>
      <c r="AY165" s="646"/>
      <c r="AZ165" s="646"/>
      <c r="BA165" s="646"/>
      <c r="BB165" s="646"/>
      <c r="BC165" s="646"/>
      <c r="BD165" s="646"/>
      <c r="BE165" s="646"/>
      <c r="BF165" s="646"/>
      <c r="BG165" s="646"/>
      <c r="BH165" s="646"/>
      <c r="BI165" s="647"/>
      <c r="BJ165" s="647"/>
      <c r="BK165" s="647"/>
      <c r="BL165" s="647"/>
      <c r="BM165" s="647"/>
    </row>
    <row r="166" spans="2:65" s="640" customFormat="1" hidden="1">
      <c r="B166" s="1022"/>
      <c r="C166" s="1022"/>
      <c r="D166" s="1022"/>
      <c r="E166" s="1022"/>
      <c r="F166" s="1022"/>
      <c r="G166" s="1022"/>
      <c r="H166" s="1022"/>
      <c r="I166" s="1022"/>
      <c r="J166" s="1022"/>
      <c r="K166" s="1022"/>
      <c r="L166" s="1022"/>
      <c r="M166" s="1022"/>
      <c r="N166" s="1022"/>
      <c r="O166" s="1022"/>
      <c r="P166" s="1022"/>
      <c r="Q166" s="1022"/>
      <c r="R166" s="1022"/>
      <c r="S166" s="1022"/>
      <c r="T166" s="1022"/>
      <c r="U166" s="1022"/>
      <c r="W166" s="645"/>
      <c r="X166" s="1066"/>
      <c r="Y166" s="646"/>
      <c r="Z166" s="673"/>
      <c r="AA166" s="646"/>
      <c r="AB166" s="646"/>
      <c r="AC166" s="646"/>
      <c r="AD166" s="646"/>
      <c r="AE166" s="646"/>
      <c r="AF166" s="646"/>
      <c r="AG166" s="646"/>
      <c r="AH166" s="646"/>
      <c r="AI166" s="646"/>
      <c r="AJ166" s="646"/>
      <c r="AK166" s="646"/>
      <c r="AL166" s="646"/>
      <c r="AM166" s="646"/>
      <c r="AN166" s="646"/>
      <c r="AO166" s="646"/>
      <c r="AP166" s="646"/>
      <c r="AQ166" s="646"/>
      <c r="AR166" s="646"/>
      <c r="AS166" s="646"/>
      <c r="AT166" s="646"/>
      <c r="AU166" s="645"/>
      <c r="AV166" s="645"/>
      <c r="AW166" s="645"/>
      <c r="AX166" s="645"/>
      <c r="AY166" s="646"/>
      <c r="AZ166" s="646"/>
      <c r="BA166" s="646"/>
      <c r="BB166" s="646"/>
      <c r="BC166" s="646"/>
      <c r="BD166" s="646"/>
      <c r="BE166" s="646"/>
      <c r="BF166" s="646"/>
      <c r="BG166" s="646"/>
      <c r="BH166" s="646"/>
      <c r="BI166" s="647"/>
      <c r="BJ166" s="647"/>
      <c r="BK166" s="647"/>
      <c r="BL166" s="647"/>
      <c r="BM166" s="647"/>
    </row>
    <row r="167" spans="2:65" s="640" customFormat="1" hidden="1">
      <c r="B167" s="1022"/>
      <c r="C167" s="1022"/>
      <c r="D167" s="1022"/>
      <c r="E167" s="1022"/>
      <c r="F167" s="1022"/>
      <c r="G167" s="1022"/>
      <c r="H167" s="1022"/>
      <c r="I167" s="1022"/>
      <c r="J167" s="1022"/>
      <c r="K167" s="1022"/>
      <c r="L167" s="1022"/>
      <c r="M167" s="1022"/>
      <c r="N167" s="1022"/>
      <c r="O167" s="1022"/>
      <c r="P167" s="1022"/>
      <c r="Q167" s="1022"/>
      <c r="R167" s="1022"/>
      <c r="S167" s="1022"/>
      <c r="T167" s="1022"/>
      <c r="U167" s="1022"/>
      <c r="W167" s="645"/>
      <c r="X167" s="1066"/>
      <c r="Y167" s="646"/>
      <c r="Z167" s="673"/>
      <c r="AA167" s="646"/>
      <c r="AB167" s="646"/>
      <c r="AC167" s="646"/>
      <c r="AD167" s="646"/>
      <c r="AE167" s="646"/>
      <c r="AF167" s="646"/>
      <c r="AG167" s="646"/>
      <c r="AH167" s="646"/>
      <c r="AI167" s="646"/>
      <c r="AJ167" s="646"/>
      <c r="AK167" s="646"/>
      <c r="AL167" s="646"/>
      <c r="AM167" s="646"/>
      <c r="AN167" s="646"/>
      <c r="AO167" s="646"/>
      <c r="AP167" s="646"/>
      <c r="AQ167" s="646"/>
      <c r="AR167" s="646"/>
      <c r="AS167" s="646"/>
      <c r="AT167" s="646"/>
      <c r="AU167" s="645"/>
      <c r="AV167" s="645"/>
      <c r="AW167" s="645"/>
      <c r="AX167" s="645"/>
      <c r="AY167" s="646"/>
      <c r="AZ167" s="646"/>
      <c r="BA167" s="646"/>
      <c r="BB167" s="646"/>
      <c r="BC167" s="646"/>
      <c r="BD167" s="646"/>
      <c r="BE167" s="646"/>
      <c r="BF167" s="646"/>
      <c r="BG167" s="646"/>
      <c r="BH167" s="646"/>
      <c r="BI167" s="647"/>
      <c r="BJ167" s="647"/>
      <c r="BK167" s="647"/>
      <c r="BL167" s="647"/>
      <c r="BM167" s="647"/>
    </row>
    <row r="168" spans="2:65" s="640" customFormat="1" hidden="1">
      <c r="B168" s="1022"/>
      <c r="C168" s="1022"/>
      <c r="D168" s="1022"/>
      <c r="E168" s="1022"/>
      <c r="F168" s="1022"/>
      <c r="G168" s="1022"/>
      <c r="H168" s="1022"/>
      <c r="I168" s="1022"/>
      <c r="J168" s="1022"/>
      <c r="K168" s="1022"/>
      <c r="L168" s="1022"/>
      <c r="M168" s="1022"/>
      <c r="N168" s="1022"/>
      <c r="O168" s="1022"/>
      <c r="P168" s="1022"/>
      <c r="Q168" s="1022"/>
      <c r="R168" s="1022"/>
      <c r="S168" s="1022"/>
      <c r="T168" s="1022"/>
      <c r="U168" s="1022"/>
      <c r="W168" s="645"/>
      <c r="X168" s="1066"/>
      <c r="Y168" s="646"/>
      <c r="Z168" s="673"/>
      <c r="AA168" s="646"/>
      <c r="AB168" s="646"/>
      <c r="AC168" s="646"/>
      <c r="AD168" s="646"/>
      <c r="AE168" s="646"/>
      <c r="AF168" s="646"/>
      <c r="AG168" s="646"/>
      <c r="AH168" s="646"/>
      <c r="AI168" s="646"/>
      <c r="AJ168" s="646"/>
      <c r="AK168" s="646"/>
      <c r="AL168" s="646"/>
      <c r="AM168" s="646"/>
      <c r="AN168" s="646"/>
      <c r="AO168" s="646"/>
      <c r="AP168" s="646"/>
      <c r="AQ168" s="646"/>
      <c r="AR168" s="646"/>
      <c r="AS168" s="646"/>
      <c r="AT168" s="646"/>
      <c r="AU168" s="645"/>
      <c r="AV168" s="645"/>
      <c r="AW168" s="645"/>
      <c r="AX168" s="645"/>
      <c r="AY168" s="646"/>
      <c r="AZ168" s="646"/>
      <c r="BA168" s="646"/>
      <c r="BB168" s="646"/>
      <c r="BC168" s="646"/>
      <c r="BD168" s="646"/>
      <c r="BE168" s="646"/>
      <c r="BF168" s="646"/>
      <c r="BG168" s="646"/>
      <c r="BH168" s="646"/>
      <c r="BI168" s="647"/>
      <c r="BJ168" s="647"/>
      <c r="BK168" s="647"/>
      <c r="BL168" s="647"/>
      <c r="BM168" s="647"/>
    </row>
    <row r="169" spans="2:65" s="640" customFormat="1" hidden="1">
      <c r="B169" s="1022"/>
      <c r="C169" s="1022"/>
      <c r="D169" s="1022"/>
      <c r="E169" s="1022"/>
      <c r="F169" s="1022"/>
      <c r="G169" s="1022"/>
      <c r="H169" s="1022"/>
      <c r="I169" s="1022"/>
      <c r="J169" s="1022"/>
      <c r="K169" s="1022"/>
      <c r="L169" s="1022"/>
      <c r="M169" s="1022"/>
      <c r="N169" s="1022"/>
      <c r="O169" s="1022"/>
      <c r="P169" s="1022"/>
      <c r="Q169" s="1022"/>
      <c r="R169" s="1022"/>
      <c r="S169" s="1022"/>
      <c r="T169" s="1022"/>
      <c r="U169" s="1022"/>
      <c r="W169" s="645"/>
      <c r="X169" s="1066"/>
      <c r="Y169" s="646"/>
      <c r="Z169" s="673"/>
      <c r="AA169" s="646"/>
      <c r="AB169" s="646"/>
      <c r="AC169" s="646"/>
      <c r="AD169" s="646"/>
      <c r="AE169" s="646"/>
      <c r="AF169" s="646"/>
      <c r="AG169" s="646"/>
      <c r="AH169" s="646"/>
      <c r="AI169" s="646"/>
      <c r="AJ169" s="646"/>
      <c r="AK169" s="646"/>
      <c r="AL169" s="646"/>
      <c r="AM169" s="646"/>
      <c r="AN169" s="646"/>
      <c r="AO169" s="646"/>
      <c r="AP169" s="646"/>
      <c r="AQ169" s="646"/>
      <c r="AR169" s="646"/>
      <c r="AS169" s="646"/>
      <c r="AT169" s="646"/>
      <c r="AU169" s="645"/>
      <c r="AV169" s="645"/>
      <c r="AW169" s="645"/>
      <c r="AX169" s="645"/>
      <c r="AY169" s="646"/>
      <c r="AZ169" s="646"/>
      <c r="BA169" s="646"/>
      <c r="BB169" s="646"/>
      <c r="BC169" s="646"/>
      <c r="BD169" s="646"/>
      <c r="BE169" s="646"/>
      <c r="BF169" s="646"/>
      <c r="BG169" s="646"/>
      <c r="BH169" s="646"/>
      <c r="BI169" s="647"/>
      <c r="BJ169" s="647"/>
      <c r="BK169" s="647"/>
      <c r="BL169" s="647"/>
      <c r="BM169" s="647"/>
    </row>
    <row r="170" spans="2:65" s="640" customFormat="1" hidden="1">
      <c r="B170" s="1022"/>
      <c r="C170" s="1022"/>
      <c r="D170" s="1022"/>
      <c r="E170" s="1022"/>
      <c r="F170" s="1022"/>
      <c r="G170" s="1022"/>
      <c r="H170" s="1022"/>
      <c r="I170" s="1022"/>
      <c r="J170" s="1022"/>
      <c r="K170" s="1022"/>
      <c r="L170" s="1022"/>
      <c r="M170" s="1022"/>
      <c r="N170" s="1022"/>
      <c r="O170" s="1022"/>
      <c r="P170" s="1022"/>
      <c r="Q170" s="1022"/>
      <c r="R170" s="1022"/>
      <c r="S170" s="1022"/>
      <c r="T170" s="1022"/>
      <c r="U170" s="1022"/>
      <c r="W170" s="645"/>
      <c r="X170" s="1066"/>
      <c r="Y170" s="646"/>
      <c r="Z170" s="673"/>
      <c r="AA170" s="646"/>
      <c r="AB170" s="646"/>
      <c r="AC170" s="646"/>
      <c r="AD170" s="646"/>
      <c r="AE170" s="646"/>
      <c r="AF170" s="646"/>
      <c r="AG170" s="646"/>
      <c r="AH170" s="646"/>
      <c r="AI170" s="646"/>
      <c r="AJ170" s="646"/>
      <c r="AK170" s="646"/>
      <c r="AL170" s="646"/>
      <c r="AM170" s="646"/>
      <c r="AN170" s="646"/>
      <c r="AO170" s="646"/>
      <c r="AP170" s="646"/>
      <c r="AQ170" s="646"/>
      <c r="AR170" s="646"/>
      <c r="AS170" s="646"/>
      <c r="AT170" s="646"/>
      <c r="AU170" s="645"/>
      <c r="AV170" s="645"/>
      <c r="AW170" s="645"/>
      <c r="AX170" s="645"/>
      <c r="AY170" s="646"/>
      <c r="AZ170" s="646"/>
      <c r="BA170" s="646"/>
      <c r="BB170" s="646"/>
      <c r="BC170" s="646"/>
      <c r="BD170" s="646"/>
      <c r="BE170" s="646"/>
      <c r="BF170" s="646"/>
      <c r="BG170" s="646"/>
      <c r="BH170" s="646"/>
      <c r="BI170" s="647"/>
      <c r="BJ170" s="647"/>
      <c r="BK170" s="647"/>
      <c r="BL170" s="647"/>
      <c r="BM170" s="647"/>
    </row>
    <row r="171" spans="2:65" s="640" customFormat="1" hidden="1">
      <c r="B171" s="1022"/>
      <c r="C171" s="1022"/>
      <c r="D171" s="1022"/>
      <c r="E171" s="1022"/>
      <c r="F171" s="1022"/>
      <c r="G171" s="1022"/>
      <c r="H171" s="1022"/>
      <c r="I171" s="1022"/>
      <c r="J171" s="1022"/>
      <c r="K171" s="1022"/>
      <c r="L171" s="1022"/>
      <c r="M171" s="1022"/>
      <c r="N171" s="1022"/>
      <c r="O171" s="1022"/>
      <c r="P171" s="1022"/>
      <c r="Q171" s="1022"/>
      <c r="R171" s="1022"/>
      <c r="S171" s="1022"/>
      <c r="T171" s="1022"/>
      <c r="U171" s="1022"/>
      <c r="W171" s="645"/>
      <c r="X171" s="1066"/>
      <c r="Y171" s="646"/>
      <c r="Z171" s="673"/>
      <c r="AA171" s="646"/>
      <c r="AB171" s="646"/>
      <c r="AC171" s="646"/>
      <c r="AD171" s="646"/>
      <c r="AE171" s="646"/>
      <c r="AF171" s="646"/>
      <c r="AG171" s="646"/>
      <c r="AH171" s="646"/>
      <c r="AI171" s="646"/>
      <c r="AJ171" s="646"/>
      <c r="AK171" s="646"/>
      <c r="AL171" s="646"/>
      <c r="AM171" s="646"/>
      <c r="AN171" s="646"/>
      <c r="AO171" s="646"/>
      <c r="AP171" s="646"/>
      <c r="AQ171" s="646"/>
      <c r="AR171" s="646"/>
      <c r="AS171" s="646"/>
      <c r="AT171" s="646"/>
      <c r="AU171" s="645"/>
      <c r="AV171" s="645"/>
      <c r="AW171" s="645"/>
      <c r="AX171" s="645"/>
      <c r="AY171" s="646"/>
      <c r="AZ171" s="646"/>
      <c r="BA171" s="646"/>
      <c r="BB171" s="646"/>
      <c r="BC171" s="646"/>
      <c r="BD171" s="646"/>
      <c r="BE171" s="646"/>
      <c r="BF171" s="646"/>
      <c r="BG171" s="646"/>
      <c r="BH171" s="646"/>
      <c r="BI171" s="647"/>
      <c r="BJ171" s="647"/>
      <c r="BK171" s="647"/>
      <c r="BL171" s="647"/>
      <c r="BM171" s="647"/>
    </row>
    <row r="172" spans="2:65" s="640" customFormat="1" hidden="1">
      <c r="B172" s="1022"/>
      <c r="C172" s="1022"/>
      <c r="D172" s="1022"/>
      <c r="E172" s="1022"/>
      <c r="F172" s="1022"/>
      <c r="G172" s="1022"/>
      <c r="H172" s="1022"/>
      <c r="I172" s="1022"/>
      <c r="J172" s="1022"/>
      <c r="K172" s="1022"/>
      <c r="L172" s="1022"/>
      <c r="M172" s="1022"/>
      <c r="N172" s="1022"/>
      <c r="O172" s="1022"/>
      <c r="P172" s="1022"/>
      <c r="Q172" s="1022"/>
      <c r="R172" s="1022"/>
      <c r="S172" s="1022"/>
      <c r="T172" s="1022"/>
      <c r="U172" s="1022"/>
      <c r="W172" s="645"/>
      <c r="X172" s="1066"/>
      <c r="Y172" s="646"/>
      <c r="Z172" s="673"/>
      <c r="AA172" s="646"/>
      <c r="AB172" s="646"/>
      <c r="AC172" s="646"/>
      <c r="AD172" s="646"/>
      <c r="AE172" s="646"/>
      <c r="AF172" s="646"/>
      <c r="AG172" s="646"/>
      <c r="AH172" s="646"/>
      <c r="AI172" s="646"/>
      <c r="AJ172" s="646"/>
      <c r="AK172" s="646"/>
      <c r="AL172" s="646"/>
      <c r="AM172" s="646"/>
      <c r="AN172" s="646"/>
      <c r="AO172" s="646"/>
      <c r="AP172" s="646"/>
      <c r="AQ172" s="646"/>
      <c r="AR172" s="646"/>
      <c r="AS172" s="646"/>
      <c r="AT172" s="646"/>
      <c r="AU172" s="645"/>
      <c r="AV172" s="645"/>
      <c r="AW172" s="645"/>
      <c r="AX172" s="645"/>
      <c r="AY172" s="646"/>
      <c r="AZ172" s="646"/>
      <c r="BA172" s="646"/>
      <c r="BB172" s="646"/>
      <c r="BC172" s="646"/>
      <c r="BD172" s="646"/>
      <c r="BE172" s="646"/>
      <c r="BF172" s="646"/>
      <c r="BG172" s="646"/>
      <c r="BH172" s="646"/>
      <c r="BI172" s="647"/>
      <c r="BJ172" s="647"/>
      <c r="BK172" s="647"/>
      <c r="BL172" s="647"/>
      <c r="BM172" s="647"/>
    </row>
    <row r="173" spans="2:65" s="640" customFormat="1" hidden="1">
      <c r="B173" s="1022"/>
      <c r="C173" s="1022"/>
      <c r="D173" s="1022"/>
      <c r="E173" s="1022"/>
      <c r="F173" s="1022"/>
      <c r="G173" s="1022"/>
      <c r="H173" s="1022"/>
      <c r="I173" s="1022"/>
      <c r="J173" s="1022"/>
      <c r="K173" s="1022"/>
      <c r="L173" s="1022"/>
      <c r="M173" s="1022"/>
      <c r="N173" s="1022"/>
      <c r="O173" s="1022"/>
      <c r="P173" s="1022"/>
      <c r="Q173" s="1022"/>
      <c r="R173" s="1022"/>
      <c r="S173" s="1022"/>
      <c r="T173" s="1022"/>
      <c r="U173" s="1022"/>
      <c r="W173" s="645"/>
      <c r="X173" s="1066"/>
      <c r="Y173" s="646"/>
      <c r="Z173" s="673"/>
      <c r="AA173" s="646"/>
      <c r="AB173" s="646"/>
      <c r="AC173" s="646"/>
      <c r="AD173" s="646"/>
      <c r="AE173" s="646"/>
      <c r="AF173" s="646"/>
      <c r="AG173" s="646"/>
      <c r="AH173" s="646"/>
      <c r="AI173" s="646"/>
      <c r="AJ173" s="646"/>
      <c r="AK173" s="646"/>
      <c r="AL173" s="646"/>
      <c r="AM173" s="646"/>
      <c r="AN173" s="646"/>
      <c r="AO173" s="646"/>
      <c r="AP173" s="646"/>
      <c r="AQ173" s="646"/>
      <c r="AR173" s="646"/>
      <c r="AS173" s="646"/>
      <c r="AT173" s="646"/>
      <c r="AU173" s="645"/>
      <c r="AV173" s="645"/>
      <c r="AW173" s="645"/>
      <c r="AX173" s="645"/>
      <c r="AY173" s="646"/>
      <c r="AZ173" s="646"/>
      <c r="BA173" s="646"/>
      <c r="BB173" s="646"/>
      <c r="BC173" s="646"/>
      <c r="BD173" s="646"/>
      <c r="BE173" s="646"/>
      <c r="BF173" s="646"/>
      <c r="BG173" s="646"/>
      <c r="BH173" s="646"/>
      <c r="BI173" s="647"/>
      <c r="BJ173" s="647"/>
      <c r="BK173" s="647"/>
      <c r="BL173" s="647"/>
      <c r="BM173" s="647"/>
    </row>
    <row r="174" spans="2:65" s="640" customFormat="1" hidden="1">
      <c r="B174" s="1022"/>
      <c r="C174" s="1022"/>
      <c r="D174" s="1022"/>
      <c r="E174" s="1022"/>
      <c r="F174" s="1022"/>
      <c r="G174" s="1022"/>
      <c r="H174" s="1022"/>
      <c r="I174" s="1022"/>
      <c r="J174" s="1022"/>
      <c r="K174" s="1022"/>
      <c r="L174" s="1022"/>
      <c r="M174" s="1022"/>
      <c r="N174" s="1022"/>
      <c r="O174" s="1022"/>
      <c r="P174" s="1022"/>
      <c r="Q174" s="1022"/>
      <c r="R174" s="1022"/>
      <c r="S174" s="1022"/>
      <c r="T174" s="1022"/>
      <c r="U174" s="1022"/>
      <c r="W174" s="645"/>
      <c r="X174" s="1066"/>
      <c r="Y174" s="646"/>
      <c r="Z174" s="673"/>
      <c r="AA174" s="646"/>
      <c r="AB174" s="646"/>
      <c r="AC174" s="646"/>
      <c r="AD174" s="646"/>
      <c r="AE174" s="646"/>
      <c r="AF174" s="646"/>
      <c r="AG174" s="646"/>
      <c r="AH174" s="646"/>
      <c r="AI174" s="646"/>
      <c r="AJ174" s="646"/>
      <c r="AK174" s="646"/>
      <c r="AL174" s="646"/>
      <c r="AM174" s="646"/>
      <c r="AN174" s="646"/>
      <c r="AO174" s="646"/>
      <c r="AP174" s="646"/>
      <c r="AQ174" s="646"/>
      <c r="AR174" s="646"/>
      <c r="AS174" s="646"/>
      <c r="AT174" s="646"/>
      <c r="AU174" s="645"/>
      <c r="AV174" s="645"/>
      <c r="AW174" s="645"/>
      <c r="AX174" s="645"/>
      <c r="AY174" s="646"/>
      <c r="AZ174" s="646"/>
      <c r="BA174" s="646"/>
      <c r="BB174" s="646"/>
      <c r="BC174" s="646"/>
      <c r="BD174" s="646"/>
      <c r="BE174" s="646"/>
      <c r="BF174" s="646"/>
      <c r="BG174" s="646"/>
      <c r="BH174" s="646"/>
      <c r="BI174" s="647"/>
      <c r="BJ174" s="647"/>
      <c r="BK174" s="647"/>
      <c r="BL174" s="647"/>
      <c r="BM174" s="647"/>
    </row>
    <row r="175" spans="2:65" s="640" customFormat="1" hidden="1">
      <c r="B175" s="1022"/>
      <c r="C175" s="1022"/>
      <c r="D175" s="1022"/>
      <c r="E175" s="1022"/>
      <c r="F175" s="1022"/>
      <c r="G175" s="1022"/>
      <c r="H175" s="1022"/>
      <c r="I175" s="1022"/>
      <c r="J175" s="1022"/>
      <c r="K175" s="1022"/>
      <c r="L175" s="1022"/>
      <c r="M175" s="1022"/>
      <c r="N175" s="1022"/>
      <c r="O175" s="1022"/>
      <c r="P175" s="1022"/>
      <c r="Q175" s="1022"/>
      <c r="R175" s="1022"/>
      <c r="S175" s="1022"/>
      <c r="T175" s="1022"/>
      <c r="U175" s="1022"/>
      <c r="W175" s="645"/>
      <c r="X175" s="1066"/>
      <c r="Y175" s="646"/>
      <c r="Z175" s="673"/>
      <c r="AA175" s="646"/>
      <c r="AB175" s="646"/>
      <c r="AC175" s="646"/>
      <c r="AD175" s="646"/>
      <c r="AE175" s="646"/>
      <c r="AF175" s="646"/>
      <c r="AG175" s="646"/>
      <c r="AH175" s="646"/>
      <c r="AI175" s="646"/>
      <c r="AJ175" s="646"/>
      <c r="AK175" s="646"/>
      <c r="AL175" s="646"/>
      <c r="AM175" s="646"/>
      <c r="AN175" s="646"/>
      <c r="AO175" s="646"/>
      <c r="AP175" s="646"/>
      <c r="AQ175" s="646"/>
      <c r="AR175" s="646"/>
      <c r="AS175" s="646"/>
      <c r="AT175" s="646"/>
      <c r="AU175" s="645"/>
      <c r="AV175" s="645"/>
      <c r="AW175" s="645"/>
      <c r="AX175" s="645"/>
      <c r="AY175" s="646"/>
      <c r="AZ175" s="646"/>
      <c r="BA175" s="646"/>
      <c r="BB175" s="646"/>
      <c r="BC175" s="646"/>
      <c r="BD175" s="646"/>
      <c r="BE175" s="646"/>
      <c r="BF175" s="646"/>
      <c r="BG175" s="646"/>
      <c r="BH175" s="646"/>
      <c r="BI175" s="647"/>
      <c r="BJ175" s="647"/>
      <c r="BK175" s="647"/>
      <c r="BL175" s="647"/>
      <c r="BM175" s="647"/>
    </row>
    <row r="176" spans="2:65" s="640" customFormat="1" hidden="1">
      <c r="B176" s="1022"/>
      <c r="C176" s="1022"/>
      <c r="D176" s="1022"/>
      <c r="E176" s="1022"/>
      <c r="F176" s="1022"/>
      <c r="G176" s="1022"/>
      <c r="H176" s="1022"/>
      <c r="I176" s="1022"/>
      <c r="J176" s="1022"/>
      <c r="K176" s="1022"/>
      <c r="L176" s="1022"/>
      <c r="M176" s="1022"/>
      <c r="N176" s="1022"/>
      <c r="O176" s="1022"/>
      <c r="P176" s="1022"/>
      <c r="Q176" s="1022"/>
      <c r="R176" s="1022"/>
      <c r="S176" s="1022"/>
      <c r="T176" s="1022"/>
      <c r="U176" s="1022"/>
      <c r="W176" s="645"/>
      <c r="X176" s="1066"/>
      <c r="Y176" s="646"/>
      <c r="Z176" s="673"/>
      <c r="AA176" s="646"/>
      <c r="AB176" s="646"/>
      <c r="AC176" s="646"/>
      <c r="AD176" s="646"/>
      <c r="AE176" s="646"/>
      <c r="AF176" s="646"/>
      <c r="AG176" s="646"/>
      <c r="AH176" s="646"/>
      <c r="AI176" s="646"/>
      <c r="AJ176" s="646"/>
      <c r="AK176" s="646"/>
      <c r="AL176" s="646"/>
      <c r="AM176" s="646"/>
      <c r="AN176" s="646"/>
      <c r="AO176" s="646"/>
      <c r="AP176" s="646"/>
      <c r="AQ176" s="646"/>
      <c r="AR176" s="646"/>
      <c r="AS176" s="646"/>
      <c r="AT176" s="646"/>
      <c r="AU176" s="645"/>
      <c r="AV176" s="645"/>
      <c r="AW176" s="645"/>
      <c r="AX176" s="645"/>
      <c r="AY176" s="646"/>
      <c r="AZ176" s="646"/>
      <c r="BA176" s="646"/>
      <c r="BB176" s="646"/>
      <c r="BC176" s="646"/>
      <c r="BD176" s="646"/>
      <c r="BE176" s="646"/>
      <c r="BF176" s="646"/>
      <c r="BG176" s="646"/>
      <c r="BH176" s="646"/>
      <c r="BI176" s="647"/>
      <c r="BJ176" s="647"/>
      <c r="BK176" s="647"/>
      <c r="BL176" s="647"/>
      <c r="BM176" s="647"/>
    </row>
    <row r="177" spans="2:65" s="640" customFormat="1" hidden="1">
      <c r="B177" s="1022"/>
      <c r="C177" s="1022"/>
      <c r="D177" s="1022"/>
      <c r="E177" s="1022"/>
      <c r="F177" s="1022"/>
      <c r="G177" s="1022"/>
      <c r="H177" s="1022"/>
      <c r="I177" s="1022"/>
      <c r="J177" s="1022"/>
      <c r="K177" s="1022"/>
      <c r="L177" s="1022"/>
      <c r="M177" s="1022"/>
      <c r="N177" s="1022"/>
      <c r="O177" s="1022"/>
      <c r="P177" s="1022"/>
      <c r="Q177" s="1022"/>
      <c r="R177" s="1022"/>
      <c r="S177" s="1022"/>
      <c r="T177" s="1022"/>
      <c r="U177" s="1022"/>
      <c r="W177" s="645"/>
      <c r="X177" s="1066"/>
      <c r="Y177" s="646"/>
      <c r="Z177" s="673"/>
      <c r="AA177" s="646"/>
      <c r="AB177" s="646"/>
      <c r="AC177" s="646"/>
      <c r="AD177" s="646"/>
      <c r="AE177" s="646"/>
      <c r="AF177" s="646"/>
      <c r="AG177" s="646"/>
      <c r="AH177" s="646"/>
      <c r="AI177" s="646"/>
      <c r="AJ177" s="646"/>
      <c r="AK177" s="646"/>
      <c r="AL177" s="646"/>
      <c r="AM177" s="646"/>
      <c r="AN177" s="646"/>
      <c r="AO177" s="646"/>
      <c r="AP177" s="646"/>
      <c r="AQ177" s="646"/>
      <c r="AR177" s="646"/>
      <c r="AS177" s="646"/>
      <c r="AT177" s="646"/>
      <c r="AU177" s="645"/>
      <c r="AV177" s="645"/>
      <c r="AW177" s="645"/>
      <c r="AX177" s="645"/>
      <c r="AY177" s="646"/>
      <c r="AZ177" s="646"/>
      <c r="BA177" s="646"/>
      <c r="BB177" s="646"/>
      <c r="BC177" s="646"/>
      <c r="BD177" s="646"/>
      <c r="BE177" s="646"/>
      <c r="BF177" s="646"/>
      <c r="BG177" s="646"/>
      <c r="BH177" s="646"/>
      <c r="BI177" s="647"/>
      <c r="BJ177" s="647"/>
      <c r="BK177" s="647"/>
      <c r="BL177" s="647"/>
      <c r="BM177" s="647"/>
    </row>
    <row r="178" spans="2:65" s="640" customFormat="1" hidden="1">
      <c r="B178" s="1022"/>
      <c r="C178" s="1022"/>
      <c r="D178" s="1022"/>
      <c r="E178" s="1022"/>
      <c r="F178" s="1022"/>
      <c r="G178" s="1022"/>
      <c r="H178" s="1022"/>
      <c r="I178" s="1022"/>
      <c r="J178" s="1022"/>
      <c r="K178" s="1022"/>
      <c r="L178" s="1022"/>
      <c r="M178" s="1022"/>
      <c r="N178" s="1022"/>
      <c r="O178" s="1022"/>
      <c r="P178" s="1022"/>
      <c r="Q178" s="1022"/>
      <c r="R178" s="1022"/>
      <c r="S178" s="1022"/>
      <c r="T178" s="1022"/>
      <c r="U178" s="1022"/>
      <c r="W178" s="645"/>
      <c r="X178" s="1066"/>
      <c r="Y178" s="646"/>
      <c r="Z178" s="673"/>
      <c r="AA178" s="646"/>
      <c r="AB178" s="646"/>
      <c r="AC178" s="646"/>
      <c r="AD178" s="646"/>
      <c r="AE178" s="646"/>
      <c r="AF178" s="646"/>
      <c r="AG178" s="646"/>
      <c r="AH178" s="646"/>
      <c r="AI178" s="646"/>
      <c r="AJ178" s="646"/>
      <c r="AK178" s="646"/>
      <c r="AL178" s="646"/>
      <c r="AM178" s="646"/>
      <c r="AN178" s="646"/>
      <c r="AO178" s="646"/>
      <c r="AP178" s="646"/>
      <c r="AQ178" s="646"/>
      <c r="AR178" s="646"/>
      <c r="AS178" s="646"/>
      <c r="AT178" s="646"/>
      <c r="AU178" s="645"/>
      <c r="AV178" s="645"/>
      <c r="AW178" s="645"/>
      <c r="AX178" s="645"/>
      <c r="AY178" s="646"/>
      <c r="AZ178" s="646"/>
      <c r="BA178" s="646"/>
      <c r="BB178" s="646"/>
      <c r="BC178" s="646"/>
      <c r="BD178" s="646"/>
      <c r="BE178" s="646"/>
      <c r="BF178" s="646"/>
      <c r="BG178" s="646"/>
      <c r="BH178" s="646"/>
      <c r="BI178" s="647"/>
      <c r="BJ178" s="647"/>
      <c r="BK178" s="647"/>
      <c r="BL178" s="647"/>
      <c r="BM178" s="647"/>
    </row>
    <row r="179" spans="2:65" s="640" customFormat="1" hidden="1">
      <c r="B179" s="1022"/>
      <c r="C179" s="1022"/>
      <c r="D179" s="1022"/>
      <c r="E179" s="1022"/>
      <c r="F179" s="1022"/>
      <c r="G179" s="1022"/>
      <c r="H179" s="1022"/>
      <c r="I179" s="1022"/>
      <c r="J179" s="1022"/>
      <c r="K179" s="1022"/>
      <c r="L179" s="1022"/>
      <c r="M179" s="1022"/>
      <c r="N179" s="1022"/>
      <c r="O179" s="1022"/>
      <c r="P179" s="1022"/>
      <c r="Q179" s="1022"/>
      <c r="R179" s="1022"/>
      <c r="S179" s="1022"/>
      <c r="T179" s="1022"/>
      <c r="U179" s="1022"/>
      <c r="W179" s="645"/>
      <c r="X179" s="1066"/>
      <c r="Y179" s="646"/>
      <c r="Z179" s="673"/>
      <c r="AA179" s="646"/>
      <c r="AB179" s="646"/>
      <c r="AC179" s="646"/>
      <c r="AD179" s="646"/>
      <c r="AE179" s="646"/>
      <c r="AF179" s="646"/>
      <c r="AG179" s="646"/>
      <c r="AH179" s="646"/>
      <c r="AI179" s="646"/>
      <c r="AJ179" s="646"/>
      <c r="AK179" s="646"/>
      <c r="AL179" s="646"/>
      <c r="AM179" s="646"/>
      <c r="AN179" s="646"/>
      <c r="AO179" s="646"/>
      <c r="AP179" s="646"/>
      <c r="AQ179" s="646"/>
      <c r="AR179" s="646"/>
      <c r="AS179" s="646"/>
      <c r="AT179" s="646"/>
      <c r="AU179" s="645"/>
      <c r="AV179" s="645"/>
      <c r="AW179" s="645"/>
      <c r="AX179" s="645"/>
      <c r="AY179" s="646"/>
      <c r="AZ179" s="646"/>
      <c r="BA179" s="646"/>
      <c r="BB179" s="646"/>
      <c r="BC179" s="646"/>
      <c r="BD179" s="646"/>
      <c r="BE179" s="646"/>
      <c r="BF179" s="646"/>
      <c r="BG179" s="646"/>
      <c r="BH179" s="646"/>
      <c r="BI179" s="647"/>
      <c r="BJ179" s="647"/>
      <c r="BK179" s="647"/>
      <c r="BL179" s="647"/>
      <c r="BM179" s="647"/>
    </row>
    <row r="180" spans="2:65" s="640" customFormat="1" hidden="1">
      <c r="B180" s="1022"/>
      <c r="C180" s="1022"/>
      <c r="D180" s="1022"/>
      <c r="E180" s="1022"/>
      <c r="F180" s="1022"/>
      <c r="G180" s="1022"/>
      <c r="H180" s="1022"/>
      <c r="I180" s="1022"/>
      <c r="J180" s="1022"/>
      <c r="K180" s="1022"/>
      <c r="L180" s="1022"/>
      <c r="M180" s="1022"/>
      <c r="N180" s="1022"/>
      <c r="O180" s="1022"/>
      <c r="P180" s="1022"/>
      <c r="Q180" s="1022"/>
      <c r="R180" s="1022"/>
      <c r="S180" s="1022"/>
      <c r="T180" s="1022"/>
      <c r="U180" s="1022"/>
      <c r="W180" s="645"/>
      <c r="X180" s="1066"/>
      <c r="Y180" s="646"/>
      <c r="Z180" s="673"/>
      <c r="AA180" s="646"/>
      <c r="AB180" s="646"/>
      <c r="AC180" s="646"/>
      <c r="AD180" s="646"/>
      <c r="AE180" s="646"/>
      <c r="AF180" s="646"/>
      <c r="AG180" s="646"/>
      <c r="AH180" s="646"/>
      <c r="AI180" s="646"/>
      <c r="AJ180" s="646"/>
      <c r="AK180" s="646"/>
      <c r="AL180" s="646"/>
      <c r="AM180" s="646"/>
      <c r="AN180" s="646"/>
      <c r="AO180" s="646"/>
      <c r="AP180" s="646"/>
      <c r="AQ180" s="646"/>
      <c r="AR180" s="646"/>
      <c r="AS180" s="646"/>
      <c r="AT180" s="646"/>
      <c r="AU180" s="645"/>
      <c r="AV180" s="645"/>
      <c r="AW180" s="645"/>
      <c r="AX180" s="645"/>
      <c r="AY180" s="646"/>
      <c r="AZ180" s="646"/>
      <c r="BA180" s="646"/>
      <c r="BB180" s="646"/>
      <c r="BC180" s="646"/>
      <c r="BD180" s="646"/>
      <c r="BE180" s="646"/>
      <c r="BF180" s="646"/>
      <c r="BG180" s="646"/>
      <c r="BH180" s="646"/>
      <c r="BI180" s="647"/>
      <c r="BJ180" s="647"/>
      <c r="BK180" s="647"/>
      <c r="BL180" s="647"/>
      <c r="BM180" s="647"/>
    </row>
    <row r="181" spans="2:65" s="640" customFormat="1" hidden="1">
      <c r="B181" s="1022"/>
      <c r="C181" s="1022"/>
      <c r="D181" s="1022"/>
      <c r="E181" s="1022"/>
      <c r="F181" s="1022"/>
      <c r="G181" s="1022"/>
      <c r="H181" s="1022"/>
      <c r="I181" s="1022"/>
      <c r="J181" s="1022"/>
      <c r="K181" s="1022"/>
      <c r="L181" s="1022"/>
      <c r="M181" s="1022"/>
      <c r="N181" s="1022"/>
      <c r="O181" s="1022"/>
      <c r="P181" s="1022"/>
      <c r="Q181" s="1022"/>
      <c r="R181" s="1022"/>
      <c r="S181" s="1022"/>
      <c r="T181" s="1022"/>
      <c r="U181" s="1022"/>
      <c r="W181" s="645"/>
      <c r="X181" s="1066"/>
      <c r="Y181" s="646"/>
      <c r="Z181" s="673"/>
      <c r="AA181" s="646"/>
      <c r="AB181" s="646"/>
      <c r="AC181" s="646"/>
      <c r="AD181" s="646"/>
      <c r="AE181" s="646"/>
      <c r="AF181" s="646"/>
      <c r="AG181" s="646"/>
      <c r="AH181" s="646"/>
      <c r="AI181" s="646"/>
      <c r="AJ181" s="646"/>
      <c r="AK181" s="646"/>
      <c r="AL181" s="646"/>
      <c r="AM181" s="646"/>
      <c r="AN181" s="646"/>
      <c r="AO181" s="646"/>
      <c r="AP181" s="646"/>
      <c r="AQ181" s="646"/>
      <c r="AR181" s="646"/>
      <c r="AS181" s="646"/>
      <c r="AT181" s="646"/>
      <c r="AU181" s="645"/>
      <c r="AV181" s="645"/>
      <c r="AW181" s="645"/>
      <c r="AX181" s="645"/>
      <c r="AY181" s="646"/>
      <c r="AZ181" s="646"/>
      <c r="BA181" s="646"/>
      <c r="BB181" s="646"/>
      <c r="BC181" s="646"/>
      <c r="BD181" s="646"/>
      <c r="BE181" s="646"/>
      <c r="BF181" s="646"/>
      <c r="BG181" s="646"/>
      <c r="BH181" s="646"/>
      <c r="BI181" s="647"/>
      <c r="BJ181" s="647"/>
      <c r="BK181" s="647"/>
      <c r="BL181" s="647"/>
      <c r="BM181" s="647"/>
    </row>
    <row r="182" spans="2:65" s="640" customFormat="1" hidden="1">
      <c r="B182" s="1022"/>
      <c r="C182" s="1022"/>
      <c r="D182" s="1022"/>
      <c r="E182" s="1022"/>
      <c r="F182" s="1022"/>
      <c r="G182" s="1022"/>
      <c r="H182" s="1022"/>
      <c r="I182" s="1022"/>
      <c r="J182" s="1022"/>
      <c r="K182" s="1022"/>
      <c r="L182" s="1022"/>
      <c r="M182" s="1022"/>
      <c r="N182" s="1022"/>
      <c r="O182" s="1022"/>
      <c r="P182" s="1022"/>
      <c r="Q182" s="1022"/>
      <c r="R182" s="1022"/>
      <c r="S182" s="1022"/>
      <c r="T182" s="1022"/>
      <c r="U182" s="1022"/>
      <c r="W182" s="645"/>
      <c r="X182" s="1066"/>
      <c r="Y182" s="646"/>
      <c r="Z182" s="673"/>
      <c r="AA182" s="646"/>
      <c r="AB182" s="646"/>
      <c r="AC182" s="646"/>
      <c r="AD182" s="646"/>
      <c r="AE182" s="646"/>
      <c r="AF182" s="646"/>
      <c r="AG182" s="646"/>
      <c r="AH182" s="646"/>
      <c r="AI182" s="646"/>
      <c r="AJ182" s="646"/>
      <c r="AK182" s="646"/>
      <c r="AL182" s="646"/>
      <c r="AM182" s="646"/>
      <c r="AN182" s="646"/>
      <c r="AO182" s="646"/>
      <c r="AP182" s="646"/>
      <c r="AQ182" s="646"/>
      <c r="AR182" s="646"/>
      <c r="AS182" s="646"/>
      <c r="AT182" s="646"/>
      <c r="AU182" s="645"/>
      <c r="AV182" s="645"/>
      <c r="AW182" s="645"/>
      <c r="AX182" s="645"/>
      <c r="AY182" s="646"/>
      <c r="AZ182" s="646"/>
      <c r="BA182" s="646"/>
      <c r="BB182" s="646"/>
      <c r="BC182" s="646"/>
      <c r="BD182" s="646"/>
      <c r="BE182" s="646"/>
      <c r="BF182" s="646"/>
      <c r="BG182" s="646"/>
      <c r="BH182" s="646"/>
      <c r="BI182" s="647"/>
      <c r="BJ182" s="647"/>
      <c r="BK182" s="647"/>
      <c r="BL182" s="647"/>
      <c r="BM182" s="647"/>
    </row>
    <row r="183" spans="2:65" s="640" customFormat="1" hidden="1">
      <c r="B183" s="1022"/>
      <c r="C183" s="1022"/>
      <c r="D183" s="1022"/>
      <c r="E183" s="1022"/>
      <c r="F183" s="1022"/>
      <c r="G183" s="1022"/>
      <c r="H183" s="1022"/>
      <c r="I183" s="1022"/>
      <c r="J183" s="1022"/>
      <c r="K183" s="1022"/>
      <c r="L183" s="1022"/>
      <c r="M183" s="1022"/>
      <c r="N183" s="1022"/>
      <c r="O183" s="1022"/>
      <c r="P183" s="1022"/>
      <c r="Q183" s="1022"/>
      <c r="R183" s="1022"/>
      <c r="S183" s="1022"/>
      <c r="T183" s="1022"/>
      <c r="U183" s="1022"/>
      <c r="W183" s="645"/>
      <c r="X183" s="1066"/>
      <c r="Y183" s="646"/>
      <c r="Z183" s="673"/>
      <c r="AA183" s="646"/>
      <c r="AB183" s="646"/>
      <c r="AC183" s="646"/>
      <c r="AD183" s="646"/>
      <c r="AE183" s="646"/>
      <c r="AF183" s="646"/>
      <c r="AG183" s="646"/>
      <c r="AH183" s="646"/>
      <c r="AI183" s="646"/>
      <c r="AJ183" s="646"/>
      <c r="AK183" s="646"/>
      <c r="AL183" s="646"/>
      <c r="AM183" s="646"/>
      <c r="AN183" s="646"/>
      <c r="AO183" s="646"/>
      <c r="AP183" s="646"/>
      <c r="AQ183" s="646"/>
      <c r="AR183" s="646"/>
      <c r="AS183" s="646"/>
      <c r="AT183" s="646"/>
      <c r="AU183" s="645"/>
      <c r="AV183" s="645"/>
      <c r="AW183" s="645"/>
      <c r="AX183" s="645"/>
      <c r="AY183" s="646"/>
      <c r="AZ183" s="646"/>
      <c r="BA183" s="646"/>
      <c r="BB183" s="646"/>
      <c r="BC183" s="646"/>
      <c r="BD183" s="646"/>
      <c r="BE183" s="646"/>
      <c r="BF183" s="646"/>
      <c r="BG183" s="646"/>
      <c r="BH183" s="646"/>
      <c r="BI183" s="647"/>
      <c r="BJ183" s="647"/>
      <c r="BK183" s="647"/>
      <c r="BL183" s="647"/>
      <c r="BM183" s="647"/>
    </row>
    <row r="184" spans="2:65" s="640" customFormat="1" hidden="1">
      <c r="B184" s="1022"/>
      <c r="C184" s="1022"/>
      <c r="D184" s="1022"/>
      <c r="E184" s="1022"/>
      <c r="F184" s="1022"/>
      <c r="G184" s="1022"/>
      <c r="H184" s="1022"/>
      <c r="I184" s="1022"/>
      <c r="J184" s="1022"/>
      <c r="K184" s="1022"/>
      <c r="L184" s="1022"/>
      <c r="M184" s="1022"/>
      <c r="N184" s="1022"/>
      <c r="O184" s="1022"/>
      <c r="P184" s="1022"/>
      <c r="Q184" s="1022"/>
      <c r="R184" s="1022"/>
      <c r="S184" s="1022"/>
      <c r="T184" s="1022"/>
      <c r="U184" s="1022"/>
      <c r="W184" s="645"/>
      <c r="X184" s="1066"/>
      <c r="Y184" s="646"/>
      <c r="Z184" s="673"/>
      <c r="AA184" s="646"/>
      <c r="AB184" s="646"/>
      <c r="AC184" s="646"/>
      <c r="AD184" s="646"/>
      <c r="AE184" s="646"/>
      <c r="AF184" s="646"/>
      <c r="AG184" s="646"/>
      <c r="AH184" s="646"/>
      <c r="AI184" s="646"/>
      <c r="AJ184" s="646"/>
      <c r="AK184" s="646"/>
      <c r="AL184" s="646"/>
      <c r="AM184" s="646"/>
      <c r="AN184" s="646"/>
      <c r="AO184" s="646"/>
      <c r="AP184" s="646"/>
      <c r="AQ184" s="646"/>
      <c r="AR184" s="646"/>
      <c r="AS184" s="646"/>
      <c r="AT184" s="646"/>
      <c r="AU184" s="645"/>
      <c r="AV184" s="645"/>
      <c r="AW184" s="645"/>
      <c r="AX184" s="645"/>
      <c r="AY184" s="646"/>
      <c r="AZ184" s="646"/>
      <c r="BA184" s="646"/>
      <c r="BB184" s="646"/>
      <c r="BC184" s="646"/>
      <c r="BD184" s="646"/>
      <c r="BE184" s="646"/>
      <c r="BF184" s="646"/>
      <c r="BG184" s="646"/>
      <c r="BH184" s="646"/>
      <c r="BI184" s="647"/>
      <c r="BJ184" s="647"/>
      <c r="BK184" s="647"/>
      <c r="BL184" s="647"/>
      <c r="BM184" s="647"/>
    </row>
    <row r="185" spans="2:65" s="640" customFormat="1" hidden="1">
      <c r="B185" s="1022"/>
      <c r="C185" s="1022"/>
      <c r="D185" s="1022"/>
      <c r="E185" s="1022"/>
      <c r="F185" s="1022"/>
      <c r="G185" s="1022"/>
      <c r="H185" s="1022"/>
      <c r="I185" s="1022"/>
      <c r="J185" s="1022"/>
      <c r="K185" s="1022"/>
      <c r="L185" s="1022"/>
      <c r="M185" s="1022"/>
      <c r="N185" s="1022"/>
      <c r="O185" s="1022"/>
      <c r="P185" s="1022"/>
      <c r="Q185" s="1022"/>
      <c r="R185" s="1022"/>
      <c r="S185" s="1022"/>
      <c r="T185" s="1022"/>
      <c r="U185" s="1022"/>
      <c r="W185" s="645"/>
      <c r="X185" s="1066"/>
      <c r="Y185" s="646"/>
      <c r="Z185" s="673"/>
      <c r="AA185" s="646"/>
      <c r="AB185" s="646"/>
      <c r="AC185" s="646"/>
      <c r="AD185" s="646"/>
      <c r="AE185" s="646"/>
      <c r="AF185" s="646"/>
      <c r="AG185" s="646"/>
      <c r="AH185" s="646"/>
      <c r="AI185" s="646"/>
      <c r="AJ185" s="646"/>
      <c r="AK185" s="646"/>
      <c r="AL185" s="646"/>
      <c r="AM185" s="646"/>
      <c r="AN185" s="646"/>
      <c r="AO185" s="646"/>
      <c r="AP185" s="646"/>
      <c r="AQ185" s="646"/>
      <c r="AR185" s="646"/>
      <c r="AS185" s="646"/>
      <c r="AT185" s="646"/>
      <c r="AU185" s="645"/>
      <c r="AV185" s="645"/>
      <c r="AW185" s="645"/>
      <c r="AX185" s="645"/>
      <c r="AY185" s="646"/>
      <c r="AZ185" s="646"/>
      <c r="BA185" s="646"/>
      <c r="BB185" s="646"/>
      <c r="BC185" s="646"/>
      <c r="BD185" s="646"/>
      <c r="BE185" s="646"/>
      <c r="BF185" s="646"/>
      <c r="BG185" s="646"/>
      <c r="BH185" s="646"/>
      <c r="BI185" s="647"/>
      <c r="BJ185" s="647"/>
      <c r="BK185" s="647"/>
      <c r="BL185" s="647"/>
      <c r="BM185" s="647"/>
    </row>
    <row r="186" spans="2:65" s="640" customFormat="1" hidden="1">
      <c r="B186" s="1022"/>
      <c r="C186" s="1022"/>
      <c r="D186" s="1022"/>
      <c r="E186" s="1022"/>
      <c r="F186" s="1022"/>
      <c r="G186" s="1022"/>
      <c r="H186" s="1022"/>
      <c r="I186" s="1022"/>
      <c r="J186" s="1022"/>
      <c r="K186" s="1022"/>
      <c r="L186" s="1022"/>
      <c r="M186" s="1022"/>
      <c r="N186" s="1022"/>
      <c r="O186" s="1022"/>
      <c r="P186" s="1022"/>
      <c r="Q186" s="1022"/>
      <c r="R186" s="1022"/>
      <c r="S186" s="1022"/>
      <c r="T186" s="1022"/>
      <c r="U186" s="1022"/>
      <c r="W186" s="645"/>
      <c r="X186" s="1066"/>
      <c r="Y186" s="646"/>
      <c r="Z186" s="673"/>
      <c r="AA186" s="646"/>
      <c r="AB186" s="646"/>
      <c r="AC186" s="646"/>
      <c r="AD186" s="646"/>
      <c r="AE186" s="646"/>
      <c r="AF186" s="646"/>
      <c r="AG186" s="646"/>
      <c r="AH186" s="646"/>
      <c r="AI186" s="646"/>
      <c r="AJ186" s="646"/>
      <c r="AK186" s="646"/>
      <c r="AL186" s="646"/>
      <c r="AM186" s="646"/>
      <c r="AN186" s="646"/>
      <c r="AO186" s="646"/>
      <c r="AP186" s="646"/>
      <c r="AQ186" s="646"/>
      <c r="AR186" s="646"/>
      <c r="AS186" s="646"/>
      <c r="AT186" s="646"/>
      <c r="AU186" s="645"/>
      <c r="AV186" s="645"/>
      <c r="AW186" s="645"/>
      <c r="AX186" s="645"/>
      <c r="AY186" s="646"/>
      <c r="AZ186" s="646"/>
      <c r="BA186" s="646"/>
      <c r="BB186" s="646"/>
      <c r="BC186" s="646"/>
      <c r="BD186" s="646"/>
      <c r="BE186" s="646"/>
      <c r="BF186" s="646"/>
      <c r="BG186" s="646"/>
      <c r="BH186" s="646"/>
      <c r="BI186" s="647"/>
      <c r="BJ186" s="647"/>
      <c r="BK186" s="647"/>
      <c r="BL186" s="647"/>
      <c r="BM186" s="647"/>
    </row>
    <row r="187" spans="2:65" s="640" customFormat="1" hidden="1">
      <c r="B187" s="1022"/>
      <c r="C187" s="1022"/>
      <c r="D187" s="1022"/>
      <c r="E187" s="1022"/>
      <c r="F187" s="1022"/>
      <c r="G187" s="1022"/>
      <c r="H187" s="1022"/>
      <c r="I187" s="1022"/>
      <c r="J187" s="1022"/>
      <c r="K187" s="1022"/>
      <c r="L187" s="1022"/>
      <c r="M187" s="1022"/>
      <c r="N187" s="1022"/>
      <c r="O187" s="1022"/>
      <c r="P187" s="1022"/>
      <c r="Q187" s="1022"/>
      <c r="R187" s="1022"/>
      <c r="S187" s="1022"/>
      <c r="T187" s="1022"/>
      <c r="U187" s="1022"/>
      <c r="W187" s="645"/>
      <c r="X187" s="1066"/>
      <c r="Y187" s="646"/>
      <c r="Z187" s="673"/>
      <c r="AA187" s="646"/>
      <c r="AB187" s="646"/>
      <c r="AC187" s="646"/>
      <c r="AD187" s="646"/>
      <c r="AE187" s="646"/>
      <c r="AF187" s="646"/>
      <c r="AG187" s="646"/>
      <c r="AH187" s="646"/>
      <c r="AI187" s="646"/>
      <c r="AJ187" s="646"/>
      <c r="AK187" s="646"/>
      <c r="AL187" s="646"/>
      <c r="AM187" s="646"/>
      <c r="AN187" s="646"/>
      <c r="AO187" s="646"/>
      <c r="AP187" s="646"/>
      <c r="AQ187" s="646"/>
      <c r="AR187" s="646"/>
      <c r="AS187" s="646"/>
      <c r="AT187" s="646"/>
      <c r="AU187" s="645"/>
      <c r="AV187" s="645"/>
      <c r="AW187" s="645"/>
      <c r="AX187" s="645"/>
      <c r="AY187" s="646"/>
      <c r="AZ187" s="646"/>
      <c r="BA187" s="646"/>
      <c r="BB187" s="646"/>
      <c r="BC187" s="646"/>
      <c r="BD187" s="646"/>
      <c r="BE187" s="646"/>
      <c r="BF187" s="646"/>
      <c r="BG187" s="646"/>
      <c r="BH187" s="646"/>
      <c r="BI187" s="647"/>
      <c r="BJ187" s="647"/>
      <c r="BK187" s="647"/>
      <c r="BL187" s="647"/>
      <c r="BM187" s="647"/>
    </row>
    <row r="188" spans="2:65" s="640" customFormat="1" hidden="1">
      <c r="B188" s="1022"/>
      <c r="C188" s="1022"/>
      <c r="D188" s="1022"/>
      <c r="E188" s="1022"/>
      <c r="F188" s="1022"/>
      <c r="G188" s="1022"/>
      <c r="H188" s="1022"/>
      <c r="I188" s="1022"/>
      <c r="J188" s="1022"/>
      <c r="K188" s="1022"/>
      <c r="L188" s="1022"/>
      <c r="M188" s="1022"/>
      <c r="N188" s="1022"/>
      <c r="O188" s="1022"/>
      <c r="P188" s="1022"/>
      <c r="Q188" s="1022"/>
      <c r="R188" s="1022"/>
      <c r="S188" s="1022"/>
      <c r="T188" s="1022"/>
      <c r="U188" s="1022"/>
      <c r="W188" s="645"/>
      <c r="X188" s="1066"/>
      <c r="Y188" s="646"/>
      <c r="Z188" s="673"/>
      <c r="AA188" s="646"/>
      <c r="AB188" s="646"/>
      <c r="AC188" s="646"/>
      <c r="AD188" s="646"/>
      <c r="AE188" s="646"/>
      <c r="AF188" s="646"/>
      <c r="AG188" s="646"/>
      <c r="AH188" s="646"/>
      <c r="AI188" s="646"/>
      <c r="AJ188" s="646"/>
      <c r="AK188" s="646"/>
      <c r="AL188" s="646"/>
      <c r="AM188" s="646"/>
      <c r="AN188" s="646"/>
      <c r="AO188" s="646"/>
      <c r="AP188" s="646"/>
      <c r="AQ188" s="646"/>
      <c r="AR188" s="646"/>
      <c r="AS188" s="646"/>
      <c r="AT188" s="646"/>
      <c r="AU188" s="645"/>
      <c r="AV188" s="645"/>
      <c r="AW188" s="645"/>
      <c r="AX188" s="645"/>
      <c r="AY188" s="646"/>
      <c r="AZ188" s="646"/>
      <c r="BA188" s="646"/>
      <c r="BB188" s="646"/>
      <c r="BC188" s="646"/>
      <c r="BD188" s="646"/>
      <c r="BE188" s="646"/>
      <c r="BF188" s="646"/>
      <c r="BG188" s="646"/>
      <c r="BH188" s="646"/>
      <c r="BI188" s="647"/>
      <c r="BJ188" s="647"/>
      <c r="BK188" s="647"/>
      <c r="BL188" s="647"/>
      <c r="BM188" s="647"/>
    </row>
    <row r="189" spans="2:65" s="640" customFormat="1" hidden="1">
      <c r="B189" s="1022"/>
      <c r="C189" s="1022"/>
      <c r="D189" s="1022"/>
      <c r="E189" s="1022"/>
      <c r="F189" s="1022"/>
      <c r="G189" s="1022"/>
      <c r="H189" s="1022"/>
      <c r="I189" s="1022"/>
      <c r="J189" s="1022"/>
      <c r="K189" s="1022"/>
      <c r="L189" s="1022"/>
      <c r="M189" s="1022"/>
      <c r="N189" s="1022"/>
      <c r="O189" s="1022"/>
      <c r="P189" s="1022"/>
      <c r="Q189" s="1022"/>
      <c r="R189" s="1022"/>
      <c r="S189" s="1022"/>
      <c r="T189" s="1022"/>
      <c r="U189" s="1022"/>
      <c r="W189" s="645"/>
      <c r="X189" s="1066"/>
      <c r="Y189" s="646"/>
      <c r="Z189" s="673"/>
      <c r="AA189" s="646"/>
      <c r="AB189" s="646"/>
      <c r="AC189" s="646"/>
      <c r="AD189" s="646"/>
      <c r="AE189" s="646"/>
      <c r="AF189" s="646"/>
      <c r="AG189" s="646"/>
      <c r="AH189" s="646"/>
      <c r="AI189" s="646"/>
      <c r="AJ189" s="646"/>
      <c r="AK189" s="646"/>
      <c r="AL189" s="646"/>
      <c r="AM189" s="646"/>
      <c r="AN189" s="646"/>
      <c r="AO189" s="646"/>
      <c r="AP189" s="646"/>
      <c r="AQ189" s="646"/>
      <c r="AR189" s="646"/>
      <c r="AS189" s="646"/>
      <c r="AT189" s="646"/>
      <c r="AU189" s="645"/>
      <c r="AV189" s="645"/>
      <c r="AW189" s="645"/>
      <c r="AX189" s="645"/>
      <c r="AY189" s="646"/>
      <c r="AZ189" s="646"/>
      <c r="BA189" s="646"/>
      <c r="BB189" s="646"/>
      <c r="BC189" s="646"/>
      <c r="BD189" s="646"/>
      <c r="BE189" s="646"/>
      <c r="BF189" s="646"/>
      <c r="BG189" s="646"/>
      <c r="BH189" s="646"/>
      <c r="BI189" s="647"/>
      <c r="BJ189" s="647"/>
      <c r="BK189" s="647"/>
      <c r="BL189" s="647"/>
      <c r="BM189" s="647"/>
    </row>
    <row r="190" spans="2:65" s="640" customFormat="1" hidden="1">
      <c r="B190" s="1022"/>
      <c r="C190" s="1022"/>
      <c r="D190" s="1022"/>
      <c r="E190" s="1022"/>
      <c r="F190" s="1022"/>
      <c r="G190" s="1022"/>
      <c r="H190" s="1022"/>
      <c r="I190" s="1022"/>
      <c r="J190" s="1022"/>
      <c r="K190" s="1022"/>
      <c r="L190" s="1022"/>
      <c r="M190" s="1022"/>
      <c r="N190" s="1022"/>
      <c r="O190" s="1022"/>
      <c r="P190" s="1022"/>
      <c r="Q190" s="1022"/>
      <c r="R190" s="1022"/>
      <c r="S190" s="1022"/>
      <c r="T190" s="1022"/>
      <c r="U190" s="1022"/>
      <c r="W190" s="645"/>
      <c r="X190" s="1066"/>
      <c r="Y190" s="646"/>
      <c r="Z190" s="673"/>
      <c r="AA190" s="646"/>
      <c r="AB190" s="646"/>
      <c r="AC190" s="646"/>
      <c r="AD190" s="646"/>
      <c r="AE190" s="646"/>
      <c r="AF190" s="646"/>
      <c r="AG190" s="646"/>
      <c r="AH190" s="646"/>
      <c r="AI190" s="646"/>
      <c r="AJ190" s="646"/>
      <c r="AK190" s="646"/>
      <c r="AL190" s="646"/>
      <c r="AM190" s="646"/>
      <c r="AN190" s="646"/>
      <c r="AO190" s="646"/>
      <c r="AP190" s="646"/>
      <c r="AQ190" s="646"/>
      <c r="AR190" s="646"/>
      <c r="AS190" s="646"/>
      <c r="AT190" s="646"/>
      <c r="AU190" s="645"/>
      <c r="AV190" s="645"/>
      <c r="AW190" s="645"/>
      <c r="AX190" s="645"/>
      <c r="AY190" s="646"/>
      <c r="AZ190" s="646"/>
      <c r="BA190" s="646"/>
      <c r="BB190" s="646"/>
      <c r="BC190" s="646"/>
      <c r="BD190" s="646"/>
      <c r="BE190" s="646"/>
      <c r="BF190" s="646"/>
      <c r="BG190" s="646"/>
      <c r="BH190" s="646"/>
      <c r="BI190" s="647"/>
      <c r="BJ190" s="647"/>
      <c r="BK190" s="647"/>
      <c r="BL190" s="647"/>
      <c r="BM190" s="647"/>
    </row>
    <row r="191" spans="2:65" s="640" customFormat="1" hidden="1">
      <c r="B191" s="1022"/>
      <c r="C191" s="1022"/>
      <c r="D191" s="1022"/>
      <c r="E191" s="1022"/>
      <c r="F191" s="1022"/>
      <c r="G191" s="1022"/>
      <c r="H191" s="1022"/>
      <c r="I191" s="1022"/>
      <c r="J191" s="1022"/>
      <c r="K191" s="1022"/>
      <c r="L191" s="1022"/>
      <c r="M191" s="1022"/>
      <c r="N191" s="1022"/>
      <c r="O191" s="1022"/>
      <c r="P191" s="1022"/>
      <c r="Q191" s="1022"/>
      <c r="R191" s="1022"/>
      <c r="S191" s="1022"/>
      <c r="T191" s="1022"/>
      <c r="U191" s="1022"/>
      <c r="W191" s="645"/>
      <c r="X191" s="1066"/>
      <c r="Y191" s="646"/>
      <c r="Z191" s="673"/>
      <c r="AA191" s="646"/>
      <c r="AB191" s="646"/>
      <c r="AC191" s="646"/>
      <c r="AD191" s="646"/>
      <c r="AE191" s="646"/>
      <c r="AF191" s="646"/>
      <c r="AG191" s="646"/>
      <c r="AH191" s="646"/>
      <c r="AI191" s="646"/>
      <c r="AJ191" s="646"/>
      <c r="AK191" s="646"/>
      <c r="AL191" s="646"/>
      <c r="AM191" s="646"/>
      <c r="AN191" s="646"/>
      <c r="AO191" s="646"/>
      <c r="AP191" s="646"/>
      <c r="AQ191" s="646"/>
      <c r="AR191" s="646"/>
      <c r="AS191" s="646"/>
      <c r="AT191" s="646"/>
      <c r="AU191" s="645"/>
      <c r="AV191" s="645"/>
      <c r="AW191" s="645"/>
      <c r="AX191" s="645"/>
      <c r="AY191" s="646"/>
      <c r="AZ191" s="646"/>
      <c r="BA191" s="646"/>
      <c r="BB191" s="646"/>
      <c r="BC191" s="646"/>
      <c r="BD191" s="646"/>
      <c r="BE191" s="646"/>
      <c r="BF191" s="646"/>
      <c r="BG191" s="646"/>
      <c r="BH191" s="646"/>
      <c r="BI191" s="647"/>
      <c r="BJ191" s="647"/>
      <c r="BK191" s="647"/>
      <c r="BL191" s="647"/>
      <c r="BM191" s="647"/>
    </row>
    <row r="192" spans="2:65" s="640" customFormat="1" hidden="1">
      <c r="B192" s="1022"/>
      <c r="C192" s="1022"/>
      <c r="D192" s="1022"/>
      <c r="E192" s="1022"/>
      <c r="F192" s="1022"/>
      <c r="G192" s="1022"/>
      <c r="H192" s="1022"/>
      <c r="I192" s="1022"/>
      <c r="J192" s="1022"/>
      <c r="K192" s="1022"/>
      <c r="L192" s="1022"/>
      <c r="M192" s="1022"/>
      <c r="N192" s="1022"/>
      <c r="O192" s="1022"/>
      <c r="P192" s="1022"/>
      <c r="Q192" s="1022"/>
      <c r="R192" s="1022"/>
      <c r="S192" s="1022"/>
      <c r="T192" s="1022"/>
      <c r="U192" s="1022"/>
      <c r="W192" s="645"/>
      <c r="X192" s="1066"/>
      <c r="Y192" s="646"/>
      <c r="Z192" s="673"/>
      <c r="AA192" s="646"/>
      <c r="AB192" s="646"/>
      <c r="AC192" s="646"/>
      <c r="AD192" s="646"/>
      <c r="AE192" s="646"/>
      <c r="AF192" s="646"/>
      <c r="AG192" s="646"/>
      <c r="AH192" s="646"/>
      <c r="AI192" s="646"/>
      <c r="AJ192" s="646"/>
      <c r="AK192" s="646"/>
      <c r="AL192" s="646"/>
      <c r="AM192" s="646"/>
      <c r="AN192" s="646"/>
      <c r="AO192" s="646"/>
      <c r="AP192" s="646"/>
      <c r="AQ192" s="646"/>
      <c r="AR192" s="646"/>
      <c r="AS192" s="646"/>
      <c r="AT192" s="646"/>
      <c r="AU192" s="645"/>
      <c r="AV192" s="645"/>
      <c r="AW192" s="645"/>
      <c r="AX192" s="645"/>
      <c r="AY192" s="646"/>
      <c r="AZ192" s="646"/>
      <c r="BA192" s="646"/>
      <c r="BB192" s="646"/>
      <c r="BC192" s="646"/>
      <c r="BD192" s="646"/>
      <c r="BE192" s="646"/>
      <c r="BF192" s="646"/>
      <c r="BG192" s="646"/>
      <c r="BH192" s="646"/>
      <c r="BI192" s="647"/>
      <c r="BJ192" s="647"/>
      <c r="BK192" s="647"/>
      <c r="BL192" s="647"/>
      <c r="BM192" s="647"/>
    </row>
    <row r="193" spans="2:65" s="640" customFormat="1" hidden="1">
      <c r="B193" s="1022"/>
      <c r="C193" s="1022"/>
      <c r="D193" s="1022"/>
      <c r="E193" s="1022"/>
      <c r="F193" s="1022"/>
      <c r="G193" s="1022"/>
      <c r="H193" s="1022"/>
      <c r="I193" s="1022"/>
      <c r="J193" s="1022"/>
      <c r="K193" s="1022"/>
      <c r="L193" s="1022"/>
      <c r="M193" s="1022"/>
      <c r="N193" s="1022"/>
      <c r="O193" s="1022"/>
      <c r="P193" s="1022"/>
      <c r="Q193" s="1022"/>
      <c r="R193" s="1022"/>
      <c r="S193" s="1022"/>
      <c r="T193" s="1022"/>
      <c r="U193" s="1022"/>
      <c r="W193" s="645"/>
      <c r="X193" s="1066"/>
      <c r="Y193" s="646"/>
      <c r="Z193" s="673"/>
      <c r="AA193" s="646"/>
      <c r="AB193" s="646"/>
      <c r="AC193" s="646"/>
      <c r="AD193" s="646"/>
      <c r="AE193" s="646"/>
      <c r="AF193" s="646"/>
      <c r="AG193" s="646"/>
      <c r="AH193" s="646"/>
      <c r="AI193" s="646"/>
      <c r="AJ193" s="646"/>
      <c r="AK193" s="646"/>
      <c r="AL193" s="646"/>
      <c r="AM193" s="646"/>
      <c r="AN193" s="646"/>
      <c r="AO193" s="646"/>
      <c r="AP193" s="646"/>
      <c r="AQ193" s="646"/>
      <c r="AR193" s="646"/>
      <c r="AS193" s="646"/>
      <c r="AT193" s="646"/>
      <c r="AU193" s="645"/>
      <c r="AV193" s="645"/>
      <c r="AW193" s="645"/>
      <c r="AX193" s="645"/>
      <c r="AY193" s="646"/>
      <c r="AZ193" s="646"/>
      <c r="BA193" s="646"/>
      <c r="BB193" s="646"/>
      <c r="BC193" s="646"/>
      <c r="BD193" s="646"/>
      <c r="BE193" s="646"/>
      <c r="BF193" s="646"/>
      <c r="BG193" s="646"/>
      <c r="BH193" s="646"/>
      <c r="BI193" s="647"/>
      <c r="BJ193" s="647"/>
      <c r="BK193" s="647"/>
      <c r="BL193" s="647"/>
      <c r="BM193" s="647"/>
    </row>
    <row r="194" spans="2:65" s="640" customFormat="1" hidden="1">
      <c r="B194" s="1022"/>
      <c r="C194" s="1022"/>
      <c r="D194" s="1022"/>
      <c r="E194" s="1022"/>
      <c r="F194" s="1022"/>
      <c r="G194" s="1022"/>
      <c r="H194" s="1022"/>
      <c r="I194" s="1022"/>
      <c r="J194" s="1022"/>
      <c r="K194" s="1022"/>
      <c r="L194" s="1022"/>
      <c r="M194" s="1022"/>
      <c r="N194" s="1022"/>
      <c r="O194" s="1022"/>
      <c r="P194" s="1022"/>
      <c r="Q194" s="1022"/>
      <c r="R194" s="1022"/>
      <c r="S194" s="1022"/>
      <c r="T194" s="1022"/>
      <c r="U194" s="1022"/>
      <c r="W194" s="645"/>
      <c r="X194" s="1066"/>
      <c r="Y194" s="646"/>
      <c r="Z194" s="673"/>
      <c r="AA194" s="646"/>
      <c r="AB194" s="646"/>
      <c r="AC194" s="646"/>
      <c r="AD194" s="646"/>
      <c r="AE194" s="646"/>
      <c r="AF194" s="646"/>
      <c r="AG194" s="646"/>
      <c r="AH194" s="646"/>
      <c r="AI194" s="646"/>
      <c r="AJ194" s="646"/>
      <c r="AK194" s="646"/>
      <c r="AL194" s="646"/>
      <c r="AM194" s="646"/>
      <c r="AN194" s="646"/>
      <c r="AO194" s="646"/>
      <c r="AP194" s="646"/>
      <c r="AQ194" s="646"/>
      <c r="AR194" s="646"/>
      <c r="AS194" s="646"/>
      <c r="AT194" s="646"/>
      <c r="AU194" s="645"/>
      <c r="AV194" s="645"/>
      <c r="AW194" s="645"/>
      <c r="AX194" s="645"/>
      <c r="AY194" s="646"/>
      <c r="AZ194" s="646"/>
      <c r="BA194" s="646"/>
      <c r="BB194" s="646"/>
      <c r="BC194" s="646"/>
      <c r="BD194" s="646"/>
      <c r="BE194" s="646"/>
      <c r="BF194" s="646"/>
      <c r="BG194" s="646"/>
      <c r="BH194" s="646"/>
      <c r="BI194" s="647"/>
      <c r="BJ194" s="647"/>
      <c r="BK194" s="647"/>
      <c r="BL194" s="647"/>
      <c r="BM194" s="647"/>
    </row>
    <row r="195" spans="2:65" s="640" customFormat="1" hidden="1">
      <c r="B195" s="1022"/>
      <c r="C195" s="1022"/>
      <c r="D195" s="1022"/>
      <c r="E195" s="1022"/>
      <c r="F195" s="1022"/>
      <c r="G195" s="1022"/>
      <c r="H195" s="1022"/>
      <c r="I195" s="1022"/>
      <c r="J195" s="1022"/>
      <c r="K195" s="1022"/>
      <c r="L195" s="1022"/>
      <c r="M195" s="1022"/>
      <c r="N195" s="1022"/>
      <c r="O195" s="1022"/>
      <c r="P195" s="1022"/>
      <c r="Q195" s="1022"/>
      <c r="R195" s="1022"/>
      <c r="S195" s="1022"/>
      <c r="T195" s="1022"/>
      <c r="U195" s="1022"/>
      <c r="W195" s="645"/>
      <c r="X195" s="1066"/>
      <c r="Y195" s="646"/>
      <c r="Z195" s="673"/>
      <c r="AA195" s="646"/>
      <c r="AB195" s="646"/>
      <c r="AC195" s="646"/>
      <c r="AD195" s="646"/>
      <c r="AE195" s="646"/>
      <c r="AF195" s="646"/>
      <c r="AG195" s="646"/>
      <c r="AH195" s="646"/>
      <c r="AI195" s="646"/>
      <c r="AJ195" s="646"/>
      <c r="AK195" s="646"/>
      <c r="AL195" s="646"/>
      <c r="AM195" s="646"/>
      <c r="AN195" s="646"/>
      <c r="AO195" s="646"/>
      <c r="AP195" s="646"/>
      <c r="AQ195" s="646"/>
      <c r="AR195" s="646"/>
      <c r="AS195" s="646"/>
      <c r="AT195" s="646"/>
      <c r="AU195" s="645"/>
      <c r="AV195" s="645"/>
      <c r="AW195" s="645"/>
      <c r="AX195" s="645"/>
      <c r="AY195" s="646"/>
      <c r="AZ195" s="646"/>
      <c r="BA195" s="646"/>
      <c r="BB195" s="646"/>
      <c r="BC195" s="646"/>
      <c r="BD195" s="646"/>
      <c r="BE195" s="646"/>
      <c r="BF195" s="646"/>
      <c r="BG195" s="646"/>
      <c r="BH195" s="646"/>
      <c r="BI195" s="647"/>
      <c r="BJ195" s="647"/>
      <c r="BK195" s="647"/>
      <c r="BL195" s="647"/>
      <c r="BM195" s="647"/>
    </row>
    <row r="196" spans="2:65" s="640" customFormat="1" hidden="1">
      <c r="B196" s="1022"/>
      <c r="C196" s="1022"/>
      <c r="D196" s="1022"/>
      <c r="E196" s="1022"/>
      <c r="F196" s="1022"/>
      <c r="G196" s="1022"/>
      <c r="H196" s="1022"/>
      <c r="I196" s="1022"/>
      <c r="J196" s="1022"/>
      <c r="K196" s="1022"/>
      <c r="L196" s="1022"/>
      <c r="M196" s="1022"/>
      <c r="N196" s="1022"/>
      <c r="O196" s="1022"/>
      <c r="P196" s="1022"/>
      <c r="Q196" s="1022"/>
      <c r="R196" s="1022"/>
      <c r="S196" s="1022"/>
      <c r="T196" s="1022"/>
      <c r="U196" s="1022"/>
      <c r="W196" s="645"/>
      <c r="X196" s="1066"/>
      <c r="Y196" s="646"/>
      <c r="Z196" s="673"/>
      <c r="AA196" s="646"/>
      <c r="AB196" s="646"/>
      <c r="AC196" s="646"/>
      <c r="AD196" s="646"/>
      <c r="AE196" s="646"/>
      <c r="AF196" s="646"/>
      <c r="AG196" s="646"/>
      <c r="AH196" s="646"/>
      <c r="AI196" s="646"/>
      <c r="AJ196" s="646"/>
      <c r="AK196" s="646"/>
      <c r="AL196" s="646"/>
      <c r="AM196" s="646"/>
      <c r="AN196" s="646"/>
      <c r="AO196" s="646"/>
      <c r="AP196" s="646"/>
      <c r="AQ196" s="646"/>
      <c r="AR196" s="646"/>
      <c r="AS196" s="646"/>
      <c r="AT196" s="646"/>
      <c r="AU196" s="645"/>
      <c r="AV196" s="645"/>
      <c r="AW196" s="645"/>
      <c r="AX196" s="645"/>
      <c r="AY196" s="646"/>
      <c r="AZ196" s="646"/>
      <c r="BA196" s="646"/>
      <c r="BB196" s="646"/>
      <c r="BC196" s="646"/>
      <c r="BD196" s="646"/>
      <c r="BE196" s="646"/>
      <c r="BF196" s="646"/>
      <c r="BG196" s="646"/>
      <c r="BH196" s="646"/>
      <c r="BI196" s="647"/>
      <c r="BJ196" s="647"/>
      <c r="BK196" s="647"/>
      <c r="BL196" s="647"/>
      <c r="BM196" s="647"/>
    </row>
    <row r="197" spans="2:65" s="640" customFormat="1" hidden="1">
      <c r="B197" s="1022"/>
      <c r="C197" s="1022"/>
      <c r="D197" s="1022"/>
      <c r="E197" s="1022"/>
      <c r="F197" s="1022"/>
      <c r="G197" s="1022"/>
      <c r="H197" s="1022"/>
      <c r="I197" s="1022"/>
      <c r="J197" s="1022"/>
      <c r="K197" s="1022"/>
      <c r="L197" s="1022"/>
      <c r="M197" s="1022"/>
      <c r="N197" s="1022"/>
      <c r="O197" s="1022"/>
      <c r="P197" s="1022"/>
      <c r="Q197" s="1022"/>
      <c r="R197" s="1022"/>
      <c r="S197" s="1022"/>
      <c r="T197" s="1022"/>
      <c r="U197" s="1022"/>
      <c r="W197" s="645"/>
      <c r="X197" s="1066"/>
      <c r="Y197" s="646"/>
      <c r="Z197" s="673"/>
      <c r="AA197" s="646"/>
      <c r="AB197" s="646"/>
      <c r="AC197" s="646"/>
      <c r="AD197" s="646"/>
      <c r="AE197" s="646"/>
      <c r="AF197" s="646"/>
      <c r="AG197" s="646"/>
      <c r="AH197" s="646"/>
      <c r="AI197" s="646"/>
      <c r="AJ197" s="646"/>
      <c r="AK197" s="646"/>
      <c r="AL197" s="646"/>
      <c r="AM197" s="646"/>
      <c r="AN197" s="646"/>
      <c r="AO197" s="646"/>
      <c r="AP197" s="646"/>
      <c r="AQ197" s="646"/>
      <c r="AR197" s="646"/>
      <c r="AS197" s="646"/>
      <c r="AT197" s="646"/>
      <c r="AU197" s="645"/>
      <c r="AV197" s="645"/>
      <c r="AW197" s="645"/>
      <c r="AX197" s="645"/>
      <c r="AY197" s="646"/>
      <c r="AZ197" s="646"/>
      <c r="BA197" s="646"/>
      <c r="BB197" s="646"/>
      <c r="BC197" s="646"/>
      <c r="BD197" s="646"/>
      <c r="BE197" s="646"/>
      <c r="BF197" s="646"/>
      <c r="BG197" s="646"/>
      <c r="BH197" s="646"/>
      <c r="BI197" s="647"/>
      <c r="BJ197" s="647"/>
      <c r="BK197" s="647"/>
      <c r="BL197" s="647"/>
      <c r="BM197" s="647"/>
    </row>
    <row r="198" spans="2:65" s="640" customFormat="1" hidden="1">
      <c r="B198" s="1022"/>
      <c r="C198" s="1022"/>
      <c r="D198" s="1022"/>
      <c r="E198" s="1022"/>
      <c r="F198" s="1022"/>
      <c r="G198" s="1022"/>
      <c r="H198" s="1022"/>
      <c r="I198" s="1022"/>
      <c r="J198" s="1022"/>
      <c r="K198" s="1022"/>
      <c r="L198" s="1022"/>
      <c r="M198" s="1022"/>
      <c r="N198" s="1022"/>
      <c r="O198" s="1022"/>
      <c r="P198" s="1022"/>
      <c r="Q198" s="1022"/>
      <c r="R198" s="1022"/>
      <c r="S198" s="1022"/>
      <c r="T198" s="1022"/>
      <c r="U198" s="1022"/>
      <c r="W198" s="645"/>
      <c r="X198" s="1066"/>
      <c r="Y198" s="646"/>
      <c r="Z198" s="673"/>
      <c r="AA198" s="646"/>
      <c r="AB198" s="646"/>
      <c r="AC198" s="646"/>
      <c r="AD198" s="646"/>
      <c r="AE198" s="646"/>
      <c r="AF198" s="646"/>
      <c r="AG198" s="646"/>
      <c r="AH198" s="646"/>
      <c r="AI198" s="646"/>
      <c r="AJ198" s="646"/>
      <c r="AK198" s="646"/>
      <c r="AL198" s="646"/>
      <c r="AM198" s="646"/>
      <c r="AN198" s="646"/>
      <c r="AO198" s="646"/>
      <c r="AP198" s="646"/>
      <c r="AQ198" s="646"/>
      <c r="AR198" s="646"/>
      <c r="AS198" s="646"/>
      <c r="AT198" s="646"/>
      <c r="AU198" s="645"/>
      <c r="AV198" s="645"/>
      <c r="AW198" s="645"/>
      <c r="AX198" s="645"/>
      <c r="AY198" s="646"/>
      <c r="AZ198" s="646"/>
      <c r="BA198" s="646"/>
      <c r="BB198" s="646"/>
      <c r="BC198" s="646"/>
      <c r="BD198" s="646"/>
      <c r="BE198" s="646"/>
      <c r="BF198" s="646"/>
      <c r="BG198" s="646"/>
      <c r="BH198" s="646"/>
      <c r="BI198" s="647"/>
      <c r="BJ198" s="647"/>
      <c r="BK198" s="647"/>
      <c r="BL198" s="647"/>
      <c r="BM198" s="647"/>
    </row>
    <row r="199" spans="2:65" s="640" customFormat="1" hidden="1">
      <c r="B199" s="1022"/>
      <c r="C199" s="1022"/>
      <c r="D199" s="1022"/>
      <c r="E199" s="1022"/>
      <c r="F199" s="1022"/>
      <c r="G199" s="1022"/>
      <c r="H199" s="1022"/>
      <c r="I199" s="1022"/>
      <c r="J199" s="1022"/>
      <c r="K199" s="1022"/>
      <c r="L199" s="1022"/>
      <c r="M199" s="1022"/>
      <c r="N199" s="1022"/>
      <c r="O199" s="1022"/>
      <c r="P199" s="1022"/>
      <c r="Q199" s="1022"/>
      <c r="R199" s="1022"/>
      <c r="S199" s="1022"/>
      <c r="T199" s="1022"/>
      <c r="U199" s="1022"/>
      <c r="W199" s="645"/>
      <c r="X199" s="1066"/>
      <c r="Y199" s="646"/>
      <c r="Z199" s="673"/>
      <c r="AA199" s="646"/>
      <c r="AB199" s="646"/>
      <c r="AC199" s="646"/>
      <c r="AD199" s="646"/>
      <c r="AE199" s="646"/>
      <c r="AF199" s="646"/>
      <c r="AG199" s="646"/>
      <c r="AH199" s="646"/>
      <c r="AI199" s="646"/>
      <c r="AJ199" s="646"/>
      <c r="AK199" s="646"/>
      <c r="AL199" s="646"/>
      <c r="AM199" s="646"/>
      <c r="AN199" s="646"/>
      <c r="AO199" s="646"/>
      <c r="AP199" s="646"/>
      <c r="AQ199" s="646"/>
      <c r="AR199" s="646"/>
      <c r="AS199" s="646"/>
      <c r="AT199" s="646"/>
      <c r="AU199" s="645"/>
      <c r="AV199" s="645"/>
      <c r="AW199" s="645"/>
      <c r="AX199" s="645"/>
      <c r="AY199" s="646"/>
      <c r="AZ199" s="646"/>
      <c r="BA199" s="646"/>
      <c r="BB199" s="646"/>
      <c r="BC199" s="646"/>
      <c r="BD199" s="646"/>
      <c r="BE199" s="646"/>
      <c r="BF199" s="646"/>
      <c r="BG199" s="646"/>
      <c r="BH199" s="646"/>
      <c r="BI199" s="647"/>
      <c r="BJ199" s="647"/>
      <c r="BK199" s="647"/>
      <c r="BL199" s="647"/>
      <c r="BM199" s="647"/>
    </row>
    <row r="200" spans="2:65" s="640" customFormat="1" hidden="1">
      <c r="B200" s="1022"/>
      <c r="C200" s="1022"/>
      <c r="D200" s="1022"/>
      <c r="E200" s="1022"/>
      <c r="F200" s="1022"/>
      <c r="G200" s="1022"/>
      <c r="H200" s="1022"/>
      <c r="I200" s="1022"/>
      <c r="J200" s="1022"/>
      <c r="K200" s="1022"/>
      <c r="L200" s="1022"/>
      <c r="M200" s="1022"/>
      <c r="N200" s="1022"/>
      <c r="O200" s="1022"/>
      <c r="P200" s="1022"/>
      <c r="Q200" s="1022"/>
      <c r="R200" s="1022"/>
      <c r="S200" s="1022"/>
      <c r="T200" s="1022"/>
      <c r="U200" s="1022"/>
      <c r="W200" s="645"/>
      <c r="X200" s="1066"/>
      <c r="Y200" s="646"/>
      <c r="Z200" s="673"/>
      <c r="AA200" s="646"/>
      <c r="AB200" s="646"/>
      <c r="AC200" s="646"/>
      <c r="AD200" s="646"/>
      <c r="AE200" s="646"/>
      <c r="AF200" s="646"/>
      <c r="AG200" s="646"/>
      <c r="AH200" s="646"/>
      <c r="AI200" s="646"/>
      <c r="AJ200" s="646"/>
      <c r="AK200" s="646"/>
      <c r="AL200" s="646"/>
      <c r="AM200" s="646"/>
      <c r="AN200" s="646"/>
      <c r="AO200" s="646"/>
      <c r="AP200" s="646"/>
      <c r="AQ200" s="646"/>
      <c r="AR200" s="646"/>
      <c r="AS200" s="646"/>
      <c r="AT200" s="646"/>
      <c r="AU200" s="645"/>
      <c r="AV200" s="645"/>
      <c r="AW200" s="645"/>
      <c r="AX200" s="645"/>
      <c r="AY200" s="646"/>
      <c r="AZ200" s="646"/>
      <c r="BA200" s="646"/>
      <c r="BB200" s="646"/>
      <c r="BC200" s="646"/>
      <c r="BD200" s="646"/>
      <c r="BE200" s="646"/>
      <c r="BF200" s="646"/>
      <c r="BG200" s="646"/>
      <c r="BH200" s="646"/>
      <c r="BI200" s="647"/>
      <c r="BJ200" s="647"/>
      <c r="BK200" s="647"/>
      <c r="BL200" s="647"/>
      <c r="BM200" s="647"/>
    </row>
    <row r="201" spans="2:65" s="640" customFormat="1" hidden="1">
      <c r="B201" s="1022"/>
      <c r="C201" s="1022"/>
      <c r="D201" s="1022"/>
      <c r="E201" s="1022"/>
      <c r="F201" s="1022"/>
      <c r="G201" s="1022"/>
      <c r="H201" s="1022"/>
      <c r="I201" s="1022"/>
      <c r="J201" s="1022"/>
      <c r="K201" s="1022"/>
      <c r="L201" s="1022"/>
      <c r="M201" s="1022"/>
      <c r="N201" s="1022"/>
      <c r="O201" s="1022"/>
      <c r="P201" s="1022"/>
      <c r="Q201" s="1022"/>
      <c r="R201" s="1022"/>
      <c r="S201" s="1022"/>
      <c r="T201" s="1022"/>
      <c r="U201" s="1022"/>
      <c r="W201" s="645"/>
      <c r="X201" s="1066"/>
      <c r="Y201" s="646"/>
      <c r="Z201" s="673"/>
      <c r="AA201" s="646"/>
      <c r="AB201" s="646"/>
      <c r="AC201" s="646"/>
      <c r="AD201" s="646"/>
      <c r="AE201" s="646"/>
      <c r="AF201" s="646"/>
      <c r="AG201" s="646"/>
      <c r="AH201" s="646"/>
      <c r="AI201" s="646"/>
      <c r="AJ201" s="646"/>
      <c r="AK201" s="646"/>
      <c r="AL201" s="646"/>
      <c r="AM201" s="646"/>
      <c r="AN201" s="646"/>
      <c r="AO201" s="646"/>
      <c r="AP201" s="646"/>
      <c r="AQ201" s="646"/>
      <c r="AR201" s="646"/>
      <c r="AS201" s="646"/>
      <c r="AT201" s="646"/>
      <c r="AU201" s="645"/>
      <c r="AV201" s="645"/>
      <c r="AW201" s="645"/>
      <c r="AX201" s="645"/>
      <c r="AY201" s="646"/>
      <c r="AZ201" s="646"/>
      <c r="BA201" s="646"/>
      <c r="BB201" s="646"/>
      <c r="BC201" s="646"/>
      <c r="BD201" s="646"/>
      <c r="BE201" s="646"/>
      <c r="BF201" s="646"/>
      <c r="BG201" s="646"/>
      <c r="BH201" s="646"/>
      <c r="BI201" s="647"/>
      <c r="BJ201" s="647"/>
      <c r="BK201" s="647"/>
      <c r="BL201" s="647"/>
      <c r="BM201" s="647"/>
    </row>
    <row r="202" spans="2:65" s="640" customFormat="1" hidden="1">
      <c r="B202" s="1022"/>
      <c r="C202" s="1022"/>
      <c r="D202" s="1022"/>
      <c r="E202" s="1022"/>
      <c r="F202" s="1022"/>
      <c r="G202" s="1022"/>
      <c r="H202" s="1022"/>
      <c r="I202" s="1022"/>
      <c r="J202" s="1022"/>
      <c r="K202" s="1022"/>
      <c r="L202" s="1022"/>
      <c r="M202" s="1022"/>
      <c r="N202" s="1022"/>
      <c r="O202" s="1022"/>
      <c r="P202" s="1022"/>
      <c r="Q202" s="1022"/>
      <c r="R202" s="1022"/>
      <c r="S202" s="1022"/>
      <c r="T202" s="1022"/>
      <c r="U202" s="1022"/>
      <c r="W202" s="645"/>
      <c r="X202" s="1066"/>
      <c r="Y202" s="646"/>
      <c r="Z202" s="673"/>
      <c r="AA202" s="646"/>
      <c r="AB202" s="646"/>
      <c r="AC202" s="646"/>
      <c r="AD202" s="646"/>
      <c r="AE202" s="646"/>
      <c r="AF202" s="646"/>
      <c r="AG202" s="646"/>
      <c r="AH202" s="646"/>
      <c r="AI202" s="646"/>
      <c r="AJ202" s="646"/>
      <c r="AK202" s="646"/>
      <c r="AL202" s="646"/>
      <c r="AM202" s="646"/>
      <c r="AN202" s="646"/>
      <c r="AO202" s="646"/>
      <c r="AP202" s="646"/>
      <c r="AQ202" s="646"/>
      <c r="AR202" s="646"/>
      <c r="AS202" s="646"/>
      <c r="AT202" s="646"/>
      <c r="AU202" s="645"/>
      <c r="AV202" s="645"/>
      <c r="AW202" s="645"/>
      <c r="AX202" s="645"/>
      <c r="AY202" s="646"/>
      <c r="AZ202" s="646"/>
      <c r="BA202" s="646"/>
      <c r="BB202" s="646"/>
      <c r="BC202" s="646"/>
      <c r="BD202" s="646"/>
      <c r="BE202" s="646"/>
      <c r="BF202" s="646"/>
      <c r="BG202" s="646"/>
      <c r="BH202" s="646"/>
      <c r="BI202" s="647"/>
      <c r="BJ202" s="647"/>
      <c r="BK202" s="647"/>
      <c r="BL202" s="647"/>
      <c r="BM202" s="647"/>
    </row>
    <row r="203" spans="2:65" s="640" customFormat="1" hidden="1">
      <c r="B203" s="1022"/>
      <c r="C203" s="1022"/>
      <c r="D203" s="1022"/>
      <c r="E203" s="1022"/>
      <c r="F203" s="1022"/>
      <c r="G203" s="1022"/>
      <c r="H203" s="1022"/>
      <c r="I203" s="1022"/>
      <c r="J203" s="1022"/>
      <c r="K203" s="1022"/>
      <c r="L203" s="1022"/>
      <c r="M203" s="1022"/>
      <c r="N203" s="1022"/>
      <c r="O203" s="1022"/>
      <c r="P203" s="1022"/>
      <c r="Q203" s="1022"/>
      <c r="R203" s="1022"/>
      <c r="S203" s="1022"/>
      <c r="T203" s="1022"/>
      <c r="U203" s="1022"/>
      <c r="W203" s="645"/>
      <c r="X203" s="1066"/>
      <c r="Y203" s="646"/>
      <c r="Z203" s="673"/>
      <c r="AA203" s="646"/>
      <c r="AB203" s="646"/>
      <c r="AC203" s="646"/>
      <c r="AD203" s="646"/>
      <c r="AE203" s="646"/>
      <c r="AF203" s="646"/>
      <c r="AG203" s="646"/>
      <c r="AH203" s="646"/>
      <c r="AI203" s="646"/>
      <c r="AJ203" s="646"/>
      <c r="AK203" s="646"/>
      <c r="AL203" s="646"/>
      <c r="AM203" s="646"/>
      <c r="AN203" s="646"/>
      <c r="AO203" s="646"/>
      <c r="AP203" s="646"/>
      <c r="AQ203" s="646"/>
      <c r="AR203" s="646"/>
      <c r="AS203" s="646"/>
      <c r="AT203" s="646"/>
      <c r="AU203" s="645"/>
      <c r="AV203" s="645"/>
      <c r="AW203" s="645"/>
      <c r="AX203" s="645"/>
      <c r="AY203" s="646"/>
      <c r="AZ203" s="646"/>
      <c r="BA203" s="646"/>
      <c r="BB203" s="646"/>
      <c r="BC203" s="646"/>
      <c r="BD203" s="646"/>
      <c r="BE203" s="646"/>
      <c r="BF203" s="646"/>
      <c r="BG203" s="646"/>
      <c r="BH203" s="646"/>
      <c r="BI203" s="647"/>
      <c r="BJ203" s="647"/>
      <c r="BK203" s="647"/>
      <c r="BL203" s="647"/>
      <c r="BM203" s="647"/>
    </row>
    <row r="204" spans="2:65" s="640" customFormat="1" hidden="1">
      <c r="B204" s="1022"/>
      <c r="C204" s="1022"/>
      <c r="D204" s="1022"/>
      <c r="E204" s="1022"/>
      <c r="F204" s="1022"/>
      <c r="G204" s="1022"/>
      <c r="H204" s="1022"/>
      <c r="I204" s="1022"/>
      <c r="J204" s="1022"/>
      <c r="K204" s="1022"/>
      <c r="L204" s="1022"/>
      <c r="M204" s="1022"/>
      <c r="N204" s="1022"/>
      <c r="O204" s="1022"/>
      <c r="P204" s="1022"/>
      <c r="Q204" s="1022"/>
      <c r="R204" s="1022"/>
      <c r="S204" s="1022"/>
      <c r="T204" s="1022"/>
      <c r="U204" s="1022"/>
      <c r="W204" s="645"/>
      <c r="X204" s="1066"/>
      <c r="Y204" s="646"/>
      <c r="Z204" s="673"/>
      <c r="AA204" s="646"/>
      <c r="AB204" s="646"/>
      <c r="AC204" s="646"/>
      <c r="AD204" s="646"/>
      <c r="AE204" s="646"/>
      <c r="AF204" s="646"/>
      <c r="AG204" s="646"/>
      <c r="AH204" s="646"/>
      <c r="AI204" s="646"/>
      <c r="AJ204" s="646"/>
      <c r="AK204" s="646"/>
      <c r="AL204" s="646"/>
      <c r="AM204" s="646"/>
      <c r="AN204" s="646"/>
      <c r="AO204" s="646"/>
      <c r="AP204" s="646"/>
      <c r="AQ204" s="646"/>
      <c r="AR204" s="646"/>
      <c r="AS204" s="646"/>
      <c r="AT204" s="646"/>
      <c r="AU204" s="645"/>
      <c r="AV204" s="645"/>
      <c r="AW204" s="645"/>
      <c r="AX204" s="645"/>
      <c r="AY204" s="646"/>
      <c r="AZ204" s="646"/>
      <c r="BA204" s="646"/>
      <c r="BB204" s="646"/>
      <c r="BC204" s="646"/>
      <c r="BD204" s="646"/>
      <c r="BE204" s="646"/>
      <c r="BF204" s="646"/>
      <c r="BG204" s="646"/>
      <c r="BH204" s="646"/>
      <c r="BI204" s="647"/>
      <c r="BJ204" s="647"/>
      <c r="BK204" s="647"/>
      <c r="BL204" s="647"/>
      <c r="BM204" s="647"/>
    </row>
    <row r="205" spans="2:65" s="640" customFormat="1" hidden="1">
      <c r="B205" s="1022"/>
      <c r="C205" s="1022"/>
      <c r="D205" s="1022"/>
      <c r="E205" s="1022"/>
      <c r="F205" s="1022"/>
      <c r="G205" s="1022"/>
      <c r="H205" s="1022"/>
      <c r="I205" s="1022"/>
      <c r="J205" s="1022"/>
      <c r="K205" s="1022"/>
      <c r="L205" s="1022"/>
      <c r="M205" s="1022"/>
      <c r="N205" s="1022"/>
      <c r="O205" s="1022"/>
      <c r="P205" s="1022"/>
      <c r="Q205" s="1022"/>
      <c r="R205" s="1022"/>
      <c r="S205" s="1022"/>
      <c r="T205" s="1022"/>
      <c r="U205" s="1022"/>
      <c r="W205" s="645"/>
      <c r="X205" s="1066"/>
      <c r="Y205" s="646"/>
      <c r="Z205" s="673"/>
      <c r="AA205" s="646"/>
      <c r="AB205" s="646"/>
      <c r="AC205" s="646"/>
      <c r="AD205" s="646"/>
      <c r="AE205" s="646"/>
      <c r="AF205" s="646"/>
      <c r="AG205" s="646"/>
      <c r="AH205" s="646"/>
      <c r="AI205" s="646"/>
      <c r="AJ205" s="646"/>
      <c r="AK205" s="646"/>
      <c r="AL205" s="646"/>
      <c r="AM205" s="646"/>
      <c r="AN205" s="646"/>
      <c r="AO205" s="646"/>
      <c r="AP205" s="646"/>
      <c r="AQ205" s="646"/>
      <c r="AR205" s="646"/>
      <c r="AS205" s="646"/>
      <c r="AT205" s="646"/>
      <c r="AU205" s="645"/>
      <c r="AV205" s="645"/>
      <c r="AW205" s="645"/>
      <c r="AX205" s="645"/>
      <c r="AY205" s="646"/>
      <c r="AZ205" s="646"/>
      <c r="BA205" s="646"/>
      <c r="BB205" s="646"/>
      <c r="BC205" s="646"/>
      <c r="BD205" s="646"/>
      <c r="BE205" s="646"/>
      <c r="BF205" s="646"/>
      <c r="BG205" s="646"/>
      <c r="BH205" s="646"/>
      <c r="BI205" s="647"/>
      <c r="BJ205" s="647"/>
      <c r="BK205" s="647"/>
      <c r="BL205" s="647"/>
      <c r="BM205" s="647"/>
    </row>
    <row r="206" spans="2:65" s="640" customFormat="1" hidden="1">
      <c r="B206" s="1022"/>
      <c r="C206" s="1022"/>
      <c r="D206" s="1022"/>
      <c r="E206" s="1022"/>
      <c r="F206" s="1022"/>
      <c r="G206" s="1022"/>
      <c r="H206" s="1022"/>
      <c r="I206" s="1022"/>
      <c r="J206" s="1022"/>
      <c r="K206" s="1022"/>
      <c r="L206" s="1022"/>
      <c r="M206" s="1022"/>
      <c r="N206" s="1022"/>
      <c r="O206" s="1022"/>
      <c r="P206" s="1022"/>
      <c r="Q206" s="1022"/>
      <c r="R206" s="1022"/>
      <c r="S206" s="1022"/>
      <c r="T206" s="1022"/>
      <c r="U206" s="1022"/>
      <c r="W206" s="645"/>
      <c r="X206" s="1066"/>
      <c r="Y206" s="646"/>
      <c r="Z206" s="673"/>
      <c r="AA206" s="646"/>
      <c r="AB206" s="646"/>
      <c r="AC206" s="646"/>
      <c r="AD206" s="646"/>
      <c r="AE206" s="646"/>
      <c r="AF206" s="646"/>
      <c r="AG206" s="646"/>
      <c r="AH206" s="646"/>
      <c r="AI206" s="646"/>
      <c r="AJ206" s="646"/>
      <c r="AK206" s="646"/>
      <c r="AL206" s="646"/>
      <c r="AM206" s="646"/>
      <c r="AN206" s="646"/>
      <c r="AO206" s="646"/>
      <c r="AP206" s="646"/>
      <c r="AQ206" s="646"/>
      <c r="AR206" s="646"/>
      <c r="AS206" s="646"/>
      <c r="AT206" s="646"/>
      <c r="AU206" s="645"/>
      <c r="AV206" s="645"/>
      <c r="AW206" s="645"/>
      <c r="AX206" s="645"/>
      <c r="AY206" s="646"/>
      <c r="AZ206" s="646"/>
      <c r="BA206" s="646"/>
      <c r="BB206" s="646"/>
      <c r="BC206" s="646"/>
      <c r="BD206" s="646"/>
      <c r="BE206" s="646"/>
      <c r="BF206" s="646"/>
      <c r="BG206" s="646"/>
      <c r="BH206" s="646"/>
      <c r="BI206" s="647"/>
      <c r="BJ206" s="647"/>
      <c r="BK206" s="647"/>
      <c r="BL206" s="647"/>
      <c r="BM206" s="647"/>
    </row>
    <row r="207" spans="2:65" s="640" customFormat="1" hidden="1">
      <c r="B207" s="1022"/>
      <c r="C207" s="1022"/>
      <c r="D207" s="1022"/>
      <c r="E207" s="1022"/>
      <c r="F207" s="1022"/>
      <c r="G207" s="1022"/>
      <c r="H207" s="1022"/>
      <c r="I207" s="1022"/>
      <c r="J207" s="1022"/>
      <c r="K207" s="1022"/>
      <c r="L207" s="1022"/>
      <c r="M207" s="1022"/>
      <c r="N207" s="1022"/>
      <c r="O207" s="1022"/>
      <c r="P207" s="1022"/>
      <c r="Q207" s="1022"/>
      <c r="R207" s="1022"/>
      <c r="S207" s="1022"/>
      <c r="T207" s="1022"/>
      <c r="U207" s="1022"/>
      <c r="W207" s="645"/>
      <c r="X207" s="1066"/>
      <c r="Y207" s="646"/>
      <c r="Z207" s="673"/>
      <c r="AA207" s="646"/>
      <c r="AB207" s="646"/>
      <c r="AC207" s="646"/>
      <c r="AD207" s="646"/>
      <c r="AE207" s="646"/>
      <c r="AF207" s="646"/>
      <c r="AG207" s="646"/>
      <c r="AH207" s="646"/>
      <c r="AI207" s="646"/>
      <c r="AJ207" s="646"/>
      <c r="AK207" s="646"/>
      <c r="AL207" s="646"/>
      <c r="AM207" s="646"/>
      <c r="AN207" s="646"/>
      <c r="AO207" s="646"/>
      <c r="AP207" s="646"/>
      <c r="AQ207" s="646"/>
      <c r="AR207" s="646"/>
      <c r="AS207" s="646"/>
      <c r="AT207" s="646"/>
      <c r="AU207" s="645"/>
      <c r="AV207" s="645"/>
      <c r="AW207" s="645"/>
      <c r="AX207" s="645"/>
      <c r="AY207" s="646"/>
      <c r="AZ207" s="646"/>
      <c r="BA207" s="646"/>
      <c r="BB207" s="646"/>
      <c r="BC207" s="646"/>
      <c r="BD207" s="646"/>
      <c r="BE207" s="646"/>
      <c r="BF207" s="646"/>
      <c r="BG207" s="646"/>
      <c r="BH207" s="646"/>
      <c r="BI207" s="647"/>
      <c r="BJ207" s="647"/>
      <c r="BK207" s="647"/>
      <c r="BL207" s="647"/>
      <c r="BM207" s="647"/>
    </row>
    <row r="208" spans="2:65" s="640" customFormat="1" hidden="1">
      <c r="B208" s="1022"/>
      <c r="C208" s="1022"/>
      <c r="D208" s="1022"/>
      <c r="E208" s="1022"/>
      <c r="F208" s="1022"/>
      <c r="G208" s="1022"/>
      <c r="H208" s="1022"/>
      <c r="I208" s="1022"/>
      <c r="J208" s="1022"/>
      <c r="K208" s="1022"/>
      <c r="L208" s="1022"/>
      <c r="M208" s="1022"/>
      <c r="N208" s="1022"/>
      <c r="O208" s="1022"/>
      <c r="P208" s="1022"/>
      <c r="Q208" s="1022"/>
      <c r="R208" s="1022"/>
      <c r="S208" s="1022"/>
      <c r="T208" s="1022"/>
      <c r="U208" s="1022"/>
      <c r="W208" s="645"/>
      <c r="X208" s="1066"/>
      <c r="Y208" s="646"/>
      <c r="Z208" s="673"/>
      <c r="AA208" s="646"/>
      <c r="AB208" s="646"/>
      <c r="AC208" s="646"/>
      <c r="AD208" s="646"/>
      <c r="AE208" s="646"/>
      <c r="AF208" s="646"/>
      <c r="AG208" s="646"/>
      <c r="AH208" s="646"/>
      <c r="AI208" s="646"/>
      <c r="AJ208" s="646"/>
      <c r="AK208" s="646"/>
      <c r="AL208" s="646"/>
      <c r="AM208" s="646"/>
      <c r="AN208" s="646"/>
      <c r="AO208" s="646"/>
      <c r="AP208" s="646"/>
      <c r="AQ208" s="646"/>
      <c r="AR208" s="646"/>
      <c r="AS208" s="646"/>
      <c r="AT208" s="646"/>
      <c r="AU208" s="645"/>
      <c r="AV208" s="645"/>
      <c r="AW208" s="645"/>
      <c r="AX208" s="645"/>
      <c r="AY208" s="646"/>
      <c r="AZ208" s="646"/>
      <c r="BA208" s="646"/>
      <c r="BB208" s="646"/>
      <c r="BC208" s="646"/>
      <c r="BD208" s="646"/>
      <c r="BE208" s="646"/>
      <c r="BF208" s="646"/>
      <c r="BG208" s="646"/>
      <c r="BH208" s="646"/>
      <c r="BI208" s="647"/>
      <c r="BJ208" s="647"/>
      <c r="BK208" s="647"/>
      <c r="BL208" s="647"/>
      <c r="BM208" s="647"/>
    </row>
    <row r="209" spans="2:65" s="640" customFormat="1" hidden="1">
      <c r="B209" s="1022"/>
      <c r="C209" s="1022"/>
      <c r="D209" s="1022"/>
      <c r="E209" s="1022"/>
      <c r="F209" s="1022"/>
      <c r="G209" s="1022"/>
      <c r="H209" s="1022"/>
      <c r="I209" s="1022"/>
      <c r="J209" s="1022"/>
      <c r="K209" s="1022"/>
      <c r="L209" s="1022"/>
      <c r="M209" s="1022"/>
      <c r="N209" s="1022"/>
      <c r="O209" s="1022"/>
      <c r="P209" s="1022"/>
      <c r="Q209" s="1022"/>
      <c r="R209" s="1022"/>
      <c r="S209" s="1022"/>
      <c r="T209" s="1022"/>
      <c r="U209" s="1022"/>
      <c r="W209" s="645"/>
      <c r="X209" s="1066"/>
      <c r="Y209" s="646"/>
      <c r="Z209" s="673"/>
      <c r="AA209" s="646"/>
      <c r="AB209" s="646"/>
      <c r="AC209" s="646"/>
      <c r="AD209" s="646"/>
      <c r="AE209" s="646"/>
      <c r="AF209" s="646"/>
      <c r="AG209" s="646"/>
      <c r="AH209" s="646"/>
      <c r="AI209" s="646"/>
      <c r="AJ209" s="646"/>
      <c r="AK209" s="646"/>
      <c r="AL209" s="646"/>
      <c r="AM209" s="646"/>
      <c r="AN209" s="646"/>
      <c r="AO209" s="646"/>
      <c r="AP209" s="646"/>
      <c r="AQ209" s="646"/>
      <c r="AR209" s="646"/>
      <c r="AS209" s="646"/>
      <c r="AT209" s="646"/>
      <c r="AU209" s="645"/>
      <c r="AV209" s="645"/>
      <c r="AW209" s="645"/>
      <c r="AX209" s="645"/>
      <c r="AY209" s="646"/>
      <c r="AZ209" s="646"/>
      <c r="BA209" s="646"/>
      <c r="BB209" s="646"/>
      <c r="BC209" s="646"/>
      <c r="BD209" s="646"/>
      <c r="BE209" s="646"/>
      <c r="BF209" s="646"/>
      <c r="BG209" s="646"/>
      <c r="BH209" s="646"/>
      <c r="BI209" s="647"/>
      <c r="BJ209" s="647"/>
      <c r="BK209" s="647"/>
      <c r="BL209" s="647"/>
      <c r="BM209" s="647"/>
    </row>
    <row r="210" spans="2:65" s="640" customFormat="1" hidden="1">
      <c r="B210" s="1022"/>
      <c r="C210" s="1022"/>
      <c r="D210" s="1022"/>
      <c r="E210" s="1022"/>
      <c r="F210" s="1022"/>
      <c r="G210" s="1022"/>
      <c r="H210" s="1022"/>
      <c r="I210" s="1022"/>
      <c r="J210" s="1022"/>
      <c r="K210" s="1022"/>
      <c r="L210" s="1022"/>
      <c r="M210" s="1022"/>
      <c r="N210" s="1022"/>
      <c r="O210" s="1022"/>
      <c r="P210" s="1022"/>
      <c r="Q210" s="1022"/>
      <c r="R210" s="1022"/>
      <c r="S210" s="1022"/>
      <c r="T210" s="1022"/>
      <c r="U210" s="1022"/>
      <c r="W210" s="645"/>
      <c r="X210" s="1066"/>
      <c r="Y210" s="646"/>
      <c r="Z210" s="673"/>
      <c r="AA210" s="646"/>
      <c r="AB210" s="646"/>
      <c r="AC210" s="646"/>
      <c r="AD210" s="646"/>
      <c r="AE210" s="646"/>
      <c r="AF210" s="646"/>
      <c r="AG210" s="646"/>
      <c r="AH210" s="646"/>
      <c r="AI210" s="646"/>
      <c r="AJ210" s="646"/>
      <c r="AK210" s="646"/>
      <c r="AL210" s="646"/>
      <c r="AM210" s="646"/>
      <c r="AN210" s="646"/>
      <c r="AO210" s="646"/>
      <c r="AP210" s="646"/>
      <c r="AQ210" s="646"/>
      <c r="AR210" s="646"/>
      <c r="AS210" s="646"/>
      <c r="AT210" s="646"/>
      <c r="AU210" s="645"/>
      <c r="AV210" s="645"/>
      <c r="AW210" s="645"/>
      <c r="AX210" s="645"/>
      <c r="AY210" s="646"/>
      <c r="AZ210" s="646"/>
      <c r="BA210" s="646"/>
      <c r="BB210" s="646"/>
      <c r="BC210" s="646"/>
      <c r="BD210" s="646"/>
      <c r="BE210" s="646"/>
      <c r="BF210" s="646"/>
      <c r="BG210" s="646"/>
      <c r="BH210" s="646"/>
      <c r="BI210" s="647"/>
      <c r="BJ210" s="647"/>
      <c r="BK210" s="647"/>
      <c r="BL210" s="647"/>
      <c r="BM210" s="647"/>
    </row>
    <row r="211" spans="2:65" s="640" customFormat="1" hidden="1">
      <c r="B211" s="1022"/>
      <c r="C211" s="1022"/>
      <c r="D211" s="1022"/>
      <c r="E211" s="1022"/>
      <c r="F211" s="1022"/>
      <c r="G211" s="1022"/>
      <c r="H211" s="1022"/>
      <c r="I211" s="1022"/>
      <c r="J211" s="1022"/>
      <c r="K211" s="1022"/>
      <c r="L211" s="1022"/>
      <c r="M211" s="1022"/>
      <c r="N211" s="1022"/>
      <c r="O211" s="1022"/>
      <c r="P211" s="1022"/>
      <c r="Q211" s="1022"/>
      <c r="R211" s="1022"/>
      <c r="S211" s="1022"/>
      <c r="T211" s="1022"/>
      <c r="U211" s="1022"/>
      <c r="W211" s="645"/>
      <c r="X211" s="1066"/>
      <c r="Y211" s="646"/>
      <c r="Z211" s="673"/>
      <c r="AA211" s="646"/>
      <c r="AB211" s="646"/>
      <c r="AC211" s="646"/>
      <c r="AD211" s="646"/>
      <c r="AE211" s="646"/>
      <c r="AF211" s="646"/>
      <c r="AG211" s="646"/>
      <c r="AH211" s="646"/>
      <c r="AI211" s="646"/>
      <c r="AJ211" s="646"/>
      <c r="AK211" s="646"/>
      <c r="AL211" s="646"/>
      <c r="AM211" s="646"/>
      <c r="AN211" s="646"/>
      <c r="AO211" s="646"/>
      <c r="AP211" s="646"/>
      <c r="AQ211" s="646"/>
      <c r="AR211" s="646"/>
      <c r="AS211" s="646"/>
      <c r="AT211" s="646"/>
      <c r="AU211" s="645"/>
      <c r="AV211" s="645"/>
      <c r="AW211" s="645"/>
      <c r="AX211" s="645"/>
      <c r="AY211" s="646"/>
      <c r="AZ211" s="646"/>
      <c r="BA211" s="646"/>
      <c r="BB211" s="646"/>
      <c r="BC211" s="646"/>
      <c r="BD211" s="646"/>
      <c r="BE211" s="646"/>
      <c r="BF211" s="646"/>
      <c r="BG211" s="646"/>
      <c r="BH211" s="646"/>
      <c r="BI211" s="647"/>
      <c r="BJ211" s="647"/>
      <c r="BK211" s="647"/>
      <c r="BL211" s="647"/>
      <c r="BM211" s="647"/>
    </row>
    <row r="212" spans="2:65" s="640" customFormat="1" hidden="1">
      <c r="B212" s="1022"/>
      <c r="C212" s="1022"/>
      <c r="D212" s="1022"/>
      <c r="E212" s="1022"/>
      <c r="F212" s="1022"/>
      <c r="G212" s="1022"/>
      <c r="H212" s="1022"/>
      <c r="I212" s="1022"/>
      <c r="J212" s="1022"/>
      <c r="K212" s="1022"/>
      <c r="L212" s="1022"/>
      <c r="M212" s="1022"/>
      <c r="N212" s="1022"/>
      <c r="O212" s="1022"/>
      <c r="P212" s="1022"/>
      <c r="Q212" s="1022"/>
      <c r="R212" s="1022"/>
      <c r="S212" s="1022"/>
      <c r="T212" s="1022"/>
      <c r="U212" s="1022"/>
      <c r="W212" s="645"/>
      <c r="X212" s="1066"/>
      <c r="Y212" s="646"/>
      <c r="Z212" s="673"/>
      <c r="AA212" s="646"/>
      <c r="AB212" s="646"/>
      <c r="AC212" s="646"/>
      <c r="AD212" s="646"/>
      <c r="AE212" s="646"/>
      <c r="AF212" s="646"/>
      <c r="AG212" s="646"/>
      <c r="AH212" s="646"/>
      <c r="AI212" s="646"/>
      <c r="AJ212" s="646"/>
      <c r="AK212" s="646"/>
      <c r="AL212" s="646"/>
      <c r="AM212" s="646"/>
      <c r="AN212" s="646"/>
      <c r="AO212" s="646"/>
      <c r="AP212" s="646"/>
      <c r="AQ212" s="646"/>
      <c r="AR212" s="646"/>
      <c r="AS212" s="646"/>
      <c r="AT212" s="646"/>
      <c r="AU212" s="645"/>
      <c r="AV212" s="645"/>
      <c r="AW212" s="645"/>
      <c r="AX212" s="645"/>
      <c r="AY212" s="646"/>
      <c r="AZ212" s="646"/>
      <c r="BA212" s="646"/>
      <c r="BB212" s="646"/>
      <c r="BC212" s="646"/>
      <c r="BD212" s="646"/>
      <c r="BE212" s="646"/>
      <c r="BF212" s="646"/>
      <c r="BG212" s="646"/>
      <c r="BH212" s="646"/>
      <c r="BI212" s="647"/>
      <c r="BJ212" s="647"/>
      <c r="BK212" s="647"/>
      <c r="BL212" s="647"/>
      <c r="BM212" s="647"/>
    </row>
    <row r="213" spans="2:65" s="640" customFormat="1" hidden="1">
      <c r="B213" s="1022"/>
      <c r="C213" s="1022"/>
      <c r="D213" s="1022"/>
      <c r="E213" s="1022"/>
      <c r="F213" s="1022"/>
      <c r="G213" s="1022"/>
      <c r="H213" s="1022"/>
      <c r="I213" s="1022"/>
      <c r="J213" s="1022"/>
      <c r="K213" s="1022"/>
      <c r="L213" s="1022"/>
      <c r="M213" s="1022"/>
      <c r="N213" s="1022"/>
      <c r="O213" s="1022"/>
      <c r="P213" s="1022"/>
      <c r="Q213" s="1022"/>
      <c r="R213" s="1022"/>
      <c r="S213" s="1022"/>
      <c r="T213" s="1022"/>
      <c r="U213" s="1022"/>
      <c r="W213" s="645"/>
      <c r="X213" s="1066"/>
      <c r="Y213" s="646"/>
      <c r="Z213" s="673"/>
      <c r="AA213" s="646"/>
      <c r="AB213" s="646"/>
      <c r="AC213" s="646"/>
      <c r="AD213" s="646"/>
      <c r="AE213" s="646"/>
      <c r="AF213" s="646"/>
      <c r="AG213" s="646"/>
      <c r="AH213" s="646"/>
      <c r="AI213" s="646"/>
      <c r="AJ213" s="646"/>
      <c r="AK213" s="646"/>
      <c r="AL213" s="646"/>
      <c r="AM213" s="646"/>
      <c r="AN213" s="646"/>
      <c r="AO213" s="646"/>
      <c r="AP213" s="646"/>
      <c r="AQ213" s="646"/>
      <c r="AR213" s="646"/>
      <c r="AS213" s="646"/>
      <c r="AT213" s="646"/>
      <c r="AU213" s="645"/>
      <c r="AV213" s="645"/>
      <c r="AW213" s="645"/>
      <c r="AX213" s="645"/>
      <c r="AY213" s="646"/>
      <c r="AZ213" s="646"/>
      <c r="BA213" s="646"/>
      <c r="BB213" s="646"/>
      <c r="BC213" s="646"/>
      <c r="BD213" s="646"/>
      <c r="BE213" s="646"/>
      <c r="BF213" s="646"/>
      <c r="BG213" s="646"/>
      <c r="BH213" s="646"/>
      <c r="BI213" s="647"/>
      <c r="BJ213" s="647"/>
      <c r="BK213" s="647"/>
      <c r="BL213" s="647"/>
      <c r="BM213" s="647"/>
    </row>
    <row r="214" spans="2:65" s="640" customFormat="1" hidden="1">
      <c r="B214" s="1022"/>
      <c r="C214" s="1022"/>
      <c r="D214" s="1022"/>
      <c r="E214" s="1022"/>
      <c r="F214" s="1022"/>
      <c r="G214" s="1022"/>
      <c r="H214" s="1022"/>
      <c r="I214" s="1022"/>
      <c r="J214" s="1022"/>
      <c r="K214" s="1022"/>
      <c r="L214" s="1022"/>
      <c r="M214" s="1022"/>
      <c r="N214" s="1022"/>
      <c r="O214" s="1022"/>
      <c r="P214" s="1022"/>
      <c r="Q214" s="1022"/>
      <c r="R214" s="1022"/>
      <c r="S214" s="1022"/>
      <c r="T214" s="1022"/>
      <c r="U214" s="1022"/>
      <c r="W214" s="645"/>
      <c r="X214" s="1066"/>
      <c r="Y214" s="646"/>
      <c r="Z214" s="673"/>
      <c r="AA214" s="646"/>
      <c r="AB214" s="646"/>
      <c r="AC214" s="646"/>
      <c r="AD214" s="646"/>
      <c r="AE214" s="646"/>
      <c r="AF214" s="646"/>
      <c r="AG214" s="646"/>
      <c r="AH214" s="646"/>
      <c r="AI214" s="646"/>
      <c r="AJ214" s="646"/>
      <c r="AK214" s="646"/>
      <c r="AL214" s="646"/>
      <c r="AM214" s="646"/>
      <c r="AN214" s="646"/>
      <c r="AO214" s="646"/>
      <c r="AP214" s="646"/>
      <c r="AQ214" s="646"/>
      <c r="AR214" s="646"/>
      <c r="AS214" s="646"/>
      <c r="AT214" s="646"/>
      <c r="AU214" s="645"/>
      <c r="AV214" s="645"/>
      <c r="AW214" s="645"/>
      <c r="AX214" s="645"/>
      <c r="AY214" s="646"/>
      <c r="AZ214" s="646"/>
      <c r="BA214" s="646"/>
      <c r="BB214" s="646"/>
      <c r="BC214" s="646"/>
      <c r="BD214" s="646"/>
      <c r="BE214" s="646"/>
      <c r="BF214" s="646"/>
      <c r="BG214" s="646"/>
      <c r="BH214" s="646"/>
      <c r="BI214" s="647"/>
      <c r="BJ214" s="647"/>
      <c r="BK214" s="647"/>
      <c r="BL214" s="647"/>
      <c r="BM214" s="647"/>
    </row>
    <row r="215" spans="2:65" s="640" customFormat="1" hidden="1">
      <c r="B215" s="1022"/>
      <c r="C215" s="1022"/>
      <c r="D215" s="1022"/>
      <c r="E215" s="1022"/>
      <c r="F215" s="1022"/>
      <c r="G215" s="1022"/>
      <c r="H215" s="1022"/>
      <c r="I215" s="1022"/>
      <c r="J215" s="1022"/>
      <c r="K215" s="1022"/>
      <c r="L215" s="1022"/>
      <c r="M215" s="1022"/>
      <c r="N215" s="1022"/>
      <c r="O215" s="1022"/>
      <c r="P215" s="1022"/>
      <c r="Q215" s="1022"/>
      <c r="R215" s="1022"/>
      <c r="S215" s="1022"/>
      <c r="T215" s="1022"/>
      <c r="U215" s="1022"/>
      <c r="W215" s="645"/>
      <c r="X215" s="1066"/>
      <c r="Y215" s="646"/>
      <c r="Z215" s="673"/>
      <c r="AA215" s="646"/>
      <c r="AB215" s="646"/>
      <c r="AC215" s="646"/>
      <c r="AD215" s="646"/>
      <c r="AE215" s="646"/>
      <c r="AF215" s="646"/>
      <c r="AG215" s="646"/>
      <c r="AH215" s="646"/>
      <c r="AI215" s="646"/>
      <c r="AJ215" s="646"/>
      <c r="AK215" s="646"/>
      <c r="AL215" s="646"/>
      <c r="AM215" s="646"/>
      <c r="AN215" s="646"/>
      <c r="AO215" s="646"/>
      <c r="AP215" s="646"/>
      <c r="AQ215" s="646"/>
      <c r="AR215" s="646"/>
      <c r="AS215" s="646"/>
      <c r="AT215" s="646"/>
      <c r="AU215" s="645"/>
      <c r="AV215" s="645"/>
      <c r="AW215" s="645"/>
      <c r="AX215" s="645"/>
      <c r="AY215" s="646"/>
      <c r="AZ215" s="646"/>
      <c r="BA215" s="646"/>
      <c r="BB215" s="646"/>
      <c r="BC215" s="646"/>
      <c r="BD215" s="646"/>
      <c r="BE215" s="646"/>
      <c r="BF215" s="646"/>
      <c r="BG215" s="646"/>
      <c r="BH215" s="646"/>
      <c r="BI215" s="647"/>
      <c r="BJ215" s="647"/>
      <c r="BK215" s="647"/>
      <c r="BL215" s="647"/>
      <c r="BM215" s="647"/>
    </row>
    <row r="216" spans="2:65" s="640" customFormat="1" hidden="1">
      <c r="B216" s="1022"/>
      <c r="C216" s="1022"/>
      <c r="D216" s="1022"/>
      <c r="E216" s="1022"/>
      <c r="F216" s="1022"/>
      <c r="G216" s="1022"/>
      <c r="H216" s="1022"/>
      <c r="I216" s="1022"/>
      <c r="J216" s="1022"/>
      <c r="K216" s="1022"/>
      <c r="L216" s="1022"/>
      <c r="M216" s="1022"/>
      <c r="N216" s="1022"/>
      <c r="O216" s="1022"/>
      <c r="P216" s="1022"/>
      <c r="Q216" s="1022"/>
      <c r="R216" s="1022"/>
      <c r="S216" s="1022"/>
      <c r="T216" s="1022"/>
      <c r="U216" s="1022"/>
      <c r="W216" s="645"/>
      <c r="X216" s="1066"/>
      <c r="Y216" s="646"/>
      <c r="Z216" s="673"/>
      <c r="AA216" s="646"/>
      <c r="AB216" s="646"/>
      <c r="AC216" s="646"/>
      <c r="AD216" s="646"/>
      <c r="AE216" s="646"/>
      <c r="AF216" s="646"/>
      <c r="AG216" s="646"/>
      <c r="AH216" s="646"/>
      <c r="AI216" s="646"/>
      <c r="AJ216" s="646"/>
      <c r="AK216" s="646"/>
      <c r="AL216" s="646"/>
      <c r="AM216" s="646"/>
      <c r="AN216" s="646"/>
      <c r="AO216" s="646"/>
      <c r="AP216" s="646"/>
      <c r="AQ216" s="646"/>
      <c r="AR216" s="646"/>
      <c r="AS216" s="646"/>
      <c r="AT216" s="646"/>
      <c r="AU216" s="645"/>
      <c r="AV216" s="645"/>
      <c r="AW216" s="645"/>
      <c r="AX216" s="645"/>
      <c r="AY216" s="646"/>
      <c r="AZ216" s="646"/>
      <c r="BA216" s="646"/>
      <c r="BB216" s="646"/>
      <c r="BC216" s="646"/>
      <c r="BD216" s="646"/>
      <c r="BE216" s="646"/>
      <c r="BF216" s="646"/>
      <c r="BG216" s="646"/>
      <c r="BH216" s="646"/>
      <c r="BI216" s="647"/>
      <c r="BJ216" s="647"/>
      <c r="BK216" s="647"/>
      <c r="BL216" s="647"/>
      <c r="BM216" s="647"/>
    </row>
    <row r="217" spans="2:65" s="640" customFormat="1" hidden="1">
      <c r="B217" s="1022"/>
      <c r="C217" s="1022"/>
      <c r="D217" s="1022"/>
      <c r="E217" s="1022"/>
      <c r="F217" s="1022"/>
      <c r="G217" s="1022"/>
      <c r="H217" s="1022"/>
      <c r="I217" s="1022"/>
      <c r="J217" s="1022"/>
      <c r="K217" s="1022"/>
      <c r="L217" s="1022"/>
      <c r="M217" s="1022"/>
      <c r="N217" s="1022"/>
      <c r="O217" s="1022"/>
      <c r="P217" s="1022"/>
      <c r="Q217" s="1022"/>
      <c r="R217" s="1022"/>
      <c r="S217" s="1022"/>
      <c r="T217" s="1022"/>
      <c r="U217" s="1022"/>
      <c r="W217" s="645"/>
      <c r="X217" s="1066"/>
      <c r="Y217" s="646"/>
      <c r="Z217" s="673"/>
      <c r="AA217" s="646"/>
      <c r="AB217" s="646"/>
      <c r="AC217" s="646"/>
      <c r="AD217" s="646"/>
      <c r="AE217" s="646"/>
      <c r="AF217" s="646"/>
      <c r="AG217" s="646"/>
      <c r="AH217" s="646"/>
      <c r="AI217" s="646"/>
      <c r="AJ217" s="646"/>
      <c r="AK217" s="646"/>
      <c r="AL217" s="646"/>
      <c r="AM217" s="646"/>
      <c r="AN217" s="646"/>
      <c r="AO217" s="646"/>
      <c r="AP217" s="646"/>
      <c r="AQ217" s="646"/>
      <c r="AR217" s="646"/>
      <c r="AS217" s="646"/>
      <c r="AT217" s="646"/>
      <c r="AU217" s="645"/>
      <c r="AV217" s="645"/>
      <c r="AW217" s="645"/>
      <c r="AX217" s="645"/>
      <c r="AY217" s="646"/>
      <c r="AZ217" s="646"/>
      <c r="BA217" s="646"/>
      <c r="BB217" s="646"/>
      <c r="BC217" s="646"/>
      <c r="BD217" s="646"/>
      <c r="BE217" s="646"/>
      <c r="BF217" s="646"/>
      <c r="BG217" s="646"/>
      <c r="BH217" s="646"/>
      <c r="BI217" s="647"/>
      <c r="BJ217" s="647"/>
      <c r="BK217" s="647"/>
      <c r="BL217" s="647"/>
      <c r="BM217" s="647"/>
    </row>
    <row r="218" spans="2:65" s="640" customFormat="1" hidden="1">
      <c r="B218" s="1022"/>
      <c r="C218" s="1022"/>
      <c r="D218" s="1022"/>
      <c r="E218" s="1022"/>
      <c r="F218" s="1022"/>
      <c r="G218" s="1022"/>
      <c r="H218" s="1022"/>
      <c r="I218" s="1022"/>
      <c r="J218" s="1022"/>
      <c r="K218" s="1022"/>
      <c r="L218" s="1022"/>
      <c r="M218" s="1022"/>
      <c r="N218" s="1022"/>
      <c r="O218" s="1022"/>
      <c r="P218" s="1022"/>
      <c r="Q218" s="1022"/>
      <c r="R218" s="1022"/>
      <c r="S218" s="1022"/>
      <c r="T218" s="1022"/>
      <c r="U218" s="1022"/>
      <c r="W218" s="645"/>
      <c r="X218" s="1066"/>
      <c r="Y218" s="646"/>
      <c r="Z218" s="673"/>
      <c r="AA218" s="646"/>
      <c r="AB218" s="646"/>
      <c r="AC218" s="646"/>
      <c r="AD218" s="646"/>
      <c r="AE218" s="646"/>
      <c r="AF218" s="646"/>
      <c r="AG218" s="646"/>
      <c r="AH218" s="646"/>
      <c r="AI218" s="646"/>
      <c r="AJ218" s="646"/>
      <c r="AK218" s="646"/>
      <c r="AL218" s="646"/>
      <c r="AM218" s="646"/>
      <c r="AN218" s="646"/>
      <c r="AO218" s="646"/>
      <c r="AP218" s="646"/>
      <c r="AQ218" s="646"/>
      <c r="AR218" s="646"/>
      <c r="AS218" s="646"/>
      <c r="AT218" s="646"/>
      <c r="AU218" s="645"/>
      <c r="AV218" s="645"/>
      <c r="AW218" s="645"/>
      <c r="AX218" s="645"/>
      <c r="AY218" s="646"/>
      <c r="AZ218" s="646"/>
      <c r="BA218" s="646"/>
      <c r="BB218" s="646"/>
      <c r="BC218" s="646"/>
      <c r="BD218" s="646"/>
      <c r="BE218" s="646"/>
      <c r="BF218" s="646"/>
      <c r="BG218" s="646"/>
      <c r="BH218" s="646"/>
      <c r="BI218" s="647"/>
      <c r="BJ218" s="647"/>
      <c r="BK218" s="647"/>
      <c r="BL218" s="647"/>
      <c r="BM218" s="647"/>
    </row>
    <row r="219" spans="2:65" s="640" customFormat="1" hidden="1">
      <c r="B219" s="1022"/>
      <c r="C219" s="1022"/>
      <c r="D219" s="1022"/>
      <c r="E219" s="1022"/>
      <c r="F219" s="1022"/>
      <c r="G219" s="1022"/>
      <c r="H219" s="1022"/>
      <c r="I219" s="1022"/>
      <c r="J219" s="1022"/>
      <c r="K219" s="1022"/>
      <c r="L219" s="1022"/>
      <c r="M219" s="1022"/>
      <c r="N219" s="1022"/>
      <c r="O219" s="1022"/>
      <c r="P219" s="1022"/>
      <c r="Q219" s="1022"/>
      <c r="R219" s="1022"/>
      <c r="S219" s="1022"/>
      <c r="T219" s="1022"/>
      <c r="U219" s="1022"/>
      <c r="W219" s="645"/>
      <c r="X219" s="1066"/>
      <c r="Y219" s="646"/>
      <c r="Z219" s="673"/>
      <c r="AA219" s="646"/>
      <c r="AB219" s="646"/>
      <c r="AC219" s="646"/>
      <c r="AD219" s="646"/>
      <c r="AE219" s="646"/>
      <c r="AF219" s="646"/>
      <c r="AG219" s="646"/>
      <c r="AH219" s="646"/>
      <c r="AI219" s="646"/>
      <c r="AJ219" s="646"/>
      <c r="AK219" s="646"/>
      <c r="AL219" s="646"/>
      <c r="AM219" s="646"/>
      <c r="AN219" s="646"/>
      <c r="AO219" s="646"/>
      <c r="AP219" s="646"/>
      <c r="AQ219" s="646"/>
      <c r="AR219" s="646"/>
      <c r="AS219" s="646"/>
      <c r="AT219" s="646"/>
      <c r="AU219" s="645"/>
      <c r="AV219" s="645"/>
      <c r="AW219" s="645"/>
      <c r="AX219" s="645"/>
      <c r="AY219" s="646"/>
      <c r="AZ219" s="646"/>
      <c r="BA219" s="646"/>
      <c r="BB219" s="646"/>
      <c r="BC219" s="646"/>
      <c r="BD219" s="646"/>
      <c r="BE219" s="646"/>
      <c r="BF219" s="646"/>
      <c r="BG219" s="646"/>
      <c r="BH219" s="646"/>
      <c r="BI219" s="647"/>
      <c r="BJ219" s="647"/>
      <c r="BK219" s="647"/>
      <c r="BL219" s="647"/>
      <c r="BM219" s="647"/>
    </row>
    <row r="220" spans="2:65" s="640" customFormat="1" hidden="1">
      <c r="B220" s="1022"/>
      <c r="C220" s="1022"/>
      <c r="D220" s="1022"/>
      <c r="E220" s="1022"/>
      <c r="F220" s="1022"/>
      <c r="G220" s="1022"/>
      <c r="H220" s="1022"/>
      <c r="I220" s="1022"/>
      <c r="J220" s="1022"/>
      <c r="K220" s="1022"/>
      <c r="L220" s="1022"/>
      <c r="M220" s="1022"/>
      <c r="N220" s="1022"/>
      <c r="O220" s="1022"/>
      <c r="P220" s="1022"/>
      <c r="Q220" s="1022"/>
      <c r="R220" s="1022"/>
      <c r="S220" s="1022"/>
      <c r="T220" s="1022"/>
      <c r="U220" s="1022"/>
      <c r="W220" s="645"/>
      <c r="X220" s="1066"/>
      <c r="Y220" s="646"/>
      <c r="Z220" s="673"/>
      <c r="AA220" s="646"/>
      <c r="AB220" s="646"/>
      <c r="AC220" s="646"/>
      <c r="AD220" s="646"/>
      <c r="AE220" s="646"/>
      <c r="AF220" s="646"/>
      <c r="AG220" s="646"/>
      <c r="AH220" s="646"/>
      <c r="AI220" s="646"/>
      <c r="AJ220" s="646"/>
      <c r="AK220" s="646"/>
      <c r="AL220" s="646"/>
      <c r="AM220" s="646"/>
      <c r="AN220" s="646"/>
      <c r="AO220" s="646"/>
      <c r="AP220" s="646"/>
      <c r="AQ220" s="646"/>
      <c r="AR220" s="646"/>
      <c r="AS220" s="646"/>
      <c r="AT220" s="646"/>
      <c r="AU220" s="645"/>
      <c r="AV220" s="645"/>
      <c r="AW220" s="645"/>
      <c r="AX220" s="645"/>
      <c r="AY220" s="646"/>
      <c r="AZ220" s="646"/>
      <c r="BA220" s="646"/>
      <c r="BB220" s="646"/>
      <c r="BC220" s="646"/>
      <c r="BD220" s="646"/>
      <c r="BE220" s="646"/>
      <c r="BF220" s="646"/>
      <c r="BG220" s="646"/>
      <c r="BH220" s="646"/>
      <c r="BI220" s="647"/>
      <c r="BJ220" s="647"/>
      <c r="BK220" s="647"/>
      <c r="BL220" s="647"/>
      <c r="BM220" s="647"/>
    </row>
    <row r="221" spans="2:65" s="640" customFormat="1" hidden="1">
      <c r="B221" s="1022"/>
      <c r="C221" s="1022"/>
      <c r="D221" s="1022"/>
      <c r="E221" s="1022"/>
      <c r="F221" s="1022"/>
      <c r="G221" s="1022"/>
      <c r="H221" s="1022"/>
      <c r="I221" s="1022"/>
      <c r="J221" s="1022"/>
      <c r="K221" s="1022"/>
      <c r="L221" s="1022"/>
      <c r="M221" s="1022"/>
      <c r="N221" s="1022"/>
      <c r="O221" s="1022"/>
      <c r="P221" s="1022"/>
      <c r="Q221" s="1022"/>
      <c r="R221" s="1022"/>
      <c r="S221" s="1022"/>
      <c r="T221" s="1022"/>
      <c r="U221" s="1022"/>
      <c r="W221" s="645"/>
      <c r="X221" s="1066"/>
      <c r="Y221" s="646"/>
      <c r="Z221" s="673"/>
      <c r="AA221" s="646"/>
      <c r="AB221" s="646"/>
      <c r="AC221" s="646"/>
      <c r="AD221" s="646"/>
      <c r="AE221" s="646"/>
      <c r="AF221" s="646"/>
      <c r="AG221" s="646"/>
      <c r="AH221" s="646"/>
      <c r="AI221" s="646"/>
      <c r="AJ221" s="646"/>
      <c r="AK221" s="646"/>
      <c r="AL221" s="646"/>
      <c r="AM221" s="646"/>
      <c r="AN221" s="646"/>
      <c r="AO221" s="646"/>
      <c r="AP221" s="646"/>
      <c r="AQ221" s="646"/>
      <c r="AR221" s="646"/>
      <c r="AS221" s="646"/>
      <c r="AT221" s="646"/>
      <c r="AU221" s="645"/>
      <c r="AV221" s="645"/>
      <c r="AW221" s="645"/>
      <c r="AX221" s="645"/>
      <c r="AY221" s="646"/>
      <c r="AZ221" s="646"/>
      <c r="BA221" s="646"/>
      <c r="BB221" s="646"/>
      <c r="BC221" s="646"/>
      <c r="BD221" s="646"/>
      <c r="BE221" s="646"/>
      <c r="BF221" s="646"/>
      <c r="BG221" s="646"/>
      <c r="BH221" s="646"/>
      <c r="BI221" s="647"/>
      <c r="BJ221" s="647"/>
      <c r="BK221" s="647"/>
      <c r="BL221" s="647"/>
      <c r="BM221" s="647"/>
    </row>
    <row r="222" spans="2:65" s="640" customFormat="1" hidden="1">
      <c r="B222" s="1022"/>
      <c r="C222" s="1022"/>
      <c r="D222" s="1022"/>
      <c r="E222" s="1022"/>
      <c r="F222" s="1022"/>
      <c r="G222" s="1022"/>
      <c r="H222" s="1022"/>
      <c r="I222" s="1022"/>
      <c r="J222" s="1022"/>
      <c r="K222" s="1022"/>
      <c r="L222" s="1022"/>
      <c r="M222" s="1022"/>
      <c r="N222" s="1022"/>
      <c r="O222" s="1022"/>
      <c r="P222" s="1022"/>
      <c r="Q222" s="1022"/>
      <c r="R222" s="1022"/>
      <c r="S222" s="1022"/>
      <c r="T222" s="1022"/>
      <c r="U222" s="1022"/>
      <c r="W222" s="645"/>
      <c r="X222" s="1066"/>
      <c r="Y222" s="646"/>
      <c r="Z222" s="673"/>
      <c r="AA222" s="646"/>
      <c r="AB222" s="646"/>
      <c r="AC222" s="646"/>
      <c r="AD222" s="646"/>
      <c r="AE222" s="646"/>
      <c r="AF222" s="646"/>
      <c r="AG222" s="646"/>
      <c r="AH222" s="646"/>
      <c r="AI222" s="646"/>
      <c r="AJ222" s="646"/>
      <c r="AK222" s="646"/>
      <c r="AL222" s="646"/>
      <c r="AM222" s="646"/>
      <c r="AN222" s="646"/>
      <c r="AO222" s="646"/>
      <c r="AP222" s="646"/>
      <c r="AQ222" s="646"/>
      <c r="AR222" s="646"/>
      <c r="AS222" s="646"/>
      <c r="AT222" s="646"/>
      <c r="AU222" s="645"/>
      <c r="AV222" s="645"/>
      <c r="AW222" s="645"/>
      <c r="AX222" s="645"/>
      <c r="AY222" s="646"/>
      <c r="AZ222" s="646"/>
      <c r="BA222" s="646"/>
      <c r="BB222" s="646"/>
      <c r="BC222" s="646"/>
      <c r="BD222" s="646"/>
      <c r="BE222" s="646"/>
      <c r="BF222" s="646"/>
      <c r="BG222" s="646"/>
      <c r="BH222" s="646"/>
      <c r="BI222" s="647"/>
      <c r="BJ222" s="647"/>
      <c r="BK222" s="647"/>
      <c r="BL222" s="647"/>
      <c r="BM222" s="647"/>
    </row>
    <row r="223" spans="2:65" s="640" customFormat="1" hidden="1">
      <c r="B223" s="1022"/>
      <c r="C223" s="1022"/>
      <c r="D223" s="1022"/>
      <c r="E223" s="1022"/>
      <c r="F223" s="1022"/>
      <c r="G223" s="1022"/>
      <c r="H223" s="1022"/>
      <c r="I223" s="1022"/>
      <c r="J223" s="1022"/>
      <c r="K223" s="1022"/>
      <c r="L223" s="1022"/>
      <c r="M223" s="1022"/>
      <c r="N223" s="1022"/>
      <c r="O223" s="1022"/>
      <c r="P223" s="1022"/>
      <c r="Q223" s="1022"/>
      <c r="R223" s="1022"/>
      <c r="S223" s="1022"/>
      <c r="T223" s="1022"/>
      <c r="U223" s="1022"/>
      <c r="W223" s="645"/>
      <c r="X223" s="1066"/>
      <c r="Y223" s="646"/>
      <c r="Z223" s="673"/>
      <c r="AA223" s="646"/>
      <c r="AB223" s="646"/>
      <c r="AC223" s="646"/>
      <c r="AD223" s="646"/>
      <c r="AE223" s="646"/>
      <c r="AF223" s="646"/>
      <c r="AG223" s="646"/>
      <c r="AH223" s="646"/>
      <c r="AI223" s="646"/>
      <c r="AJ223" s="646"/>
      <c r="AK223" s="646"/>
      <c r="AL223" s="646"/>
      <c r="AM223" s="646"/>
      <c r="AN223" s="646"/>
      <c r="AO223" s="646"/>
      <c r="AP223" s="646"/>
      <c r="AQ223" s="646"/>
      <c r="AR223" s="646"/>
      <c r="AS223" s="646"/>
      <c r="AT223" s="646"/>
      <c r="AU223" s="645"/>
      <c r="AV223" s="645"/>
      <c r="AW223" s="645"/>
      <c r="AX223" s="645"/>
      <c r="AY223" s="646"/>
      <c r="AZ223" s="646"/>
      <c r="BA223" s="646"/>
      <c r="BB223" s="646"/>
      <c r="BC223" s="646"/>
      <c r="BD223" s="646"/>
      <c r="BE223" s="646"/>
      <c r="BF223" s="646"/>
      <c r="BG223" s="646"/>
      <c r="BH223" s="646"/>
      <c r="BI223" s="647"/>
      <c r="BJ223" s="647"/>
      <c r="BK223" s="647"/>
      <c r="BL223" s="647"/>
      <c r="BM223" s="647"/>
    </row>
    <row r="224" spans="2:65" s="640" customFormat="1" hidden="1">
      <c r="B224" s="1022"/>
      <c r="C224" s="1022"/>
      <c r="D224" s="1022"/>
      <c r="E224" s="1022"/>
      <c r="F224" s="1022"/>
      <c r="G224" s="1022"/>
      <c r="H224" s="1022"/>
      <c r="I224" s="1022"/>
      <c r="J224" s="1022"/>
      <c r="K224" s="1022"/>
      <c r="L224" s="1022"/>
      <c r="M224" s="1022"/>
      <c r="N224" s="1022"/>
      <c r="O224" s="1022"/>
      <c r="P224" s="1022"/>
      <c r="Q224" s="1022"/>
      <c r="R224" s="1022"/>
      <c r="S224" s="1022"/>
      <c r="T224" s="1022"/>
      <c r="U224" s="1022"/>
      <c r="W224" s="645"/>
      <c r="X224" s="1066"/>
      <c r="Y224" s="646"/>
      <c r="Z224" s="673"/>
      <c r="AA224" s="646"/>
      <c r="AB224" s="646"/>
      <c r="AC224" s="646"/>
      <c r="AD224" s="646"/>
      <c r="AE224" s="646"/>
      <c r="AF224" s="646"/>
      <c r="AG224" s="646"/>
      <c r="AH224" s="646"/>
      <c r="AI224" s="646"/>
      <c r="AJ224" s="646"/>
      <c r="AK224" s="646"/>
      <c r="AL224" s="646"/>
      <c r="AM224" s="646"/>
      <c r="AN224" s="646"/>
      <c r="AO224" s="646"/>
      <c r="AP224" s="646"/>
      <c r="AQ224" s="646"/>
      <c r="AR224" s="646"/>
      <c r="AS224" s="646"/>
      <c r="AT224" s="646"/>
      <c r="AU224" s="645"/>
      <c r="AV224" s="645"/>
      <c r="AW224" s="645"/>
      <c r="AX224" s="645"/>
      <c r="AY224" s="646"/>
      <c r="AZ224" s="646"/>
      <c r="BA224" s="646"/>
      <c r="BB224" s="646"/>
      <c r="BC224" s="646"/>
      <c r="BD224" s="646"/>
      <c r="BE224" s="646"/>
      <c r="BF224" s="646"/>
      <c r="BG224" s="646"/>
      <c r="BH224" s="646"/>
      <c r="BI224" s="647"/>
      <c r="BJ224" s="647"/>
      <c r="BK224" s="647"/>
      <c r="BL224" s="647"/>
      <c r="BM224" s="647"/>
    </row>
    <row r="225" spans="2:65" s="640" customFormat="1" hidden="1">
      <c r="B225" s="1022"/>
      <c r="C225" s="1022"/>
      <c r="D225" s="1022"/>
      <c r="E225" s="1022"/>
      <c r="F225" s="1022"/>
      <c r="G225" s="1022"/>
      <c r="H225" s="1022"/>
      <c r="I225" s="1022"/>
      <c r="J225" s="1022"/>
      <c r="K225" s="1022"/>
      <c r="L225" s="1022"/>
      <c r="M225" s="1022"/>
      <c r="N225" s="1022"/>
      <c r="O225" s="1022"/>
      <c r="P225" s="1022"/>
      <c r="Q225" s="1022"/>
      <c r="R225" s="1022"/>
      <c r="S225" s="1022"/>
      <c r="T225" s="1022"/>
      <c r="U225" s="1022"/>
      <c r="W225" s="645"/>
      <c r="X225" s="1066"/>
      <c r="Y225" s="646"/>
      <c r="Z225" s="673"/>
      <c r="AA225" s="646"/>
      <c r="AB225" s="646"/>
      <c r="AC225" s="646"/>
      <c r="AD225" s="646"/>
      <c r="AE225" s="646"/>
      <c r="AF225" s="646"/>
      <c r="AG225" s="646"/>
      <c r="AH225" s="646"/>
      <c r="AI225" s="646"/>
      <c r="AJ225" s="646"/>
      <c r="AK225" s="646"/>
      <c r="AL225" s="646"/>
      <c r="AM225" s="646"/>
      <c r="AN225" s="646"/>
      <c r="AO225" s="646"/>
      <c r="AP225" s="646"/>
      <c r="AQ225" s="646"/>
      <c r="AR225" s="646"/>
      <c r="AS225" s="646"/>
      <c r="AT225" s="646"/>
      <c r="AU225" s="645"/>
      <c r="AV225" s="645"/>
      <c r="AW225" s="645"/>
      <c r="AX225" s="645"/>
      <c r="AY225" s="646"/>
      <c r="AZ225" s="646"/>
      <c r="BA225" s="646"/>
      <c r="BB225" s="646"/>
      <c r="BC225" s="646"/>
      <c r="BD225" s="646"/>
      <c r="BE225" s="646"/>
      <c r="BF225" s="646"/>
      <c r="BG225" s="646"/>
      <c r="BH225" s="646"/>
      <c r="BI225" s="647"/>
      <c r="BJ225" s="647"/>
      <c r="BK225" s="647"/>
      <c r="BL225" s="647"/>
      <c r="BM225" s="647"/>
    </row>
    <row r="226" spans="2:65" s="640" customFormat="1" hidden="1">
      <c r="B226" s="1022"/>
      <c r="C226" s="1022"/>
      <c r="D226" s="1022"/>
      <c r="E226" s="1022"/>
      <c r="F226" s="1022"/>
      <c r="G226" s="1022"/>
      <c r="H226" s="1022"/>
      <c r="I226" s="1022"/>
      <c r="J226" s="1022"/>
      <c r="K226" s="1022"/>
      <c r="L226" s="1022"/>
      <c r="M226" s="1022"/>
      <c r="N226" s="1022"/>
      <c r="O226" s="1022"/>
      <c r="P226" s="1022"/>
      <c r="Q226" s="1022"/>
      <c r="R226" s="1022"/>
      <c r="S226" s="1022"/>
      <c r="T226" s="1022"/>
      <c r="U226" s="1022"/>
      <c r="W226" s="645"/>
      <c r="X226" s="1066"/>
      <c r="Y226" s="646"/>
      <c r="Z226" s="673"/>
      <c r="AA226" s="646"/>
      <c r="AB226" s="646"/>
      <c r="AC226" s="646"/>
      <c r="AD226" s="646"/>
      <c r="AE226" s="646"/>
      <c r="AF226" s="646"/>
      <c r="AG226" s="646"/>
      <c r="AH226" s="646"/>
      <c r="AI226" s="646"/>
      <c r="AJ226" s="646"/>
      <c r="AK226" s="646"/>
      <c r="AL226" s="646"/>
      <c r="AM226" s="646"/>
      <c r="AN226" s="646"/>
      <c r="AO226" s="646"/>
      <c r="AP226" s="646"/>
      <c r="AQ226" s="646"/>
      <c r="AR226" s="646"/>
      <c r="AS226" s="646"/>
      <c r="AT226" s="646"/>
      <c r="AU226" s="645"/>
      <c r="AV226" s="645"/>
      <c r="AW226" s="645"/>
      <c r="AX226" s="645"/>
      <c r="AY226" s="646"/>
      <c r="AZ226" s="646"/>
      <c r="BA226" s="646"/>
      <c r="BB226" s="646"/>
      <c r="BC226" s="646"/>
      <c r="BD226" s="646"/>
      <c r="BE226" s="646"/>
      <c r="BF226" s="646"/>
      <c r="BG226" s="646"/>
      <c r="BH226" s="646"/>
      <c r="BI226" s="647"/>
      <c r="BJ226" s="647"/>
      <c r="BK226" s="647"/>
      <c r="BL226" s="647"/>
      <c r="BM226" s="647"/>
    </row>
    <row r="227" spans="2:65" s="640" customFormat="1" hidden="1">
      <c r="B227" s="1022"/>
      <c r="C227" s="1022"/>
      <c r="D227" s="1022"/>
      <c r="E227" s="1022"/>
      <c r="F227" s="1022"/>
      <c r="G227" s="1022"/>
      <c r="H227" s="1022"/>
      <c r="I227" s="1022"/>
      <c r="J227" s="1022"/>
      <c r="K227" s="1022"/>
      <c r="L227" s="1022"/>
      <c r="M227" s="1022"/>
      <c r="N227" s="1022"/>
      <c r="O227" s="1022"/>
      <c r="P227" s="1022"/>
      <c r="Q227" s="1022"/>
      <c r="R227" s="1022"/>
      <c r="S227" s="1022"/>
      <c r="T227" s="1022"/>
      <c r="U227" s="1022"/>
      <c r="W227" s="645"/>
      <c r="X227" s="1066"/>
      <c r="Y227" s="646"/>
      <c r="Z227" s="673"/>
      <c r="AA227" s="646"/>
      <c r="AB227" s="646"/>
      <c r="AC227" s="646"/>
      <c r="AD227" s="646"/>
      <c r="AE227" s="646"/>
      <c r="AF227" s="646"/>
      <c r="AG227" s="646"/>
      <c r="AH227" s="646"/>
      <c r="AI227" s="646"/>
      <c r="AJ227" s="646"/>
      <c r="AK227" s="646"/>
      <c r="AL227" s="646"/>
      <c r="AM227" s="646"/>
      <c r="AN227" s="646"/>
      <c r="AO227" s="646"/>
      <c r="AP227" s="646"/>
      <c r="AQ227" s="646"/>
      <c r="AR227" s="646"/>
      <c r="AS227" s="646"/>
      <c r="AT227" s="646"/>
      <c r="AU227" s="645"/>
      <c r="AV227" s="645"/>
      <c r="AW227" s="645"/>
      <c r="AX227" s="645"/>
      <c r="AY227" s="646"/>
      <c r="AZ227" s="646"/>
      <c r="BA227" s="646"/>
      <c r="BB227" s="646"/>
      <c r="BC227" s="646"/>
      <c r="BD227" s="646"/>
      <c r="BE227" s="646"/>
      <c r="BF227" s="646"/>
      <c r="BG227" s="646"/>
      <c r="BH227" s="646"/>
      <c r="BI227" s="647"/>
      <c r="BJ227" s="647"/>
      <c r="BK227" s="647"/>
      <c r="BL227" s="647"/>
      <c r="BM227" s="647"/>
    </row>
    <row r="228" spans="2:65" s="640" customFormat="1" hidden="1">
      <c r="B228" s="1022"/>
      <c r="C228" s="1022"/>
      <c r="D228" s="1022"/>
      <c r="E228" s="1022"/>
      <c r="F228" s="1022"/>
      <c r="G228" s="1022"/>
      <c r="H228" s="1022"/>
      <c r="I228" s="1022"/>
      <c r="J228" s="1022"/>
      <c r="K228" s="1022"/>
      <c r="L228" s="1022"/>
      <c r="M228" s="1022"/>
      <c r="N228" s="1022"/>
      <c r="O228" s="1022"/>
      <c r="P228" s="1022"/>
      <c r="Q228" s="1022"/>
      <c r="R228" s="1022"/>
      <c r="S228" s="1022"/>
      <c r="T228" s="1022"/>
      <c r="U228" s="1022"/>
      <c r="W228" s="645"/>
      <c r="X228" s="1066"/>
      <c r="Y228" s="646"/>
      <c r="Z228" s="673"/>
      <c r="AA228" s="646"/>
      <c r="AB228" s="646"/>
      <c r="AC228" s="646"/>
      <c r="AD228" s="646"/>
      <c r="AE228" s="646"/>
      <c r="AF228" s="646"/>
      <c r="AG228" s="646"/>
      <c r="AH228" s="646"/>
      <c r="AI228" s="646"/>
      <c r="AJ228" s="646"/>
      <c r="AK228" s="646"/>
      <c r="AL228" s="646"/>
      <c r="AM228" s="646"/>
      <c r="AN228" s="646"/>
      <c r="AO228" s="646"/>
      <c r="AP228" s="646"/>
      <c r="AQ228" s="646"/>
      <c r="AR228" s="646"/>
      <c r="AS228" s="646"/>
      <c r="AT228" s="646"/>
      <c r="AU228" s="645"/>
      <c r="AV228" s="645"/>
      <c r="AW228" s="645"/>
      <c r="AX228" s="645"/>
      <c r="AY228" s="646"/>
      <c r="AZ228" s="646"/>
      <c r="BA228" s="646"/>
      <c r="BB228" s="646"/>
      <c r="BC228" s="646"/>
      <c r="BD228" s="646"/>
      <c r="BE228" s="646"/>
      <c r="BF228" s="646"/>
      <c r="BG228" s="646"/>
      <c r="BH228" s="646"/>
      <c r="BI228" s="647"/>
      <c r="BJ228" s="647"/>
      <c r="BK228" s="647"/>
      <c r="BL228" s="647"/>
      <c r="BM228" s="647"/>
    </row>
    <row r="229" spans="2:65" s="640" customFormat="1" hidden="1">
      <c r="B229" s="1022"/>
      <c r="C229" s="1022"/>
      <c r="D229" s="1022"/>
      <c r="E229" s="1022"/>
      <c r="F229" s="1022"/>
      <c r="G229" s="1022"/>
      <c r="H229" s="1022"/>
      <c r="I229" s="1022"/>
      <c r="J229" s="1022"/>
      <c r="K229" s="1022"/>
      <c r="L229" s="1022"/>
      <c r="M229" s="1022"/>
      <c r="N229" s="1022"/>
      <c r="O229" s="1022"/>
      <c r="P229" s="1022"/>
      <c r="Q229" s="1022"/>
      <c r="R229" s="1022"/>
      <c r="S229" s="1022"/>
      <c r="T229" s="1022"/>
      <c r="U229" s="1022"/>
      <c r="W229" s="645"/>
      <c r="X229" s="1066"/>
      <c r="Y229" s="646"/>
      <c r="Z229" s="673"/>
      <c r="AA229" s="646"/>
      <c r="AB229" s="646"/>
      <c r="AC229" s="646"/>
      <c r="AD229" s="646"/>
      <c r="AE229" s="646"/>
      <c r="AF229" s="646"/>
      <c r="AG229" s="646"/>
      <c r="AH229" s="646"/>
      <c r="AI229" s="646"/>
      <c r="AJ229" s="646"/>
      <c r="AK229" s="646"/>
      <c r="AL229" s="646"/>
      <c r="AM229" s="646"/>
      <c r="AN229" s="646"/>
      <c r="AO229" s="646"/>
      <c r="AP229" s="646"/>
      <c r="AQ229" s="646"/>
      <c r="AR229" s="646"/>
      <c r="AS229" s="646"/>
      <c r="AT229" s="646"/>
      <c r="AU229" s="645"/>
      <c r="AV229" s="645"/>
      <c r="AW229" s="645"/>
      <c r="AX229" s="645"/>
      <c r="AY229" s="646"/>
      <c r="AZ229" s="646"/>
      <c r="BA229" s="646"/>
      <c r="BB229" s="646"/>
      <c r="BC229" s="646"/>
      <c r="BD229" s="646"/>
      <c r="BE229" s="646"/>
      <c r="BF229" s="646"/>
      <c r="BG229" s="646"/>
      <c r="BH229" s="646"/>
      <c r="BI229" s="647"/>
      <c r="BJ229" s="647"/>
      <c r="BK229" s="647"/>
      <c r="BL229" s="647"/>
      <c r="BM229" s="647"/>
    </row>
    <row r="230" spans="2:65" s="640" customFormat="1" hidden="1">
      <c r="B230" s="1022"/>
      <c r="C230" s="1022"/>
      <c r="D230" s="1022"/>
      <c r="E230" s="1022"/>
      <c r="F230" s="1022"/>
      <c r="G230" s="1022"/>
      <c r="H230" s="1022"/>
      <c r="I230" s="1022"/>
      <c r="J230" s="1022"/>
      <c r="K230" s="1022"/>
      <c r="L230" s="1022"/>
      <c r="M230" s="1022"/>
      <c r="N230" s="1022"/>
      <c r="O230" s="1022"/>
      <c r="P230" s="1022"/>
      <c r="Q230" s="1022"/>
      <c r="R230" s="1022"/>
      <c r="S230" s="1022"/>
      <c r="T230" s="1022"/>
      <c r="U230" s="1022"/>
      <c r="W230" s="645"/>
      <c r="X230" s="1066"/>
      <c r="Y230" s="646"/>
      <c r="Z230" s="673"/>
      <c r="AA230" s="646"/>
      <c r="AB230" s="646"/>
      <c r="AC230" s="646"/>
      <c r="AD230" s="646"/>
      <c r="AE230" s="646"/>
      <c r="AF230" s="646"/>
      <c r="AG230" s="646"/>
      <c r="AH230" s="646"/>
      <c r="AI230" s="646"/>
      <c r="AJ230" s="646"/>
      <c r="AK230" s="646"/>
      <c r="AL230" s="646"/>
      <c r="AM230" s="646"/>
      <c r="AN230" s="646"/>
      <c r="AO230" s="646"/>
      <c r="AP230" s="646"/>
      <c r="AQ230" s="646"/>
      <c r="AR230" s="646"/>
      <c r="AS230" s="646"/>
      <c r="AT230" s="646"/>
      <c r="AU230" s="645"/>
      <c r="AV230" s="645"/>
      <c r="AW230" s="645"/>
      <c r="AX230" s="645"/>
      <c r="AY230" s="646"/>
      <c r="AZ230" s="646"/>
      <c r="BA230" s="646"/>
      <c r="BB230" s="646"/>
      <c r="BC230" s="646"/>
      <c r="BD230" s="646"/>
      <c r="BE230" s="646"/>
      <c r="BF230" s="646"/>
      <c r="BG230" s="646"/>
      <c r="BH230" s="646"/>
      <c r="BI230" s="647"/>
      <c r="BJ230" s="647"/>
      <c r="BK230" s="647"/>
      <c r="BL230" s="647"/>
      <c r="BM230" s="647"/>
    </row>
    <row r="231" spans="2:65" s="640" customFormat="1" hidden="1">
      <c r="B231" s="1022"/>
      <c r="C231" s="1022"/>
      <c r="D231" s="1022"/>
      <c r="E231" s="1022"/>
      <c r="F231" s="1022"/>
      <c r="G231" s="1022"/>
      <c r="H231" s="1022"/>
      <c r="I231" s="1022"/>
      <c r="J231" s="1022"/>
      <c r="K231" s="1022"/>
      <c r="L231" s="1022"/>
      <c r="M231" s="1022"/>
      <c r="N231" s="1022"/>
      <c r="O231" s="1022"/>
      <c r="P231" s="1022"/>
      <c r="Q231" s="1022"/>
      <c r="R231" s="1022"/>
      <c r="S231" s="1022"/>
      <c r="T231" s="1022"/>
      <c r="U231" s="1022"/>
      <c r="W231" s="645"/>
      <c r="X231" s="1066"/>
      <c r="Y231" s="646"/>
      <c r="Z231" s="673"/>
      <c r="AA231" s="646"/>
      <c r="AB231" s="646"/>
      <c r="AC231" s="646"/>
      <c r="AD231" s="646"/>
      <c r="AE231" s="646"/>
      <c r="AF231" s="646"/>
      <c r="AG231" s="646"/>
      <c r="AH231" s="646"/>
      <c r="AI231" s="646"/>
      <c r="AJ231" s="646"/>
      <c r="AK231" s="646"/>
      <c r="AL231" s="646"/>
      <c r="AM231" s="646"/>
      <c r="AN231" s="646"/>
      <c r="AO231" s="646"/>
      <c r="AP231" s="646"/>
      <c r="AQ231" s="646"/>
      <c r="AR231" s="646"/>
      <c r="AS231" s="646"/>
      <c r="AT231" s="646"/>
      <c r="AU231" s="645"/>
      <c r="AV231" s="645"/>
      <c r="AW231" s="645"/>
      <c r="AX231" s="645"/>
      <c r="AY231" s="646"/>
      <c r="AZ231" s="646"/>
      <c r="BA231" s="646"/>
      <c r="BB231" s="646"/>
      <c r="BC231" s="646"/>
      <c r="BD231" s="646"/>
      <c r="BE231" s="646"/>
      <c r="BF231" s="646"/>
      <c r="BG231" s="646"/>
      <c r="BH231" s="646"/>
      <c r="BI231" s="647"/>
      <c r="BJ231" s="647"/>
      <c r="BK231" s="647"/>
      <c r="BL231" s="647"/>
      <c r="BM231" s="647"/>
    </row>
    <row r="232" spans="2:65" s="640" customFormat="1" hidden="1">
      <c r="B232" s="1022"/>
      <c r="C232" s="1022"/>
      <c r="D232" s="1022"/>
      <c r="E232" s="1022"/>
      <c r="F232" s="1022"/>
      <c r="G232" s="1022"/>
      <c r="H232" s="1022"/>
      <c r="I232" s="1022"/>
      <c r="J232" s="1022"/>
      <c r="K232" s="1022"/>
      <c r="L232" s="1022"/>
      <c r="M232" s="1022"/>
      <c r="N232" s="1022"/>
      <c r="O232" s="1022"/>
      <c r="P232" s="1022"/>
      <c r="Q232" s="1022"/>
      <c r="R232" s="1022"/>
      <c r="S232" s="1022"/>
      <c r="T232" s="1022"/>
      <c r="U232" s="1022"/>
      <c r="W232" s="645"/>
      <c r="X232" s="1066"/>
      <c r="Y232" s="646"/>
      <c r="Z232" s="673"/>
      <c r="AA232" s="646"/>
      <c r="AB232" s="646"/>
      <c r="AC232" s="646"/>
      <c r="AD232" s="646"/>
      <c r="AE232" s="646"/>
      <c r="AF232" s="646"/>
      <c r="AG232" s="646"/>
      <c r="AH232" s="646"/>
      <c r="AI232" s="646"/>
      <c r="AJ232" s="646"/>
      <c r="AK232" s="646"/>
      <c r="AL232" s="646"/>
      <c r="AM232" s="646"/>
      <c r="AN232" s="646"/>
      <c r="AO232" s="646"/>
      <c r="AP232" s="646"/>
      <c r="AQ232" s="646"/>
      <c r="AR232" s="646"/>
      <c r="AS232" s="646"/>
      <c r="AT232" s="646"/>
      <c r="AU232" s="645"/>
      <c r="AV232" s="645"/>
      <c r="AW232" s="645"/>
      <c r="AX232" s="645"/>
      <c r="AY232" s="646"/>
      <c r="AZ232" s="646"/>
      <c r="BA232" s="646"/>
      <c r="BB232" s="646"/>
      <c r="BC232" s="646"/>
      <c r="BD232" s="646"/>
      <c r="BE232" s="646"/>
      <c r="BF232" s="646"/>
      <c r="BG232" s="646"/>
      <c r="BH232" s="646"/>
      <c r="BI232" s="647"/>
      <c r="BJ232" s="647"/>
      <c r="BK232" s="647"/>
      <c r="BL232" s="647"/>
      <c r="BM232" s="647"/>
    </row>
    <row r="233" spans="2:65" s="640" customFormat="1" hidden="1">
      <c r="B233" s="1022"/>
      <c r="C233" s="1022"/>
      <c r="D233" s="1022"/>
      <c r="E233" s="1022"/>
      <c r="F233" s="1022"/>
      <c r="G233" s="1022"/>
      <c r="H233" s="1022"/>
      <c r="I233" s="1022"/>
      <c r="J233" s="1022"/>
      <c r="K233" s="1022"/>
      <c r="L233" s="1022"/>
      <c r="M233" s="1022"/>
      <c r="N233" s="1022"/>
      <c r="O233" s="1022"/>
      <c r="P233" s="1022"/>
      <c r="Q233" s="1022"/>
      <c r="R233" s="1022"/>
      <c r="S233" s="1022"/>
      <c r="T233" s="1022"/>
      <c r="U233" s="1022"/>
      <c r="W233" s="645"/>
      <c r="X233" s="1066"/>
      <c r="Y233" s="646"/>
      <c r="Z233" s="673"/>
      <c r="AA233" s="646"/>
      <c r="AB233" s="646"/>
      <c r="AC233" s="646"/>
      <c r="AD233" s="646"/>
      <c r="AE233" s="646"/>
      <c r="AF233" s="646"/>
      <c r="AG233" s="646"/>
      <c r="AH233" s="646"/>
      <c r="AI233" s="646"/>
      <c r="AJ233" s="646"/>
      <c r="AK233" s="646"/>
      <c r="AL233" s="646"/>
      <c r="AM233" s="646"/>
      <c r="AN233" s="646"/>
      <c r="AO233" s="646"/>
      <c r="AP233" s="646"/>
      <c r="AQ233" s="646"/>
      <c r="AR233" s="646"/>
      <c r="AS233" s="646"/>
      <c r="AT233" s="646"/>
      <c r="AU233" s="645"/>
      <c r="AV233" s="645"/>
      <c r="AW233" s="645"/>
      <c r="AX233" s="645"/>
      <c r="AY233" s="646"/>
      <c r="AZ233" s="646"/>
      <c r="BA233" s="646"/>
      <c r="BB233" s="646"/>
      <c r="BC233" s="646"/>
      <c r="BD233" s="646"/>
      <c r="BE233" s="646"/>
      <c r="BF233" s="646"/>
      <c r="BG233" s="646"/>
      <c r="BH233" s="646"/>
      <c r="BI233" s="647"/>
      <c r="BJ233" s="647"/>
      <c r="BK233" s="647"/>
      <c r="BL233" s="647"/>
      <c r="BM233" s="647"/>
    </row>
    <row r="234" spans="2:65" s="640" customFormat="1" hidden="1">
      <c r="B234" s="1022"/>
      <c r="C234" s="1022"/>
      <c r="D234" s="1022"/>
      <c r="E234" s="1022"/>
      <c r="F234" s="1022"/>
      <c r="G234" s="1022"/>
      <c r="H234" s="1022"/>
      <c r="I234" s="1022"/>
      <c r="J234" s="1022"/>
      <c r="K234" s="1022"/>
      <c r="L234" s="1022"/>
      <c r="M234" s="1022"/>
      <c r="N234" s="1022"/>
      <c r="O234" s="1022"/>
      <c r="P234" s="1022"/>
      <c r="Q234" s="1022"/>
      <c r="R234" s="1022"/>
      <c r="S234" s="1022"/>
      <c r="T234" s="1022"/>
      <c r="U234" s="1022"/>
      <c r="W234" s="645"/>
      <c r="X234" s="1066"/>
      <c r="Y234" s="646"/>
      <c r="Z234" s="673"/>
      <c r="AA234" s="646"/>
      <c r="AB234" s="646"/>
      <c r="AC234" s="646"/>
      <c r="AD234" s="646"/>
      <c r="AE234" s="646"/>
      <c r="AF234" s="646"/>
      <c r="AG234" s="646"/>
      <c r="AH234" s="646"/>
      <c r="AI234" s="646"/>
      <c r="AJ234" s="646"/>
      <c r="AK234" s="646"/>
      <c r="AL234" s="646"/>
      <c r="AM234" s="646"/>
      <c r="AN234" s="646"/>
      <c r="AO234" s="646"/>
      <c r="AP234" s="646"/>
      <c r="AQ234" s="646"/>
      <c r="AR234" s="646"/>
      <c r="AS234" s="646"/>
      <c r="AT234" s="646"/>
      <c r="AU234" s="645"/>
      <c r="AV234" s="645"/>
      <c r="AW234" s="645"/>
      <c r="AX234" s="645"/>
      <c r="AY234" s="646"/>
      <c r="AZ234" s="646"/>
      <c r="BA234" s="646"/>
      <c r="BB234" s="646"/>
      <c r="BC234" s="646"/>
      <c r="BD234" s="646"/>
      <c r="BE234" s="646"/>
      <c r="BF234" s="646"/>
      <c r="BG234" s="646"/>
      <c r="BH234" s="646"/>
      <c r="BI234" s="647"/>
      <c r="BJ234" s="647"/>
      <c r="BK234" s="647"/>
      <c r="BL234" s="647"/>
      <c r="BM234" s="647"/>
    </row>
    <row r="235" spans="2:65" s="640" customFormat="1" hidden="1">
      <c r="B235" s="1022"/>
      <c r="C235" s="1022"/>
      <c r="D235" s="1022"/>
      <c r="E235" s="1022"/>
      <c r="F235" s="1022"/>
      <c r="G235" s="1022"/>
      <c r="H235" s="1022"/>
      <c r="I235" s="1022"/>
      <c r="J235" s="1022"/>
      <c r="K235" s="1022"/>
      <c r="L235" s="1022"/>
      <c r="M235" s="1022"/>
      <c r="N235" s="1022"/>
      <c r="O235" s="1022"/>
      <c r="P235" s="1022"/>
      <c r="Q235" s="1022"/>
      <c r="R235" s="1022"/>
      <c r="S235" s="1022"/>
      <c r="T235" s="1022"/>
      <c r="U235" s="1022"/>
      <c r="W235" s="645"/>
      <c r="X235" s="1066"/>
      <c r="Y235" s="646"/>
      <c r="Z235" s="673"/>
      <c r="AA235" s="646"/>
      <c r="AB235" s="646"/>
      <c r="AC235" s="646"/>
      <c r="AD235" s="646"/>
      <c r="AE235" s="646"/>
      <c r="AF235" s="646"/>
      <c r="AG235" s="646"/>
      <c r="AH235" s="646"/>
      <c r="AI235" s="646"/>
      <c r="AJ235" s="646"/>
      <c r="AK235" s="646"/>
      <c r="AL235" s="646"/>
      <c r="AM235" s="646"/>
      <c r="AN235" s="646"/>
      <c r="AO235" s="646"/>
      <c r="AP235" s="646"/>
      <c r="AQ235" s="646"/>
      <c r="AR235" s="646"/>
      <c r="AS235" s="646"/>
      <c r="AT235" s="646"/>
      <c r="AU235" s="645"/>
      <c r="AV235" s="645"/>
      <c r="AW235" s="645"/>
      <c r="AX235" s="645"/>
      <c r="AY235" s="646"/>
      <c r="AZ235" s="646"/>
      <c r="BA235" s="646"/>
      <c r="BB235" s="646"/>
      <c r="BC235" s="646"/>
      <c r="BD235" s="646"/>
      <c r="BE235" s="646"/>
      <c r="BF235" s="646"/>
      <c r="BG235" s="646"/>
      <c r="BH235" s="646"/>
      <c r="BI235" s="647"/>
      <c r="BJ235" s="647"/>
      <c r="BK235" s="647"/>
      <c r="BL235" s="647"/>
      <c r="BM235" s="647"/>
    </row>
    <row r="236" spans="2:65" s="640" customFormat="1" hidden="1">
      <c r="B236" s="1022"/>
      <c r="C236" s="1022"/>
      <c r="D236" s="1022"/>
      <c r="E236" s="1022"/>
      <c r="F236" s="1022"/>
      <c r="G236" s="1022"/>
      <c r="H236" s="1022"/>
      <c r="I236" s="1022"/>
      <c r="J236" s="1022"/>
      <c r="K236" s="1022"/>
      <c r="L236" s="1022"/>
      <c r="M236" s="1022"/>
      <c r="N236" s="1022"/>
      <c r="O236" s="1022"/>
      <c r="P236" s="1022"/>
      <c r="Q236" s="1022"/>
      <c r="R236" s="1022"/>
      <c r="S236" s="1022"/>
      <c r="T236" s="1022"/>
      <c r="U236" s="1022"/>
      <c r="W236" s="645"/>
      <c r="X236" s="1066"/>
      <c r="Y236" s="646"/>
      <c r="Z236" s="673"/>
      <c r="AA236" s="646"/>
      <c r="AB236" s="646"/>
      <c r="AC236" s="646"/>
      <c r="AD236" s="646"/>
      <c r="AE236" s="646"/>
      <c r="AF236" s="646"/>
      <c r="AG236" s="646"/>
      <c r="AH236" s="646"/>
      <c r="AI236" s="646"/>
      <c r="AJ236" s="646"/>
      <c r="AK236" s="646"/>
      <c r="AL236" s="646"/>
      <c r="AM236" s="646"/>
      <c r="AN236" s="646"/>
      <c r="AO236" s="646"/>
      <c r="AP236" s="646"/>
      <c r="AQ236" s="646"/>
      <c r="AR236" s="646"/>
      <c r="AS236" s="646"/>
      <c r="AT236" s="646"/>
      <c r="AU236" s="645"/>
      <c r="AV236" s="645"/>
      <c r="AW236" s="645"/>
      <c r="AX236" s="645"/>
      <c r="AY236" s="646"/>
      <c r="AZ236" s="646"/>
      <c r="BA236" s="646"/>
      <c r="BB236" s="646"/>
      <c r="BC236" s="646"/>
      <c r="BD236" s="646"/>
      <c r="BE236" s="646"/>
      <c r="BF236" s="646"/>
      <c r="BG236" s="646"/>
      <c r="BH236" s="646"/>
      <c r="BI236" s="647"/>
      <c r="BJ236" s="647"/>
      <c r="BK236" s="647"/>
      <c r="BL236" s="647"/>
      <c r="BM236" s="647"/>
    </row>
    <row r="237" spans="2:65" s="640" customFormat="1" hidden="1">
      <c r="B237" s="1022"/>
      <c r="C237" s="1022"/>
      <c r="D237" s="1022"/>
      <c r="E237" s="1022"/>
      <c r="F237" s="1022"/>
      <c r="G237" s="1022"/>
      <c r="H237" s="1022"/>
      <c r="I237" s="1022"/>
      <c r="J237" s="1022"/>
      <c r="K237" s="1022"/>
      <c r="L237" s="1022"/>
      <c r="M237" s="1022"/>
      <c r="N237" s="1022"/>
      <c r="O237" s="1022"/>
      <c r="P237" s="1022"/>
      <c r="Q237" s="1022"/>
      <c r="R237" s="1022"/>
      <c r="S237" s="1022"/>
      <c r="T237" s="1022"/>
      <c r="U237" s="1022"/>
      <c r="W237" s="645"/>
      <c r="X237" s="1066"/>
      <c r="Y237" s="646"/>
      <c r="Z237" s="673"/>
      <c r="AA237" s="646"/>
      <c r="AB237" s="646"/>
      <c r="AC237" s="646"/>
      <c r="AD237" s="646"/>
      <c r="AE237" s="646"/>
      <c r="AF237" s="646"/>
      <c r="AG237" s="646"/>
      <c r="AH237" s="646"/>
      <c r="AI237" s="646"/>
      <c r="AJ237" s="646"/>
      <c r="AK237" s="646"/>
      <c r="AL237" s="646"/>
      <c r="AM237" s="646"/>
      <c r="AN237" s="646"/>
      <c r="AO237" s="646"/>
      <c r="AP237" s="646"/>
      <c r="AQ237" s="646"/>
      <c r="AR237" s="646"/>
      <c r="AS237" s="646"/>
      <c r="AT237" s="646"/>
      <c r="AU237" s="645"/>
      <c r="AV237" s="645"/>
      <c r="AW237" s="645"/>
      <c r="AX237" s="645"/>
      <c r="AY237" s="646"/>
      <c r="AZ237" s="646"/>
      <c r="BA237" s="646"/>
      <c r="BB237" s="646"/>
      <c r="BC237" s="646"/>
      <c r="BD237" s="646"/>
      <c r="BE237" s="646"/>
      <c r="BF237" s="646"/>
      <c r="BG237" s="646"/>
      <c r="BH237" s="646"/>
      <c r="BI237" s="647"/>
      <c r="BJ237" s="647"/>
      <c r="BK237" s="647"/>
      <c r="BL237" s="647"/>
      <c r="BM237" s="647"/>
    </row>
    <row r="238" spans="2:65" s="640" customFormat="1" hidden="1">
      <c r="B238" s="1022"/>
      <c r="C238" s="1022"/>
      <c r="D238" s="1022"/>
      <c r="E238" s="1022"/>
      <c r="F238" s="1022"/>
      <c r="G238" s="1022"/>
      <c r="H238" s="1022"/>
      <c r="I238" s="1022"/>
      <c r="J238" s="1022"/>
      <c r="K238" s="1022"/>
      <c r="L238" s="1022"/>
      <c r="M238" s="1022"/>
      <c r="N238" s="1022"/>
      <c r="O238" s="1022"/>
      <c r="P238" s="1022"/>
      <c r="Q238" s="1022"/>
      <c r="R238" s="1022"/>
      <c r="S238" s="1022"/>
      <c r="T238" s="1022"/>
      <c r="U238" s="1022"/>
      <c r="W238" s="645"/>
      <c r="X238" s="1066"/>
      <c r="Y238" s="646"/>
      <c r="Z238" s="673"/>
      <c r="AA238" s="646"/>
      <c r="AB238" s="646"/>
      <c r="AC238" s="646"/>
      <c r="AD238" s="646"/>
      <c r="AE238" s="646"/>
      <c r="AF238" s="646"/>
      <c r="AG238" s="646"/>
      <c r="AH238" s="646"/>
      <c r="AI238" s="646"/>
      <c r="AJ238" s="646"/>
      <c r="AK238" s="646"/>
      <c r="AL238" s="646"/>
      <c r="AM238" s="646"/>
      <c r="AN238" s="646"/>
      <c r="AO238" s="646"/>
      <c r="AP238" s="646"/>
      <c r="AQ238" s="646"/>
      <c r="AR238" s="646"/>
      <c r="AS238" s="646"/>
      <c r="AT238" s="646"/>
      <c r="AU238" s="645"/>
      <c r="AV238" s="645"/>
      <c r="AW238" s="645"/>
      <c r="AX238" s="645"/>
      <c r="AY238" s="646"/>
      <c r="AZ238" s="646"/>
      <c r="BA238" s="646"/>
      <c r="BB238" s="646"/>
      <c r="BC238" s="646"/>
      <c r="BD238" s="646"/>
      <c r="BE238" s="646"/>
      <c r="BF238" s="646"/>
      <c r="BG238" s="646"/>
      <c r="BH238" s="646"/>
      <c r="BI238" s="647"/>
      <c r="BJ238" s="647"/>
      <c r="BK238" s="647"/>
      <c r="BL238" s="647"/>
      <c r="BM238" s="647"/>
    </row>
    <row r="239" spans="2:65" s="640" customFormat="1" hidden="1">
      <c r="B239" s="1022"/>
      <c r="C239" s="1022"/>
      <c r="D239" s="1022"/>
      <c r="E239" s="1022"/>
      <c r="F239" s="1022"/>
      <c r="G239" s="1022"/>
      <c r="H239" s="1022"/>
      <c r="I239" s="1022"/>
      <c r="J239" s="1022"/>
      <c r="K239" s="1022"/>
      <c r="L239" s="1022"/>
      <c r="M239" s="1022"/>
      <c r="N239" s="1022"/>
      <c r="O239" s="1022"/>
      <c r="P239" s="1022"/>
      <c r="Q239" s="1022"/>
      <c r="R239" s="1022"/>
      <c r="S239" s="1022"/>
      <c r="T239" s="1022"/>
      <c r="U239" s="1022"/>
      <c r="W239" s="645"/>
      <c r="X239" s="1066"/>
      <c r="Y239" s="646"/>
      <c r="Z239" s="673"/>
      <c r="AA239" s="646"/>
      <c r="AB239" s="646"/>
      <c r="AC239" s="646"/>
      <c r="AD239" s="646"/>
      <c r="AE239" s="646"/>
      <c r="AF239" s="646"/>
      <c r="AG239" s="646"/>
      <c r="AH239" s="646"/>
      <c r="AI239" s="646"/>
      <c r="AJ239" s="646"/>
      <c r="AK239" s="646"/>
      <c r="AL239" s="646"/>
      <c r="AM239" s="646"/>
      <c r="AN239" s="646"/>
      <c r="AO239" s="646"/>
      <c r="AP239" s="646"/>
      <c r="AQ239" s="646"/>
      <c r="AR239" s="646"/>
      <c r="AS239" s="646"/>
      <c r="AT239" s="646"/>
      <c r="AU239" s="645"/>
      <c r="AV239" s="645"/>
      <c r="AW239" s="645"/>
      <c r="AX239" s="645"/>
      <c r="AY239" s="646"/>
      <c r="AZ239" s="646"/>
      <c r="BA239" s="646"/>
      <c r="BB239" s="646"/>
      <c r="BC239" s="646"/>
      <c r="BD239" s="646"/>
      <c r="BE239" s="646"/>
      <c r="BF239" s="646"/>
      <c r="BG239" s="646"/>
      <c r="BH239" s="646"/>
      <c r="BI239" s="647"/>
      <c r="BJ239" s="647"/>
      <c r="BK239" s="647"/>
      <c r="BL239" s="647"/>
      <c r="BM239" s="647"/>
    </row>
    <row r="240" spans="2:65" s="640" customFormat="1" hidden="1">
      <c r="B240" s="1022"/>
      <c r="C240" s="1022"/>
      <c r="D240" s="1022"/>
      <c r="E240" s="1022"/>
      <c r="F240" s="1022"/>
      <c r="G240" s="1022"/>
      <c r="H240" s="1022"/>
      <c r="I240" s="1022"/>
      <c r="J240" s="1022"/>
      <c r="K240" s="1022"/>
      <c r="L240" s="1022"/>
      <c r="M240" s="1022"/>
      <c r="N240" s="1022"/>
      <c r="O240" s="1022"/>
      <c r="P240" s="1022"/>
      <c r="Q240" s="1022"/>
      <c r="R240" s="1022"/>
      <c r="S240" s="1022"/>
      <c r="T240" s="1022"/>
      <c r="U240" s="1022"/>
      <c r="W240" s="645"/>
      <c r="X240" s="1066"/>
      <c r="Y240" s="646"/>
      <c r="Z240" s="673"/>
      <c r="AA240" s="646"/>
      <c r="AB240" s="646"/>
      <c r="AC240" s="646"/>
      <c r="AD240" s="646"/>
      <c r="AE240" s="646"/>
      <c r="AF240" s="646"/>
      <c r="AG240" s="646"/>
      <c r="AH240" s="646"/>
      <c r="AI240" s="646"/>
      <c r="AJ240" s="646"/>
      <c r="AK240" s="646"/>
      <c r="AL240" s="646"/>
      <c r="AM240" s="646"/>
      <c r="AN240" s="646"/>
      <c r="AO240" s="646"/>
      <c r="AP240" s="646"/>
      <c r="AQ240" s="646"/>
      <c r="AR240" s="646"/>
      <c r="AS240" s="646"/>
      <c r="AT240" s="646"/>
      <c r="AU240" s="645"/>
      <c r="AV240" s="645"/>
      <c r="AW240" s="645"/>
      <c r="AX240" s="645"/>
      <c r="AY240" s="646"/>
      <c r="AZ240" s="646"/>
      <c r="BA240" s="646"/>
      <c r="BB240" s="646"/>
      <c r="BC240" s="646"/>
      <c r="BD240" s="646"/>
      <c r="BE240" s="646"/>
      <c r="BF240" s="646"/>
      <c r="BG240" s="646"/>
      <c r="BH240" s="646"/>
      <c r="BI240" s="647"/>
      <c r="BJ240" s="647"/>
      <c r="BK240" s="647"/>
      <c r="BL240" s="647"/>
      <c r="BM240" s="647"/>
    </row>
    <row r="241" spans="2:65" s="640" customFormat="1" hidden="1">
      <c r="B241" s="1022"/>
      <c r="C241" s="1022"/>
      <c r="D241" s="1022"/>
      <c r="E241" s="1022"/>
      <c r="F241" s="1022"/>
      <c r="G241" s="1022"/>
      <c r="H241" s="1022"/>
      <c r="I241" s="1022"/>
      <c r="J241" s="1022"/>
      <c r="K241" s="1022"/>
      <c r="L241" s="1022"/>
      <c r="M241" s="1022"/>
      <c r="N241" s="1022"/>
      <c r="O241" s="1022"/>
      <c r="P241" s="1022"/>
      <c r="Q241" s="1022"/>
      <c r="R241" s="1022"/>
      <c r="S241" s="1022"/>
      <c r="T241" s="1022"/>
      <c r="U241" s="1022"/>
      <c r="W241" s="645"/>
      <c r="X241" s="1066"/>
      <c r="Y241" s="646"/>
      <c r="Z241" s="673"/>
      <c r="AA241" s="646"/>
      <c r="AB241" s="646"/>
      <c r="AC241" s="646"/>
      <c r="AD241" s="646"/>
      <c r="AE241" s="646"/>
      <c r="AF241" s="646"/>
      <c r="AG241" s="646"/>
      <c r="AH241" s="646"/>
      <c r="AI241" s="646"/>
      <c r="AJ241" s="646"/>
      <c r="AK241" s="646"/>
      <c r="AL241" s="646"/>
      <c r="AM241" s="646"/>
      <c r="AN241" s="646"/>
      <c r="AO241" s="646"/>
      <c r="AP241" s="646"/>
      <c r="AQ241" s="646"/>
      <c r="AR241" s="646"/>
      <c r="AS241" s="646"/>
      <c r="AT241" s="646"/>
      <c r="AU241" s="645"/>
      <c r="AV241" s="645"/>
      <c r="AW241" s="645"/>
      <c r="AX241" s="645"/>
      <c r="AY241" s="646"/>
      <c r="AZ241" s="646"/>
      <c r="BA241" s="646"/>
      <c r="BB241" s="646"/>
      <c r="BC241" s="646"/>
      <c r="BD241" s="646"/>
      <c r="BE241" s="646"/>
      <c r="BF241" s="646"/>
      <c r="BG241" s="646"/>
      <c r="BH241" s="646"/>
      <c r="BI241" s="647"/>
      <c r="BJ241" s="647"/>
      <c r="BK241" s="647"/>
      <c r="BL241" s="647"/>
      <c r="BM241" s="647"/>
    </row>
    <row r="242" spans="2:65" s="640" customFormat="1" hidden="1">
      <c r="B242" s="1022"/>
      <c r="C242" s="1022"/>
      <c r="D242" s="1022"/>
      <c r="E242" s="1022"/>
      <c r="F242" s="1022"/>
      <c r="G242" s="1022"/>
      <c r="H242" s="1022"/>
      <c r="I242" s="1022"/>
      <c r="J242" s="1022"/>
      <c r="K242" s="1022"/>
      <c r="L242" s="1022"/>
      <c r="M242" s="1022"/>
      <c r="N242" s="1022"/>
      <c r="O242" s="1022"/>
      <c r="P242" s="1022"/>
      <c r="Q242" s="1022"/>
      <c r="R242" s="1022"/>
      <c r="S242" s="1022"/>
      <c r="T242" s="1022"/>
      <c r="U242" s="1022"/>
      <c r="W242" s="645"/>
      <c r="X242" s="1066"/>
      <c r="Y242" s="646"/>
      <c r="Z242" s="673"/>
      <c r="AA242" s="646"/>
      <c r="AB242" s="646"/>
      <c r="AC242" s="646"/>
      <c r="AD242" s="646"/>
      <c r="AE242" s="646"/>
      <c r="AF242" s="646"/>
      <c r="AG242" s="646"/>
      <c r="AH242" s="646"/>
      <c r="AI242" s="646"/>
      <c r="AJ242" s="646"/>
      <c r="AK242" s="646"/>
      <c r="AL242" s="646"/>
      <c r="AM242" s="646"/>
      <c r="AN242" s="646"/>
      <c r="AO242" s="646"/>
      <c r="AP242" s="646"/>
      <c r="AQ242" s="646"/>
      <c r="AR242" s="646"/>
      <c r="AS242" s="646"/>
      <c r="AT242" s="646"/>
      <c r="AU242" s="645"/>
      <c r="AV242" s="645"/>
      <c r="AW242" s="645"/>
      <c r="AX242" s="645"/>
      <c r="AY242" s="646"/>
      <c r="AZ242" s="646"/>
      <c r="BA242" s="646"/>
      <c r="BB242" s="646"/>
      <c r="BC242" s="646"/>
      <c r="BD242" s="646"/>
      <c r="BE242" s="646"/>
      <c r="BF242" s="646"/>
      <c r="BG242" s="646"/>
      <c r="BH242" s="646"/>
      <c r="BI242" s="647"/>
      <c r="BJ242" s="647"/>
      <c r="BK242" s="647"/>
      <c r="BL242" s="647"/>
      <c r="BM242" s="647"/>
    </row>
    <row r="243" spans="2:65" s="640" customFormat="1" hidden="1">
      <c r="B243" s="1022"/>
      <c r="C243" s="1022"/>
      <c r="D243" s="1022"/>
      <c r="E243" s="1022"/>
      <c r="F243" s="1022"/>
      <c r="G243" s="1022"/>
      <c r="H243" s="1022"/>
      <c r="I243" s="1022"/>
      <c r="J243" s="1022"/>
      <c r="K243" s="1022"/>
      <c r="L243" s="1022"/>
      <c r="M243" s="1022"/>
      <c r="N243" s="1022"/>
      <c r="O243" s="1022"/>
      <c r="P243" s="1022"/>
      <c r="Q243" s="1022"/>
      <c r="R243" s="1022"/>
      <c r="S243" s="1022"/>
      <c r="T243" s="1022"/>
      <c r="U243" s="1022"/>
      <c r="W243" s="645"/>
      <c r="X243" s="1066"/>
      <c r="Y243" s="646"/>
      <c r="Z243" s="673"/>
      <c r="AA243" s="646"/>
      <c r="AB243" s="646"/>
      <c r="AC243" s="646"/>
      <c r="AD243" s="646"/>
      <c r="AE243" s="646"/>
      <c r="AF243" s="646"/>
      <c r="AG243" s="646"/>
      <c r="AH243" s="646"/>
      <c r="AI243" s="646"/>
      <c r="AJ243" s="646"/>
      <c r="AK243" s="646"/>
      <c r="AL243" s="646"/>
      <c r="AM243" s="646"/>
      <c r="AN243" s="646"/>
      <c r="AO243" s="646"/>
      <c r="AP243" s="646"/>
      <c r="AQ243" s="646"/>
      <c r="AR243" s="646"/>
      <c r="AS243" s="646"/>
      <c r="AT243" s="646"/>
      <c r="AU243" s="645"/>
      <c r="AV243" s="645"/>
      <c r="AW243" s="645"/>
      <c r="AX243" s="645"/>
      <c r="AY243" s="646"/>
      <c r="AZ243" s="646"/>
      <c r="BA243" s="646"/>
      <c r="BB243" s="646"/>
      <c r="BC243" s="646"/>
      <c r="BD243" s="646"/>
      <c r="BE243" s="646"/>
      <c r="BF243" s="646"/>
      <c r="BG243" s="646"/>
      <c r="BH243" s="646"/>
      <c r="BI243" s="647"/>
      <c r="BJ243" s="647"/>
      <c r="BK243" s="647"/>
      <c r="BL243" s="647"/>
      <c r="BM243" s="647"/>
    </row>
    <row r="244" spans="2:65" s="640" customFormat="1" hidden="1">
      <c r="B244" s="1022"/>
      <c r="C244" s="1022"/>
      <c r="D244" s="1022"/>
      <c r="E244" s="1022"/>
      <c r="F244" s="1022"/>
      <c r="G244" s="1022"/>
      <c r="H244" s="1022"/>
      <c r="I244" s="1022"/>
      <c r="J244" s="1022"/>
      <c r="K244" s="1022"/>
      <c r="L244" s="1022"/>
      <c r="M244" s="1022"/>
      <c r="N244" s="1022"/>
      <c r="O244" s="1022"/>
      <c r="P244" s="1022"/>
      <c r="Q244" s="1022"/>
      <c r="R244" s="1022"/>
      <c r="S244" s="1022"/>
      <c r="T244" s="1022"/>
      <c r="U244" s="1022"/>
      <c r="W244" s="645"/>
      <c r="X244" s="1066"/>
      <c r="Y244" s="646"/>
      <c r="Z244" s="673"/>
      <c r="AA244" s="646"/>
      <c r="AB244" s="646"/>
      <c r="AC244" s="646"/>
      <c r="AD244" s="646"/>
      <c r="AE244" s="646"/>
      <c r="AF244" s="646"/>
      <c r="AG244" s="646"/>
      <c r="AH244" s="646"/>
      <c r="AI244" s="646"/>
      <c r="AJ244" s="646"/>
      <c r="AK244" s="646"/>
      <c r="AL244" s="646"/>
      <c r="AM244" s="646"/>
      <c r="AN244" s="646"/>
      <c r="AO244" s="646"/>
      <c r="AP244" s="646"/>
      <c r="AQ244" s="646"/>
      <c r="AR244" s="646"/>
      <c r="AS244" s="646"/>
      <c r="AT244" s="646"/>
      <c r="AU244" s="645"/>
      <c r="AV244" s="645"/>
      <c r="AW244" s="645"/>
      <c r="AX244" s="645"/>
      <c r="AY244" s="646"/>
      <c r="AZ244" s="646"/>
      <c r="BA244" s="646"/>
      <c r="BB244" s="646"/>
      <c r="BC244" s="646"/>
      <c r="BD244" s="646"/>
      <c r="BE244" s="646"/>
      <c r="BF244" s="646"/>
      <c r="BG244" s="646"/>
      <c r="BH244" s="646"/>
      <c r="BI244" s="647"/>
      <c r="BJ244" s="647"/>
      <c r="BK244" s="647"/>
      <c r="BL244" s="647"/>
      <c r="BM244" s="647"/>
    </row>
    <row r="245" spans="2:65" s="640" customFormat="1" hidden="1">
      <c r="B245" s="1022"/>
      <c r="C245" s="1022"/>
      <c r="D245" s="1022"/>
      <c r="E245" s="1022"/>
      <c r="F245" s="1022"/>
      <c r="G245" s="1022"/>
      <c r="H245" s="1022"/>
      <c r="I245" s="1022"/>
      <c r="J245" s="1022"/>
      <c r="K245" s="1022"/>
      <c r="L245" s="1022"/>
      <c r="M245" s="1022"/>
      <c r="N245" s="1022"/>
      <c r="O245" s="1022"/>
      <c r="P245" s="1022"/>
      <c r="Q245" s="1022"/>
      <c r="R245" s="1022"/>
      <c r="S245" s="1022"/>
      <c r="T245" s="1022"/>
      <c r="U245" s="1022"/>
      <c r="W245" s="645"/>
      <c r="X245" s="1066"/>
      <c r="Y245" s="646"/>
      <c r="Z245" s="673"/>
      <c r="AA245" s="646"/>
      <c r="AB245" s="646"/>
      <c r="AC245" s="646"/>
      <c r="AD245" s="646"/>
      <c r="AE245" s="646"/>
      <c r="AF245" s="646"/>
      <c r="AG245" s="646"/>
      <c r="AH245" s="646"/>
      <c r="AI245" s="646"/>
      <c r="AJ245" s="646"/>
      <c r="AK245" s="646"/>
      <c r="AL245" s="646"/>
      <c r="AM245" s="646"/>
      <c r="AN245" s="646"/>
      <c r="AO245" s="646"/>
      <c r="AP245" s="646"/>
      <c r="AQ245" s="646"/>
      <c r="AR245" s="646"/>
      <c r="AS245" s="646"/>
      <c r="AT245" s="646"/>
      <c r="AU245" s="645"/>
      <c r="AV245" s="645"/>
      <c r="AW245" s="645"/>
      <c r="AX245" s="645"/>
      <c r="AY245" s="646"/>
      <c r="AZ245" s="646"/>
      <c r="BA245" s="646"/>
      <c r="BB245" s="646"/>
      <c r="BC245" s="646"/>
      <c r="BD245" s="646"/>
      <c r="BE245" s="646"/>
      <c r="BF245" s="646"/>
      <c r="BG245" s="646"/>
      <c r="BH245" s="646"/>
      <c r="BI245" s="647"/>
      <c r="BJ245" s="647"/>
      <c r="BK245" s="647"/>
      <c r="BL245" s="647"/>
      <c r="BM245" s="647"/>
    </row>
    <row r="246" spans="2:65" s="640" customFormat="1" hidden="1">
      <c r="B246" s="1022"/>
      <c r="C246" s="1022"/>
      <c r="D246" s="1022"/>
      <c r="E246" s="1022"/>
      <c r="F246" s="1022"/>
      <c r="G246" s="1022"/>
      <c r="H246" s="1022"/>
      <c r="I246" s="1022"/>
      <c r="J246" s="1022"/>
      <c r="K246" s="1022"/>
      <c r="L246" s="1022"/>
      <c r="M246" s="1022"/>
      <c r="N246" s="1022"/>
      <c r="O246" s="1022"/>
      <c r="P246" s="1022"/>
      <c r="Q246" s="1022"/>
      <c r="R246" s="1022"/>
      <c r="S246" s="1022"/>
      <c r="T246" s="1022"/>
      <c r="U246" s="1022"/>
      <c r="W246" s="645"/>
      <c r="X246" s="1066"/>
      <c r="Y246" s="646"/>
      <c r="Z246" s="673"/>
      <c r="AA246" s="646"/>
      <c r="AB246" s="646"/>
      <c r="AC246" s="646"/>
      <c r="AD246" s="646"/>
      <c r="AE246" s="646"/>
      <c r="AF246" s="646"/>
      <c r="AG246" s="646"/>
      <c r="AH246" s="646"/>
      <c r="AI246" s="646"/>
      <c r="AJ246" s="646"/>
      <c r="AK246" s="646"/>
      <c r="AL246" s="646"/>
      <c r="AM246" s="646"/>
      <c r="AN246" s="646"/>
      <c r="AO246" s="646"/>
      <c r="AP246" s="646"/>
      <c r="AQ246" s="646"/>
      <c r="AR246" s="646"/>
      <c r="AS246" s="646"/>
      <c r="AT246" s="646"/>
      <c r="AU246" s="645"/>
      <c r="AV246" s="645"/>
      <c r="AW246" s="645"/>
      <c r="AX246" s="645"/>
      <c r="AY246" s="646"/>
      <c r="AZ246" s="646"/>
      <c r="BA246" s="646"/>
      <c r="BB246" s="646"/>
      <c r="BC246" s="646"/>
      <c r="BD246" s="646"/>
      <c r="BE246" s="646"/>
      <c r="BF246" s="646"/>
      <c r="BG246" s="646"/>
      <c r="BH246" s="646"/>
      <c r="BI246" s="647"/>
      <c r="BJ246" s="647"/>
      <c r="BK246" s="647"/>
      <c r="BL246" s="647"/>
      <c r="BM246" s="647"/>
    </row>
    <row r="247" spans="2:65" s="640" customFormat="1" hidden="1">
      <c r="B247" s="1022"/>
      <c r="C247" s="1022"/>
      <c r="D247" s="1022"/>
      <c r="E247" s="1022"/>
      <c r="F247" s="1022"/>
      <c r="G247" s="1022"/>
      <c r="H247" s="1022"/>
      <c r="I247" s="1022"/>
      <c r="J247" s="1022"/>
      <c r="K247" s="1022"/>
      <c r="L247" s="1022"/>
      <c r="M247" s="1022"/>
      <c r="N247" s="1022"/>
      <c r="O247" s="1022"/>
      <c r="P247" s="1022"/>
      <c r="Q247" s="1022"/>
      <c r="R247" s="1022"/>
      <c r="S247" s="1022"/>
      <c r="T247" s="1022"/>
      <c r="U247" s="1022"/>
      <c r="W247" s="645"/>
      <c r="X247" s="1066"/>
      <c r="Y247" s="646"/>
      <c r="Z247" s="673"/>
      <c r="AA247" s="646"/>
      <c r="AB247" s="646"/>
      <c r="AC247" s="646"/>
      <c r="AD247" s="646"/>
      <c r="AE247" s="646"/>
      <c r="AF247" s="646"/>
      <c r="AG247" s="646"/>
      <c r="AH247" s="646"/>
      <c r="AI247" s="646"/>
      <c r="AJ247" s="646"/>
      <c r="AK247" s="646"/>
      <c r="AL247" s="646"/>
      <c r="AM247" s="646"/>
      <c r="AN247" s="646"/>
      <c r="AO247" s="646"/>
      <c r="AP247" s="646"/>
      <c r="AQ247" s="646"/>
      <c r="AR247" s="646"/>
      <c r="AS247" s="646"/>
      <c r="AT247" s="646"/>
      <c r="AU247" s="645"/>
      <c r="AV247" s="645"/>
      <c r="AW247" s="645"/>
      <c r="AX247" s="645"/>
      <c r="AY247" s="646"/>
      <c r="AZ247" s="646"/>
      <c r="BA247" s="646"/>
      <c r="BB247" s="646"/>
      <c r="BC247" s="646"/>
      <c r="BD247" s="646"/>
      <c r="BE247" s="646"/>
      <c r="BF247" s="646"/>
      <c r="BG247" s="646"/>
      <c r="BH247" s="646"/>
      <c r="BI247" s="647"/>
      <c r="BJ247" s="647"/>
      <c r="BK247" s="647"/>
      <c r="BL247" s="647"/>
      <c r="BM247" s="647"/>
    </row>
    <row r="248" spans="2:65" s="640" customFormat="1" hidden="1">
      <c r="B248" s="1022"/>
      <c r="C248" s="1022"/>
      <c r="D248" s="1022"/>
      <c r="E248" s="1022"/>
      <c r="F248" s="1022"/>
      <c r="G248" s="1022"/>
      <c r="H248" s="1022"/>
      <c r="I248" s="1022"/>
      <c r="J248" s="1022"/>
      <c r="K248" s="1022"/>
      <c r="L248" s="1022"/>
      <c r="M248" s="1022"/>
      <c r="N248" s="1022"/>
      <c r="O248" s="1022"/>
      <c r="P248" s="1022"/>
      <c r="Q248" s="1022"/>
      <c r="R248" s="1022"/>
      <c r="S248" s="1022"/>
      <c r="T248" s="1022"/>
      <c r="U248" s="1022"/>
      <c r="W248" s="645"/>
      <c r="X248" s="1066"/>
      <c r="Y248" s="646"/>
      <c r="Z248" s="673"/>
      <c r="AA248" s="646"/>
      <c r="AB248" s="646"/>
      <c r="AC248" s="646"/>
      <c r="AD248" s="646"/>
      <c r="AE248" s="646"/>
      <c r="AF248" s="646"/>
      <c r="AG248" s="646"/>
      <c r="AH248" s="646"/>
      <c r="AI248" s="646"/>
      <c r="AJ248" s="646"/>
      <c r="AK248" s="646"/>
      <c r="AL248" s="646"/>
      <c r="AM248" s="646"/>
      <c r="AN248" s="646"/>
      <c r="AO248" s="646"/>
      <c r="AP248" s="646"/>
      <c r="AQ248" s="646"/>
      <c r="AR248" s="646"/>
      <c r="AS248" s="646"/>
      <c r="AT248" s="646"/>
      <c r="AU248" s="645"/>
      <c r="AV248" s="645"/>
      <c r="AW248" s="645"/>
      <c r="AX248" s="645"/>
      <c r="AY248" s="646"/>
      <c r="AZ248" s="646"/>
      <c r="BA248" s="646"/>
      <c r="BB248" s="646"/>
      <c r="BC248" s="646"/>
      <c r="BD248" s="646"/>
      <c r="BE248" s="646"/>
      <c r="BF248" s="646"/>
      <c r="BG248" s="646"/>
      <c r="BH248" s="646"/>
      <c r="BI248" s="647"/>
      <c r="BJ248" s="647"/>
      <c r="BK248" s="647"/>
      <c r="BL248" s="647"/>
      <c r="BM248" s="647"/>
    </row>
    <row r="249" spans="2:65" s="640" customFormat="1" hidden="1">
      <c r="B249" s="1022"/>
      <c r="C249" s="1022"/>
      <c r="D249" s="1022"/>
      <c r="E249" s="1022"/>
      <c r="F249" s="1022"/>
      <c r="G249" s="1022"/>
      <c r="H249" s="1022"/>
      <c r="I249" s="1022"/>
      <c r="J249" s="1022"/>
      <c r="K249" s="1022"/>
      <c r="L249" s="1022"/>
      <c r="M249" s="1022"/>
      <c r="N249" s="1022"/>
      <c r="O249" s="1022"/>
      <c r="P249" s="1022"/>
      <c r="Q249" s="1022"/>
      <c r="R249" s="1022"/>
      <c r="S249" s="1022"/>
      <c r="T249" s="1022"/>
      <c r="U249" s="1022"/>
      <c r="W249" s="645"/>
      <c r="X249" s="1066"/>
      <c r="Y249" s="646"/>
      <c r="Z249" s="673"/>
      <c r="AA249" s="646"/>
      <c r="AB249" s="646"/>
      <c r="AC249" s="646"/>
      <c r="AD249" s="646"/>
      <c r="AE249" s="646"/>
      <c r="AF249" s="646"/>
      <c r="AG249" s="646"/>
      <c r="AH249" s="646"/>
      <c r="AI249" s="646"/>
      <c r="AJ249" s="646"/>
      <c r="AK249" s="646"/>
      <c r="AL249" s="646"/>
      <c r="AM249" s="646"/>
      <c r="AN249" s="646"/>
      <c r="AO249" s="646"/>
      <c r="AP249" s="646"/>
      <c r="AQ249" s="646"/>
      <c r="AR249" s="646"/>
      <c r="AS249" s="646"/>
      <c r="AT249" s="646"/>
      <c r="AU249" s="645"/>
      <c r="AV249" s="645"/>
      <c r="AW249" s="645"/>
      <c r="AX249" s="645"/>
      <c r="AY249" s="646"/>
      <c r="AZ249" s="646"/>
      <c r="BA249" s="646"/>
      <c r="BB249" s="646"/>
      <c r="BC249" s="646"/>
      <c r="BD249" s="646"/>
      <c r="BE249" s="646"/>
      <c r="BF249" s="646"/>
      <c r="BG249" s="646"/>
      <c r="BH249" s="646"/>
      <c r="BI249" s="647"/>
      <c r="BJ249" s="647"/>
      <c r="BK249" s="647"/>
      <c r="BL249" s="647"/>
      <c r="BM249" s="647"/>
    </row>
    <row r="250" spans="2:65" s="640" customFormat="1" hidden="1">
      <c r="B250" s="1022"/>
      <c r="C250" s="1022"/>
      <c r="D250" s="1022"/>
      <c r="E250" s="1022"/>
      <c r="F250" s="1022"/>
      <c r="G250" s="1022"/>
      <c r="H250" s="1022"/>
      <c r="I250" s="1022"/>
      <c r="J250" s="1022"/>
      <c r="K250" s="1022"/>
      <c r="L250" s="1022"/>
      <c r="M250" s="1022"/>
      <c r="N250" s="1022"/>
      <c r="O250" s="1022"/>
      <c r="P250" s="1022"/>
      <c r="Q250" s="1022"/>
      <c r="R250" s="1022"/>
      <c r="S250" s="1022"/>
      <c r="T250" s="1022"/>
      <c r="U250" s="1022"/>
      <c r="W250" s="645"/>
      <c r="X250" s="1066"/>
      <c r="Y250" s="646"/>
      <c r="Z250" s="673"/>
      <c r="AA250" s="646"/>
      <c r="AB250" s="646"/>
      <c r="AC250" s="646"/>
      <c r="AD250" s="646"/>
      <c r="AE250" s="646"/>
      <c r="AF250" s="646"/>
      <c r="AG250" s="646"/>
      <c r="AH250" s="646"/>
      <c r="AI250" s="646"/>
      <c r="AJ250" s="646"/>
      <c r="AK250" s="646"/>
      <c r="AL250" s="646"/>
      <c r="AM250" s="646"/>
      <c r="AN250" s="646"/>
      <c r="AO250" s="646"/>
      <c r="AP250" s="646"/>
      <c r="AQ250" s="646"/>
      <c r="AR250" s="646"/>
      <c r="AS250" s="646"/>
      <c r="AT250" s="646"/>
      <c r="AU250" s="645"/>
      <c r="AV250" s="645"/>
      <c r="AW250" s="645"/>
      <c r="AX250" s="645"/>
      <c r="AY250" s="646"/>
      <c r="AZ250" s="646"/>
      <c r="BA250" s="646"/>
      <c r="BB250" s="646"/>
      <c r="BC250" s="646"/>
      <c r="BD250" s="646"/>
      <c r="BE250" s="646"/>
      <c r="BF250" s="646"/>
      <c r="BG250" s="646"/>
      <c r="BH250" s="646"/>
      <c r="BI250" s="647"/>
      <c r="BJ250" s="647"/>
      <c r="BK250" s="647"/>
      <c r="BL250" s="647"/>
      <c r="BM250" s="647"/>
    </row>
    <row r="251" spans="2:65" s="640" customFormat="1" hidden="1">
      <c r="B251" s="1022"/>
      <c r="C251" s="1022"/>
      <c r="D251" s="1022"/>
      <c r="E251" s="1022"/>
      <c r="F251" s="1022"/>
      <c r="G251" s="1022"/>
      <c r="H251" s="1022"/>
      <c r="I251" s="1022"/>
      <c r="J251" s="1022"/>
      <c r="K251" s="1022"/>
      <c r="L251" s="1022"/>
      <c r="M251" s="1022"/>
      <c r="N251" s="1022"/>
      <c r="O251" s="1022"/>
      <c r="P251" s="1022"/>
      <c r="Q251" s="1022"/>
      <c r="R251" s="1022"/>
      <c r="S251" s="1022"/>
      <c r="T251" s="1022"/>
      <c r="U251" s="1022"/>
      <c r="W251" s="645"/>
      <c r="X251" s="1066"/>
      <c r="Y251" s="646"/>
      <c r="Z251" s="673"/>
      <c r="AA251" s="646"/>
      <c r="AB251" s="646"/>
      <c r="AC251" s="646"/>
      <c r="AD251" s="646"/>
      <c r="AE251" s="646"/>
      <c r="AF251" s="646"/>
      <c r="AG251" s="646"/>
      <c r="AH251" s="646"/>
      <c r="AI251" s="646"/>
      <c r="AJ251" s="646"/>
      <c r="AK251" s="646"/>
      <c r="AL251" s="646"/>
      <c r="AM251" s="646"/>
      <c r="AN251" s="646"/>
      <c r="AO251" s="646"/>
      <c r="AP251" s="646"/>
      <c r="AQ251" s="646"/>
      <c r="AR251" s="646"/>
      <c r="AS251" s="646"/>
      <c r="AT251" s="646"/>
      <c r="AU251" s="645"/>
      <c r="AV251" s="645"/>
      <c r="AW251" s="645"/>
      <c r="AX251" s="645"/>
      <c r="AY251" s="646"/>
      <c r="AZ251" s="646"/>
      <c r="BA251" s="646"/>
      <c r="BB251" s="646"/>
      <c r="BC251" s="646"/>
      <c r="BD251" s="646"/>
      <c r="BE251" s="646"/>
      <c r="BF251" s="646"/>
      <c r="BG251" s="646"/>
      <c r="BH251" s="646"/>
      <c r="BI251" s="647"/>
      <c r="BJ251" s="647"/>
      <c r="BK251" s="647"/>
      <c r="BL251" s="647"/>
      <c r="BM251" s="647"/>
    </row>
    <row r="252" spans="2:65" s="640" customFormat="1" hidden="1">
      <c r="B252" s="1022"/>
      <c r="C252" s="1022"/>
      <c r="D252" s="1022"/>
      <c r="E252" s="1022"/>
      <c r="F252" s="1022"/>
      <c r="G252" s="1022"/>
      <c r="H252" s="1022"/>
      <c r="I252" s="1022"/>
      <c r="J252" s="1022"/>
      <c r="K252" s="1022"/>
      <c r="L252" s="1022"/>
      <c r="M252" s="1022"/>
      <c r="N252" s="1022"/>
      <c r="O252" s="1022"/>
      <c r="P252" s="1022"/>
      <c r="Q252" s="1022"/>
      <c r="R252" s="1022"/>
      <c r="S252" s="1022"/>
      <c r="T252" s="1022"/>
      <c r="U252" s="1022"/>
      <c r="W252" s="645"/>
      <c r="X252" s="1066"/>
      <c r="Y252" s="646"/>
      <c r="Z252" s="673"/>
      <c r="AA252" s="646"/>
      <c r="AB252" s="646"/>
      <c r="AC252" s="646"/>
      <c r="AD252" s="646"/>
      <c r="AE252" s="646"/>
      <c r="AF252" s="646"/>
      <c r="AG252" s="646"/>
      <c r="AH252" s="646"/>
      <c r="AI252" s="646"/>
      <c r="AJ252" s="646"/>
      <c r="AK252" s="646"/>
      <c r="AL252" s="646"/>
      <c r="AM252" s="646"/>
      <c r="AN252" s="646"/>
      <c r="AO252" s="646"/>
      <c r="AP252" s="646"/>
      <c r="AQ252" s="646"/>
      <c r="AR252" s="646"/>
      <c r="AS252" s="646"/>
      <c r="AT252" s="646"/>
      <c r="AU252" s="645"/>
      <c r="AV252" s="645"/>
      <c r="AW252" s="645"/>
      <c r="AX252" s="645"/>
      <c r="AY252" s="646"/>
      <c r="AZ252" s="646"/>
      <c r="BA252" s="646"/>
      <c r="BB252" s="646"/>
      <c r="BC252" s="646"/>
      <c r="BD252" s="646"/>
      <c r="BE252" s="646"/>
      <c r="BF252" s="646"/>
      <c r="BG252" s="646"/>
      <c r="BH252" s="646"/>
      <c r="BI252" s="647"/>
      <c r="BJ252" s="647"/>
      <c r="BK252" s="647"/>
      <c r="BL252" s="647"/>
      <c r="BM252" s="647"/>
    </row>
    <row r="253" spans="2:65" s="640" customFormat="1" hidden="1">
      <c r="B253" s="1022"/>
      <c r="C253" s="1022"/>
      <c r="D253" s="1022"/>
      <c r="E253" s="1022"/>
      <c r="F253" s="1022"/>
      <c r="G253" s="1022"/>
      <c r="H253" s="1022"/>
      <c r="I253" s="1022"/>
      <c r="J253" s="1022"/>
      <c r="K253" s="1022"/>
      <c r="L253" s="1022"/>
      <c r="M253" s="1022"/>
      <c r="N253" s="1022"/>
      <c r="O253" s="1022"/>
      <c r="P253" s="1022"/>
      <c r="Q253" s="1022"/>
      <c r="R253" s="1022"/>
      <c r="S253" s="1022"/>
      <c r="T253" s="1022"/>
      <c r="U253" s="1022"/>
      <c r="W253" s="645"/>
      <c r="X253" s="1066"/>
      <c r="Y253" s="646"/>
      <c r="Z253" s="673"/>
      <c r="AA253" s="646"/>
      <c r="AB253" s="646"/>
      <c r="AC253" s="646"/>
      <c r="AD253" s="646"/>
      <c r="AE253" s="646"/>
      <c r="AF253" s="646"/>
      <c r="AG253" s="646"/>
      <c r="AH253" s="646"/>
      <c r="AI253" s="646"/>
      <c r="AJ253" s="646"/>
      <c r="AK253" s="646"/>
      <c r="AL253" s="646"/>
      <c r="AM253" s="646"/>
      <c r="AN253" s="646"/>
      <c r="AO253" s="646"/>
      <c r="AP253" s="646"/>
      <c r="AQ253" s="646"/>
      <c r="AR253" s="646"/>
      <c r="AS253" s="646"/>
      <c r="AT253" s="646"/>
      <c r="AU253" s="645"/>
      <c r="AV253" s="645"/>
      <c r="AW253" s="645"/>
      <c r="AX253" s="645"/>
      <c r="AY253" s="646"/>
      <c r="AZ253" s="646"/>
      <c r="BA253" s="646"/>
      <c r="BB253" s="646"/>
      <c r="BC253" s="646"/>
      <c r="BD253" s="646"/>
      <c r="BE253" s="646"/>
      <c r="BF253" s="646"/>
      <c r="BG253" s="646"/>
      <c r="BH253" s="646"/>
      <c r="BI253" s="647"/>
      <c r="BJ253" s="647"/>
      <c r="BK253" s="647"/>
      <c r="BL253" s="647"/>
      <c r="BM253" s="647"/>
    </row>
    <row r="254" spans="2:65" s="640" customFormat="1" hidden="1">
      <c r="B254" s="1022"/>
      <c r="C254" s="1022"/>
      <c r="D254" s="1022"/>
      <c r="E254" s="1022"/>
      <c r="F254" s="1022"/>
      <c r="G254" s="1022"/>
      <c r="H254" s="1022"/>
      <c r="I254" s="1022"/>
      <c r="J254" s="1022"/>
      <c r="K254" s="1022"/>
      <c r="L254" s="1022"/>
      <c r="M254" s="1022"/>
      <c r="N254" s="1022"/>
      <c r="O254" s="1022"/>
      <c r="P254" s="1022"/>
      <c r="Q254" s="1022"/>
      <c r="R254" s="1022"/>
      <c r="S254" s="1022"/>
      <c r="T254" s="1022"/>
      <c r="U254" s="1022"/>
      <c r="W254" s="645"/>
      <c r="X254" s="1066"/>
      <c r="Y254" s="646"/>
      <c r="Z254" s="673"/>
      <c r="AA254" s="646"/>
      <c r="AB254" s="646"/>
      <c r="AC254" s="646"/>
      <c r="AD254" s="646"/>
      <c r="AE254" s="646"/>
      <c r="AF254" s="646"/>
      <c r="AG254" s="646"/>
      <c r="AH254" s="646"/>
      <c r="AI254" s="646"/>
      <c r="AJ254" s="646"/>
      <c r="AK254" s="646"/>
      <c r="AL254" s="646"/>
      <c r="AM254" s="646"/>
      <c r="AN254" s="646"/>
      <c r="AO254" s="646"/>
      <c r="AP254" s="646"/>
      <c r="AQ254" s="646"/>
      <c r="AR254" s="646"/>
      <c r="AS254" s="646"/>
      <c r="AT254" s="646"/>
      <c r="AU254" s="645"/>
      <c r="AV254" s="645"/>
      <c r="AW254" s="645"/>
      <c r="AX254" s="645"/>
      <c r="AY254" s="646"/>
      <c r="AZ254" s="646"/>
      <c r="BA254" s="646"/>
      <c r="BB254" s="646"/>
      <c r="BC254" s="646"/>
      <c r="BD254" s="646"/>
      <c r="BE254" s="646"/>
      <c r="BF254" s="646"/>
      <c r="BG254" s="646"/>
      <c r="BH254" s="646"/>
      <c r="BI254" s="647"/>
      <c r="BJ254" s="647"/>
      <c r="BK254" s="647"/>
      <c r="BL254" s="647"/>
      <c r="BM254" s="647"/>
    </row>
    <row r="255" spans="2:65" s="640" customFormat="1" hidden="1">
      <c r="B255" s="1022"/>
      <c r="C255" s="1022"/>
      <c r="D255" s="1022"/>
      <c r="E255" s="1022"/>
      <c r="F255" s="1022"/>
      <c r="G255" s="1022"/>
      <c r="H255" s="1022"/>
      <c r="I255" s="1022"/>
      <c r="J255" s="1022"/>
      <c r="K255" s="1022"/>
      <c r="L255" s="1022"/>
      <c r="M255" s="1022"/>
      <c r="N255" s="1022"/>
      <c r="O255" s="1022"/>
      <c r="P255" s="1022"/>
      <c r="Q255" s="1022"/>
      <c r="R255" s="1022"/>
      <c r="S255" s="1022"/>
      <c r="T255" s="1022"/>
      <c r="U255" s="1022"/>
      <c r="W255" s="645"/>
      <c r="X255" s="1066"/>
      <c r="Y255" s="646"/>
      <c r="Z255" s="673"/>
      <c r="AA255" s="646"/>
      <c r="AB255" s="646"/>
      <c r="AC255" s="646"/>
      <c r="AD255" s="646"/>
      <c r="AE255" s="646"/>
      <c r="AF255" s="646"/>
      <c r="AG255" s="646"/>
      <c r="AH255" s="646"/>
      <c r="AI255" s="646"/>
      <c r="AJ255" s="646"/>
      <c r="AK255" s="646"/>
      <c r="AL255" s="646"/>
      <c r="AM255" s="646"/>
      <c r="AN255" s="646"/>
      <c r="AO255" s="646"/>
      <c r="AP255" s="646"/>
      <c r="AQ255" s="646"/>
      <c r="AR255" s="646"/>
      <c r="AS255" s="646"/>
      <c r="AT255" s="646"/>
      <c r="AU255" s="645"/>
      <c r="AV255" s="645"/>
      <c r="AW255" s="645"/>
      <c r="AX255" s="645"/>
      <c r="AY255" s="646"/>
      <c r="AZ255" s="646"/>
      <c r="BA255" s="646"/>
      <c r="BB255" s="646"/>
      <c r="BC255" s="646"/>
      <c r="BD255" s="646"/>
      <c r="BE255" s="646"/>
      <c r="BF255" s="646"/>
      <c r="BG255" s="646"/>
      <c r="BH255" s="646"/>
      <c r="BI255" s="647"/>
      <c r="BJ255" s="647"/>
      <c r="BK255" s="647"/>
      <c r="BL255" s="647"/>
      <c r="BM255" s="647"/>
    </row>
    <row r="256" spans="2:65" s="640" customFormat="1" hidden="1">
      <c r="B256" s="1022"/>
      <c r="C256" s="1022"/>
      <c r="D256" s="1022"/>
      <c r="E256" s="1022"/>
      <c r="F256" s="1022"/>
      <c r="G256" s="1022"/>
      <c r="H256" s="1022"/>
      <c r="I256" s="1022"/>
      <c r="J256" s="1022"/>
      <c r="K256" s="1022"/>
      <c r="L256" s="1022"/>
      <c r="M256" s="1022"/>
      <c r="N256" s="1022"/>
      <c r="O256" s="1022"/>
      <c r="P256" s="1022"/>
      <c r="Q256" s="1022"/>
      <c r="R256" s="1022"/>
      <c r="S256" s="1022"/>
      <c r="T256" s="1022"/>
      <c r="U256" s="1022"/>
      <c r="W256" s="645"/>
      <c r="X256" s="1066"/>
      <c r="Y256" s="646"/>
      <c r="Z256" s="673"/>
      <c r="AA256" s="646"/>
      <c r="AB256" s="646"/>
      <c r="AC256" s="646"/>
      <c r="AD256" s="646"/>
      <c r="AE256" s="646"/>
      <c r="AF256" s="646"/>
      <c r="AG256" s="646"/>
      <c r="AH256" s="646"/>
      <c r="AI256" s="646"/>
      <c r="AJ256" s="646"/>
      <c r="AK256" s="646"/>
      <c r="AL256" s="646"/>
      <c r="AM256" s="646"/>
      <c r="AN256" s="646"/>
      <c r="AO256" s="646"/>
      <c r="AP256" s="646"/>
      <c r="AQ256" s="646"/>
      <c r="AR256" s="646"/>
      <c r="AS256" s="646"/>
      <c r="AT256" s="646"/>
      <c r="AU256" s="645"/>
      <c r="AV256" s="645"/>
      <c r="AW256" s="645"/>
      <c r="AX256" s="645"/>
      <c r="AY256" s="646"/>
      <c r="AZ256" s="646"/>
      <c r="BA256" s="646"/>
      <c r="BB256" s="646"/>
      <c r="BC256" s="646"/>
      <c r="BD256" s="646"/>
      <c r="BE256" s="646"/>
      <c r="BF256" s="646"/>
      <c r="BG256" s="646"/>
      <c r="BH256" s="646"/>
      <c r="BI256" s="647"/>
      <c r="BJ256" s="647"/>
      <c r="BK256" s="647"/>
      <c r="BL256" s="647"/>
      <c r="BM256" s="647"/>
    </row>
    <row r="257" spans="2:65" s="640" customFormat="1" hidden="1">
      <c r="B257" s="1022"/>
      <c r="C257" s="1022"/>
      <c r="D257" s="1022"/>
      <c r="E257" s="1022"/>
      <c r="F257" s="1022"/>
      <c r="G257" s="1022"/>
      <c r="H257" s="1022"/>
      <c r="I257" s="1022"/>
      <c r="J257" s="1022"/>
      <c r="K257" s="1022"/>
      <c r="L257" s="1022"/>
      <c r="M257" s="1022"/>
      <c r="N257" s="1022"/>
      <c r="O257" s="1022"/>
      <c r="P257" s="1022"/>
      <c r="Q257" s="1022"/>
      <c r="R257" s="1022"/>
      <c r="S257" s="1022"/>
      <c r="T257" s="1022"/>
      <c r="U257" s="1022"/>
      <c r="W257" s="645"/>
      <c r="X257" s="1066"/>
      <c r="Y257" s="646"/>
      <c r="Z257" s="673"/>
      <c r="AA257" s="646"/>
      <c r="AB257" s="646"/>
      <c r="AC257" s="646"/>
      <c r="AD257" s="646"/>
      <c r="AE257" s="646"/>
      <c r="AF257" s="646"/>
      <c r="AG257" s="646"/>
      <c r="AH257" s="646"/>
      <c r="AI257" s="646"/>
      <c r="AJ257" s="646"/>
      <c r="AK257" s="646"/>
      <c r="AL257" s="646"/>
      <c r="AM257" s="646"/>
      <c r="AN257" s="646"/>
      <c r="AO257" s="646"/>
      <c r="AP257" s="646"/>
      <c r="AQ257" s="646"/>
      <c r="AR257" s="646"/>
      <c r="AS257" s="646"/>
      <c r="AT257" s="646"/>
      <c r="AU257" s="645"/>
      <c r="AV257" s="645"/>
      <c r="AW257" s="645"/>
      <c r="AX257" s="645"/>
      <c r="AY257" s="646"/>
      <c r="AZ257" s="646"/>
      <c r="BA257" s="646"/>
      <c r="BB257" s="646"/>
      <c r="BC257" s="646"/>
      <c r="BD257" s="646"/>
      <c r="BE257" s="646"/>
      <c r="BF257" s="646"/>
      <c r="BG257" s="646"/>
      <c r="BH257" s="646"/>
      <c r="BI257" s="647"/>
      <c r="BJ257" s="647"/>
      <c r="BK257" s="647"/>
      <c r="BL257" s="647"/>
      <c r="BM257" s="647"/>
    </row>
    <row r="258" spans="2:65" s="640" customFormat="1" hidden="1">
      <c r="B258" s="1022"/>
      <c r="C258" s="1022"/>
      <c r="D258" s="1022"/>
      <c r="E258" s="1022"/>
      <c r="F258" s="1022"/>
      <c r="G258" s="1022"/>
      <c r="H258" s="1022"/>
      <c r="I258" s="1022"/>
      <c r="J258" s="1022"/>
      <c r="K258" s="1022"/>
      <c r="L258" s="1022"/>
      <c r="M258" s="1022"/>
      <c r="N258" s="1022"/>
      <c r="O258" s="1022"/>
      <c r="P258" s="1022"/>
      <c r="Q258" s="1022"/>
      <c r="R258" s="1022"/>
      <c r="S258" s="1022"/>
      <c r="T258" s="1022"/>
      <c r="U258" s="1022"/>
      <c r="W258" s="645"/>
      <c r="X258" s="1066"/>
      <c r="Y258" s="646"/>
      <c r="Z258" s="673"/>
      <c r="AA258" s="646"/>
      <c r="AB258" s="646"/>
      <c r="AC258" s="646"/>
      <c r="AD258" s="646"/>
      <c r="AE258" s="646"/>
      <c r="AF258" s="646"/>
      <c r="AG258" s="646"/>
      <c r="AH258" s="646"/>
      <c r="AI258" s="646"/>
      <c r="AJ258" s="646"/>
      <c r="AK258" s="646"/>
      <c r="AL258" s="646"/>
      <c r="AM258" s="646"/>
      <c r="AN258" s="646"/>
      <c r="AO258" s="646"/>
      <c r="AP258" s="646"/>
      <c r="AQ258" s="646"/>
      <c r="AR258" s="646"/>
      <c r="AS258" s="646"/>
      <c r="AT258" s="646"/>
      <c r="AU258" s="645"/>
      <c r="AV258" s="645"/>
      <c r="AW258" s="645"/>
      <c r="AX258" s="645"/>
      <c r="AY258" s="646"/>
      <c r="AZ258" s="646"/>
      <c r="BA258" s="646"/>
      <c r="BB258" s="646"/>
      <c r="BC258" s="646"/>
      <c r="BD258" s="646"/>
      <c r="BE258" s="646"/>
      <c r="BF258" s="646"/>
      <c r="BG258" s="646"/>
      <c r="BH258" s="646"/>
      <c r="BI258" s="647"/>
      <c r="BJ258" s="647"/>
      <c r="BK258" s="647"/>
      <c r="BL258" s="647"/>
      <c r="BM258" s="647"/>
    </row>
    <row r="259" spans="2:65" s="640" customFormat="1" hidden="1">
      <c r="B259" s="1022"/>
      <c r="C259" s="1022"/>
      <c r="D259" s="1022"/>
      <c r="E259" s="1022"/>
      <c r="F259" s="1022"/>
      <c r="G259" s="1022"/>
      <c r="H259" s="1022"/>
      <c r="I259" s="1022"/>
      <c r="J259" s="1022"/>
      <c r="K259" s="1022"/>
      <c r="L259" s="1022"/>
      <c r="M259" s="1022"/>
      <c r="N259" s="1022"/>
      <c r="O259" s="1022"/>
      <c r="P259" s="1022"/>
      <c r="Q259" s="1022"/>
      <c r="R259" s="1022"/>
      <c r="S259" s="1022"/>
      <c r="T259" s="1022"/>
      <c r="U259" s="1022"/>
      <c r="W259" s="645"/>
      <c r="X259" s="1066"/>
      <c r="Y259" s="646"/>
      <c r="Z259" s="673"/>
      <c r="AA259" s="646"/>
      <c r="AB259" s="646"/>
      <c r="AC259" s="646"/>
      <c r="AD259" s="646"/>
      <c r="AE259" s="646"/>
      <c r="AF259" s="646"/>
      <c r="AG259" s="646"/>
      <c r="AH259" s="646"/>
      <c r="AI259" s="646"/>
      <c r="AJ259" s="646"/>
      <c r="AK259" s="646"/>
      <c r="AL259" s="646"/>
      <c r="AM259" s="646"/>
      <c r="AN259" s="646"/>
      <c r="AO259" s="646"/>
      <c r="AP259" s="646"/>
      <c r="AQ259" s="646"/>
      <c r="AR259" s="646"/>
      <c r="AS259" s="646"/>
      <c r="AT259" s="646"/>
      <c r="AU259" s="645"/>
      <c r="AV259" s="645"/>
      <c r="AW259" s="645"/>
      <c r="AX259" s="645"/>
      <c r="AY259" s="646"/>
      <c r="AZ259" s="646"/>
      <c r="BA259" s="646"/>
      <c r="BB259" s="646"/>
      <c r="BC259" s="646"/>
      <c r="BD259" s="646"/>
      <c r="BE259" s="646"/>
      <c r="BF259" s="646"/>
      <c r="BG259" s="646"/>
      <c r="BH259" s="646"/>
      <c r="BI259" s="647"/>
      <c r="BJ259" s="647"/>
      <c r="BK259" s="647"/>
      <c r="BL259" s="647"/>
      <c r="BM259" s="647"/>
    </row>
    <row r="260" spans="2:65" s="640" customFormat="1" hidden="1">
      <c r="B260" s="1022"/>
      <c r="C260" s="1022"/>
      <c r="D260" s="1022"/>
      <c r="E260" s="1022"/>
      <c r="F260" s="1022"/>
      <c r="G260" s="1022"/>
      <c r="H260" s="1022"/>
      <c r="I260" s="1022"/>
      <c r="J260" s="1022"/>
      <c r="K260" s="1022"/>
      <c r="L260" s="1022"/>
      <c r="M260" s="1022"/>
      <c r="N260" s="1022"/>
      <c r="O260" s="1022"/>
      <c r="P260" s="1022"/>
      <c r="Q260" s="1022"/>
      <c r="R260" s="1022"/>
      <c r="S260" s="1022"/>
      <c r="T260" s="1022"/>
      <c r="U260" s="1022"/>
      <c r="W260" s="645"/>
      <c r="X260" s="1066"/>
      <c r="Y260" s="646"/>
      <c r="Z260" s="673"/>
      <c r="AA260" s="646"/>
      <c r="AB260" s="646"/>
      <c r="AC260" s="646"/>
      <c r="AD260" s="646"/>
      <c r="AE260" s="646"/>
      <c r="AF260" s="646"/>
      <c r="AG260" s="646"/>
      <c r="AH260" s="646"/>
      <c r="AI260" s="646"/>
      <c r="AJ260" s="646"/>
      <c r="AK260" s="646"/>
      <c r="AL260" s="646"/>
      <c r="AM260" s="646"/>
      <c r="AN260" s="646"/>
      <c r="AO260" s="646"/>
      <c r="AP260" s="646"/>
      <c r="AQ260" s="646"/>
      <c r="AR260" s="646"/>
      <c r="AS260" s="646"/>
      <c r="AT260" s="646"/>
      <c r="AU260" s="645"/>
      <c r="AV260" s="645"/>
      <c r="AW260" s="645"/>
      <c r="AX260" s="645"/>
      <c r="AY260" s="646"/>
      <c r="AZ260" s="646"/>
      <c r="BA260" s="646"/>
      <c r="BB260" s="646"/>
      <c r="BC260" s="646"/>
      <c r="BD260" s="646"/>
      <c r="BE260" s="646"/>
      <c r="BF260" s="646"/>
      <c r="BG260" s="646"/>
      <c r="BH260" s="646"/>
      <c r="BI260" s="647"/>
      <c r="BJ260" s="647"/>
      <c r="BK260" s="647"/>
      <c r="BL260" s="647"/>
      <c r="BM260" s="647"/>
    </row>
    <row r="261" spans="2:65" s="640" customFormat="1" hidden="1">
      <c r="B261" s="1022"/>
      <c r="C261" s="1022"/>
      <c r="D261" s="1022"/>
      <c r="E261" s="1022"/>
      <c r="F261" s="1022"/>
      <c r="G261" s="1022"/>
      <c r="H261" s="1022"/>
      <c r="I261" s="1022"/>
      <c r="J261" s="1022"/>
      <c r="K261" s="1022"/>
      <c r="L261" s="1022"/>
      <c r="M261" s="1022"/>
      <c r="N261" s="1022"/>
      <c r="O261" s="1022"/>
      <c r="P261" s="1022"/>
      <c r="Q261" s="1022"/>
      <c r="R261" s="1022"/>
      <c r="S261" s="1022"/>
      <c r="T261" s="1022"/>
      <c r="U261" s="1022"/>
      <c r="W261" s="645"/>
      <c r="X261" s="1066"/>
      <c r="Y261" s="646"/>
      <c r="Z261" s="673"/>
      <c r="AA261" s="646"/>
      <c r="AB261" s="646"/>
      <c r="AC261" s="646"/>
      <c r="AD261" s="646"/>
      <c r="AE261" s="646"/>
      <c r="AF261" s="646"/>
      <c r="AG261" s="646"/>
      <c r="AH261" s="646"/>
      <c r="AI261" s="646"/>
      <c r="AJ261" s="646"/>
      <c r="AK261" s="646"/>
      <c r="AL261" s="646"/>
      <c r="AM261" s="646"/>
      <c r="AN261" s="646"/>
      <c r="AO261" s="646"/>
      <c r="AP261" s="646"/>
      <c r="AQ261" s="646"/>
      <c r="AR261" s="646"/>
      <c r="AS261" s="646"/>
      <c r="AT261" s="646"/>
      <c r="AU261" s="645"/>
      <c r="AV261" s="645"/>
      <c r="AW261" s="645"/>
      <c r="AX261" s="645"/>
      <c r="AY261" s="646"/>
      <c r="AZ261" s="646"/>
      <c r="BA261" s="646"/>
      <c r="BB261" s="646"/>
      <c r="BC261" s="646"/>
      <c r="BD261" s="646"/>
      <c r="BE261" s="646"/>
      <c r="BF261" s="646"/>
      <c r="BG261" s="646"/>
      <c r="BH261" s="646"/>
      <c r="BI261" s="647"/>
      <c r="BJ261" s="647"/>
      <c r="BK261" s="647"/>
      <c r="BL261" s="647"/>
      <c r="BM261" s="647"/>
    </row>
    <row r="262" spans="2:65" s="640" customFormat="1" hidden="1">
      <c r="B262" s="1022"/>
      <c r="C262" s="1022"/>
      <c r="D262" s="1022"/>
      <c r="E262" s="1022"/>
      <c r="F262" s="1022"/>
      <c r="G262" s="1022"/>
      <c r="H262" s="1022"/>
      <c r="I262" s="1022"/>
      <c r="J262" s="1022"/>
      <c r="K262" s="1022"/>
      <c r="L262" s="1022"/>
      <c r="M262" s="1022"/>
      <c r="N262" s="1022"/>
      <c r="O262" s="1022"/>
      <c r="P262" s="1022"/>
      <c r="Q262" s="1022"/>
      <c r="R262" s="1022"/>
      <c r="S262" s="1022"/>
      <c r="T262" s="1022"/>
      <c r="U262" s="1022"/>
      <c r="W262" s="645"/>
      <c r="X262" s="1066"/>
      <c r="Y262" s="646"/>
      <c r="Z262" s="673"/>
      <c r="AA262" s="646"/>
      <c r="AB262" s="646"/>
      <c r="AC262" s="646"/>
      <c r="AD262" s="646"/>
      <c r="AE262" s="646"/>
      <c r="AF262" s="646"/>
      <c r="AG262" s="646"/>
      <c r="AH262" s="646"/>
      <c r="AI262" s="646"/>
      <c r="AJ262" s="646"/>
      <c r="AK262" s="646"/>
      <c r="AL262" s="646"/>
      <c r="AM262" s="646"/>
      <c r="AN262" s="646"/>
      <c r="AO262" s="646"/>
      <c r="AP262" s="646"/>
      <c r="AQ262" s="646"/>
      <c r="AR262" s="646"/>
      <c r="AS262" s="646"/>
      <c r="AT262" s="646"/>
      <c r="AU262" s="645"/>
      <c r="AV262" s="645"/>
      <c r="AW262" s="645"/>
      <c r="AX262" s="645"/>
      <c r="AY262" s="646"/>
      <c r="AZ262" s="646"/>
      <c r="BA262" s="646"/>
      <c r="BB262" s="646"/>
      <c r="BC262" s="646"/>
      <c r="BD262" s="646"/>
      <c r="BE262" s="646"/>
      <c r="BF262" s="646"/>
      <c r="BG262" s="646"/>
      <c r="BH262" s="646"/>
      <c r="BI262" s="647"/>
      <c r="BJ262" s="647"/>
      <c r="BK262" s="647"/>
      <c r="BL262" s="647"/>
      <c r="BM262" s="647"/>
    </row>
    <row r="263" spans="2:65" s="640" customFormat="1" hidden="1">
      <c r="B263" s="1022"/>
      <c r="C263" s="1022"/>
      <c r="D263" s="1022"/>
      <c r="E263" s="1022"/>
      <c r="F263" s="1022"/>
      <c r="G263" s="1022"/>
      <c r="H263" s="1022"/>
      <c r="I263" s="1022"/>
      <c r="J263" s="1022"/>
      <c r="K263" s="1022"/>
      <c r="L263" s="1022"/>
      <c r="M263" s="1022"/>
      <c r="N263" s="1022"/>
      <c r="O263" s="1022"/>
      <c r="P263" s="1022"/>
      <c r="Q263" s="1022"/>
      <c r="R263" s="1022"/>
      <c r="S263" s="1022"/>
      <c r="T263" s="1022"/>
      <c r="U263" s="1022"/>
      <c r="W263" s="645"/>
      <c r="X263" s="1066"/>
      <c r="Y263" s="646"/>
      <c r="Z263" s="673"/>
      <c r="AA263" s="646"/>
      <c r="AB263" s="646"/>
      <c r="AC263" s="646"/>
      <c r="AD263" s="646"/>
      <c r="AE263" s="646"/>
      <c r="AF263" s="646"/>
      <c r="AG263" s="646"/>
      <c r="AH263" s="646"/>
      <c r="AI263" s="646"/>
      <c r="AJ263" s="646"/>
      <c r="AK263" s="646"/>
      <c r="AL263" s="646"/>
      <c r="AM263" s="646"/>
      <c r="AN263" s="646"/>
      <c r="AO263" s="646"/>
      <c r="AP263" s="646"/>
      <c r="AQ263" s="646"/>
      <c r="AR263" s="646"/>
      <c r="AS263" s="646"/>
      <c r="AT263" s="646"/>
      <c r="AU263" s="645"/>
      <c r="AV263" s="645"/>
      <c r="AW263" s="645"/>
      <c r="AX263" s="645"/>
      <c r="AY263" s="646"/>
      <c r="AZ263" s="646"/>
      <c r="BA263" s="646"/>
      <c r="BB263" s="646"/>
      <c r="BC263" s="646"/>
      <c r="BD263" s="646"/>
      <c r="BE263" s="646"/>
      <c r="BF263" s="646"/>
      <c r="BG263" s="646"/>
      <c r="BH263" s="646"/>
      <c r="BI263" s="647"/>
      <c r="BJ263" s="647"/>
      <c r="BK263" s="647"/>
      <c r="BL263" s="647"/>
      <c r="BM263" s="647"/>
    </row>
    <row r="264" spans="2:65" s="640" customFormat="1" hidden="1">
      <c r="B264" s="1022"/>
      <c r="C264" s="1022"/>
      <c r="D264" s="1022"/>
      <c r="E264" s="1022"/>
      <c r="F264" s="1022"/>
      <c r="G264" s="1022"/>
      <c r="H264" s="1022"/>
      <c r="I264" s="1022"/>
      <c r="J264" s="1022"/>
      <c r="K264" s="1022"/>
      <c r="L264" s="1022"/>
      <c r="M264" s="1022"/>
      <c r="N264" s="1022"/>
      <c r="O264" s="1022"/>
      <c r="P264" s="1022"/>
      <c r="Q264" s="1022"/>
      <c r="R264" s="1022"/>
      <c r="S264" s="1022"/>
      <c r="T264" s="1022"/>
      <c r="U264" s="1022"/>
      <c r="W264" s="645"/>
      <c r="X264" s="1066"/>
      <c r="Y264" s="646"/>
      <c r="Z264" s="673"/>
      <c r="AA264" s="646"/>
      <c r="AB264" s="646"/>
      <c r="AC264" s="646"/>
      <c r="AD264" s="646"/>
      <c r="AE264" s="646"/>
      <c r="AF264" s="646"/>
      <c r="AG264" s="646"/>
      <c r="AH264" s="646"/>
      <c r="AI264" s="646"/>
      <c r="AJ264" s="646"/>
      <c r="AK264" s="646"/>
      <c r="AL264" s="646"/>
      <c r="AM264" s="646"/>
      <c r="AN264" s="646"/>
      <c r="AO264" s="646"/>
      <c r="AP264" s="646"/>
      <c r="AQ264" s="646"/>
      <c r="AR264" s="646"/>
      <c r="AS264" s="646"/>
      <c r="AT264" s="646"/>
      <c r="AU264" s="645"/>
      <c r="AV264" s="645"/>
      <c r="AW264" s="645"/>
      <c r="AX264" s="645"/>
      <c r="AY264" s="646"/>
      <c r="AZ264" s="646"/>
      <c r="BA264" s="646"/>
      <c r="BB264" s="646"/>
      <c r="BC264" s="646"/>
      <c r="BD264" s="646"/>
      <c r="BE264" s="646"/>
      <c r="BF264" s="646"/>
      <c r="BG264" s="646"/>
      <c r="BH264" s="646"/>
      <c r="BI264" s="647"/>
      <c r="BJ264" s="647"/>
      <c r="BK264" s="647"/>
      <c r="BL264" s="647"/>
      <c r="BM264" s="647"/>
    </row>
    <row r="265" spans="2:65" s="640" customFormat="1" hidden="1">
      <c r="B265" s="1022"/>
      <c r="C265" s="1022"/>
      <c r="D265" s="1022"/>
      <c r="E265" s="1022"/>
      <c r="F265" s="1022"/>
      <c r="G265" s="1022"/>
      <c r="H265" s="1022"/>
      <c r="I265" s="1022"/>
      <c r="J265" s="1022"/>
      <c r="K265" s="1022"/>
      <c r="L265" s="1022"/>
      <c r="M265" s="1022"/>
      <c r="N265" s="1022"/>
      <c r="O265" s="1022"/>
      <c r="P265" s="1022"/>
      <c r="Q265" s="1022"/>
      <c r="R265" s="1022"/>
      <c r="S265" s="1022"/>
      <c r="T265" s="1022"/>
      <c r="U265" s="1022"/>
      <c r="W265" s="645"/>
      <c r="X265" s="1066"/>
      <c r="Y265" s="646"/>
      <c r="Z265" s="673"/>
      <c r="AA265" s="646"/>
      <c r="AB265" s="646"/>
      <c r="AC265" s="646"/>
      <c r="AD265" s="646"/>
      <c r="AE265" s="646"/>
      <c r="AF265" s="646"/>
      <c r="AG265" s="646"/>
      <c r="AH265" s="646"/>
      <c r="AI265" s="646"/>
      <c r="AJ265" s="646"/>
      <c r="AK265" s="646"/>
      <c r="AL265" s="646"/>
      <c r="AM265" s="646"/>
      <c r="AN265" s="646"/>
      <c r="AO265" s="646"/>
      <c r="AP265" s="646"/>
      <c r="AQ265" s="646"/>
      <c r="AR265" s="646"/>
      <c r="AS265" s="646"/>
      <c r="AT265" s="646"/>
      <c r="AU265" s="645"/>
      <c r="AV265" s="645"/>
      <c r="AW265" s="645"/>
      <c r="AX265" s="645"/>
      <c r="AY265" s="646"/>
      <c r="AZ265" s="646"/>
      <c r="BA265" s="646"/>
      <c r="BB265" s="646"/>
      <c r="BC265" s="646"/>
      <c r="BD265" s="646"/>
      <c r="BE265" s="646"/>
      <c r="BF265" s="646"/>
      <c r="BG265" s="646"/>
      <c r="BH265" s="646"/>
      <c r="BI265" s="647"/>
      <c r="BJ265" s="647"/>
      <c r="BK265" s="647"/>
      <c r="BL265" s="647"/>
      <c r="BM265" s="647"/>
    </row>
    <row r="266" spans="2:65" s="640" customFormat="1" hidden="1">
      <c r="B266" s="1022"/>
      <c r="C266" s="1022"/>
      <c r="D266" s="1022"/>
      <c r="E266" s="1022"/>
      <c r="F266" s="1022"/>
      <c r="G266" s="1022"/>
      <c r="H266" s="1022"/>
      <c r="I266" s="1022"/>
      <c r="J266" s="1022"/>
      <c r="K266" s="1022"/>
      <c r="L266" s="1022"/>
      <c r="M266" s="1022"/>
      <c r="N266" s="1022"/>
      <c r="O266" s="1022"/>
      <c r="P266" s="1022"/>
      <c r="Q266" s="1022"/>
      <c r="R266" s="1022"/>
      <c r="S266" s="1022"/>
      <c r="T266" s="1022"/>
      <c r="U266" s="1022"/>
      <c r="W266" s="645"/>
      <c r="X266" s="1066"/>
      <c r="Y266" s="646"/>
      <c r="Z266" s="673"/>
      <c r="AA266" s="646"/>
      <c r="AB266" s="646"/>
      <c r="AC266" s="646"/>
      <c r="AD266" s="646"/>
      <c r="AE266" s="646"/>
      <c r="AF266" s="646"/>
      <c r="AG266" s="646"/>
      <c r="AH266" s="646"/>
      <c r="AI266" s="646"/>
      <c r="AJ266" s="646"/>
      <c r="AK266" s="646"/>
      <c r="AL266" s="646"/>
      <c r="AM266" s="646"/>
      <c r="AN266" s="646"/>
      <c r="AO266" s="646"/>
      <c r="AP266" s="646"/>
      <c r="AQ266" s="646"/>
      <c r="AR266" s="646"/>
      <c r="AS266" s="646"/>
      <c r="AT266" s="646"/>
      <c r="AU266" s="645"/>
      <c r="AV266" s="645"/>
      <c r="AW266" s="645"/>
      <c r="AX266" s="645"/>
      <c r="AY266" s="646"/>
      <c r="AZ266" s="646"/>
      <c r="BA266" s="646"/>
      <c r="BB266" s="646"/>
      <c r="BC266" s="646"/>
      <c r="BD266" s="646"/>
      <c r="BE266" s="646"/>
      <c r="BF266" s="646"/>
      <c r="BG266" s="646"/>
      <c r="BH266" s="646"/>
      <c r="BI266" s="647"/>
      <c r="BJ266" s="647"/>
      <c r="BK266" s="647"/>
      <c r="BL266" s="647"/>
      <c r="BM266" s="647"/>
    </row>
    <row r="267" spans="2:65" s="640" customFormat="1" hidden="1">
      <c r="B267" s="1022"/>
      <c r="C267" s="1022"/>
      <c r="D267" s="1022"/>
      <c r="E267" s="1022"/>
      <c r="F267" s="1022"/>
      <c r="G267" s="1022"/>
      <c r="H267" s="1022"/>
      <c r="I267" s="1022"/>
      <c r="J267" s="1022"/>
      <c r="K267" s="1022"/>
      <c r="L267" s="1022"/>
      <c r="M267" s="1022"/>
      <c r="N267" s="1022"/>
      <c r="O267" s="1022"/>
      <c r="P267" s="1022"/>
      <c r="Q267" s="1022"/>
      <c r="R267" s="1022"/>
      <c r="S267" s="1022"/>
      <c r="T267" s="1022"/>
      <c r="U267" s="1022"/>
      <c r="W267" s="645"/>
      <c r="X267" s="1066"/>
      <c r="Y267" s="646"/>
      <c r="Z267" s="673"/>
      <c r="AA267" s="646"/>
      <c r="AB267" s="646"/>
      <c r="AC267" s="646"/>
      <c r="AD267" s="646"/>
      <c r="AE267" s="646"/>
      <c r="AF267" s="646"/>
      <c r="AG267" s="646"/>
      <c r="AH267" s="646"/>
      <c r="AI267" s="646"/>
      <c r="AJ267" s="646"/>
      <c r="AK267" s="646"/>
      <c r="AL267" s="646"/>
      <c r="AM267" s="646"/>
      <c r="AN267" s="646"/>
      <c r="AO267" s="646"/>
      <c r="AP267" s="646"/>
      <c r="AQ267" s="646"/>
      <c r="AR267" s="646"/>
      <c r="AS267" s="646"/>
      <c r="AT267" s="646"/>
      <c r="AU267" s="645"/>
      <c r="AV267" s="645"/>
      <c r="AW267" s="645"/>
      <c r="AX267" s="645"/>
      <c r="AY267" s="646"/>
      <c r="AZ267" s="646"/>
      <c r="BA267" s="646"/>
      <c r="BB267" s="646"/>
      <c r="BC267" s="646"/>
      <c r="BD267" s="646"/>
      <c r="BE267" s="646"/>
      <c r="BF267" s="646"/>
      <c r="BG267" s="646"/>
      <c r="BH267" s="646"/>
      <c r="BI267" s="647"/>
      <c r="BJ267" s="647"/>
      <c r="BK267" s="647"/>
      <c r="BL267" s="647"/>
      <c r="BM267" s="647"/>
    </row>
    <row r="268" spans="2:65" s="640" customFormat="1" hidden="1">
      <c r="B268" s="1022"/>
      <c r="C268" s="1022"/>
      <c r="D268" s="1022"/>
      <c r="E268" s="1022"/>
      <c r="F268" s="1022"/>
      <c r="G268" s="1022"/>
      <c r="H268" s="1022"/>
      <c r="I268" s="1022"/>
      <c r="J268" s="1022"/>
      <c r="K268" s="1022"/>
      <c r="L268" s="1022"/>
      <c r="M268" s="1022"/>
      <c r="N268" s="1022"/>
      <c r="O268" s="1022"/>
      <c r="P268" s="1022"/>
      <c r="Q268" s="1022"/>
      <c r="R268" s="1022"/>
      <c r="S268" s="1022"/>
      <c r="T268" s="1022"/>
      <c r="U268" s="1022"/>
      <c r="W268" s="645"/>
      <c r="X268" s="1066"/>
      <c r="Y268" s="646"/>
      <c r="Z268" s="673"/>
      <c r="AA268" s="646"/>
      <c r="AB268" s="646"/>
      <c r="AC268" s="646"/>
      <c r="AD268" s="646"/>
      <c r="AE268" s="646"/>
      <c r="AF268" s="646"/>
      <c r="AG268" s="646"/>
      <c r="AH268" s="646"/>
      <c r="AI268" s="646"/>
      <c r="AJ268" s="646"/>
      <c r="AK268" s="646"/>
      <c r="AL268" s="646"/>
      <c r="AM268" s="646"/>
      <c r="AN268" s="646"/>
      <c r="AO268" s="646"/>
      <c r="AP268" s="646"/>
      <c r="AQ268" s="646"/>
      <c r="AR268" s="646"/>
      <c r="AS268" s="646"/>
      <c r="AT268" s="646"/>
      <c r="AU268" s="645"/>
      <c r="AV268" s="645"/>
      <c r="AW268" s="645"/>
      <c r="AX268" s="645"/>
      <c r="AY268" s="646"/>
      <c r="AZ268" s="646"/>
      <c r="BA268" s="646"/>
      <c r="BB268" s="646"/>
      <c r="BC268" s="646"/>
      <c r="BD268" s="646"/>
      <c r="BE268" s="646"/>
      <c r="BF268" s="646"/>
      <c r="BG268" s="646"/>
      <c r="BH268" s="646"/>
      <c r="BI268" s="647"/>
      <c r="BJ268" s="647"/>
      <c r="BK268" s="647"/>
      <c r="BL268" s="647"/>
      <c r="BM268" s="647"/>
    </row>
    <row r="269" spans="2:65" s="640" customFormat="1" hidden="1">
      <c r="B269" s="1022"/>
      <c r="C269" s="1022"/>
      <c r="D269" s="1022"/>
      <c r="E269" s="1022"/>
      <c r="F269" s="1022"/>
      <c r="G269" s="1022"/>
      <c r="H269" s="1022"/>
      <c r="I269" s="1022"/>
      <c r="J269" s="1022"/>
      <c r="K269" s="1022"/>
      <c r="L269" s="1022"/>
      <c r="M269" s="1022"/>
      <c r="N269" s="1022"/>
      <c r="O269" s="1022"/>
      <c r="P269" s="1022"/>
      <c r="Q269" s="1022"/>
      <c r="R269" s="1022"/>
      <c r="S269" s="1022"/>
      <c r="T269" s="1022"/>
      <c r="U269" s="1022"/>
      <c r="W269" s="645"/>
      <c r="X269" s="1066"/>
      <c r="Y269" s="646"/>
      <c r="Z269" s="673"/>
      <c r="AA269" s="646"/>
      <c r="AB269" s="646"/>
      <c r="AC269" s="646"/>
      <c r="AD269" s="646"/>
      <c r="AE269" s="646"/>
      <c r="AF269" s="646"/>
      <c r="AG269" s="646"/>
      <c r="AH269" s="646"/>
      <c r="AI269" s="646"/>
      <c r="AJ269" s="646"/>
      <c r="AK269" s="646"/>
      <c r="AL269" s="646"/>
      <c r="AM269" s="646"/>
      <c r="AN269" s="646"/>
      <c r="AO269" s="646"/>
      <c r="AP269" s="646"/>
      <c r="AQ269" s="646"/>
      <c r="AR269" s="646"/>
      <c r="AS269" s="646"/>
      <c r="AT269" s="646"/>
      <c r="AU269" s="645"/>
      <c r="AV269" s="645"/>
      <c r="AW269" s="645"/>
      <c r="AX269" s="645"/>
      <c r="AY269" s="646"/>
      <c r="AZ269" s="646"/>
      <c r="BA269" s="646"/>
      <c r="BB269" s="646"/>
      <c r="BC269" s="646"/>
      <c r="BD269" s="646"/>
      <c r="BE269" s="646"/>
      <c r="BF269" s="646"/>
      <c r="BG269" s="646"/>
      <c r="BH269" s="646"/>
      <c r="BI269" s="647"/>
      <c r="BJ269" s="647"/>
      <c r="BK269" s="647"/>
      <c r="BL269" s="647"/>
      <c r="BM269" s="647"/>
    </row>
    <row r="270" spans="2:65" s="640" customFormat="1" hidden="1">
      <c r="B270" s="1022"/>
      <c r="C270" s="1022"/>
      <c r="D270" s="1022"/>
      <c r="E270" s="1022"/>
      <c r="F270" s="1022"/>
      <c r="G270" s="1022"/>
      <c r="H270" s="1022"/>
      <c r="I270" s="1022"/>
      <c r="J270" s="1022"/>
      <c r="K270" s="1022"/>
      <c r="L270" s="1022"/>
      <c r="M270" s="1022"/>
      <c r="N270" s="1022"/>
      <c r="O270" s="1022"/>
      <c r="P270" s="1022"/>
      <c r="Q270" s="1022"/>
      <c r="R270" s="1022"/>
      <c r="S270" s="1022"/>
      <c r="T270" s="1022"/>
      <c r="U270" s="1022"/>
      <c r="W270" s="645"/>
      <c r="X270" s="1066"/>
      <c r="Y270" s="646"/>
      <c r="Z270" s="673"/>
      <c r="AA270" s="646"/>
      <c r="AB270" s="646"/>
      <c r="AC270" s="646"/>
      <c r="AD270" s="646"/>
      <c r="AE270" s="646"/>
      <c r="AF270" s="646"/>
      <c r="AG270" s="646"/>
      <c r="AH270" s="646"/>
      <c r="AI270" s="646"/>
      <c r="AJ270" s="646"/>
      <c r="AK270" s="646"/>
      <c r="AL270" s="646"/>
      <c r="AM270" s="646"/>
      <c r="AN270" s="646"/>
      <c r="AO270" s="646"/>
      <c r="AP270" s="646"/>
      <c r="AQ270" s="646"/>
      <c r="AR270" s="646"/>
      <c r="AS270" s="646"/>
      <c r="AT270" s="646"/>
      <c r="AU270" s="645"/>
      <c r="AV270" s="645"/>
      <c r="AW270" s="645"/>
      <c r="AX270" s="645"/>
      <c r="AY270" s="646"/>
      <c r="AZ270" s="646"/>
      <c r="BA270" s="646"/>
      <c r="BB270" s="646"/>
      <c r="BC270" s="646"/>
      <c r="BD270" s="646"/>
      <c r="BE270" s="646"/>
      <c r="BF270" s="646"/>
      <c r="BG270" s="646"/>
      <c r="BH270" s="646"/>
      <c r="BI270" s="647"/>
      <c r="BJ270" s="647"/>
      <c r="BK270" s="647"/>
      <c r="BL270" s="647"/>
      <c r="BM270" s="647"/>
    </row>
    <row r="271" spans="2:65" s="640" customFormat="1" hidden="1">
      <c r="D271" s="641"/>
      <c r="G271" s="642"/>
      <c r="J271" s="642"/>
      <c r="K271" s="643"/>
      <c r="M271" s="644"/>
      <c r="N271" s="642"/>
      <c r="Q271" s="642"/>
      <c r="T271" s="642"/>
      <c r="U271" s="643"/>
      <c r="W271" s="645"/>
      <c r="X271" s="1066"/>
      <c r="Y271" s="646"/>
      <c r="Z271" s="673"/>
      <c r="AA271" s="646"/>
      <c r="AB271" s="646"/>
      <c r="AC271" s="646"/>
      <c r="AD271" s="646"/>
      <c r="AE271" s="646"/>
      <c r="AF271" s="646"/>
      <c r="AG271" s="646"/>
      <c r="AH271" s="646"/>
      <c r="AI271" s="646"/>
      <c r="AJ271" s="646"/>
      <c r="AK271" s="646"/>
      <c r="AL271" s="646"/>
      <c r="AM271" s="646"/>
      <c r="AN271" s="646"/>
      <c r="AO271" s="646"/>
      <c r="AP271" s="646"/>
      <c r="AQ271" s="646"/>
      <c r="AR271" s="646"/>
      <c r="AS271" s="646"/>
      <c r="AT271" s="646"/>
      <c r="AU271" s="645"/>
      <c r="AV271" s="645"/>
      <c r="AW271" s="645"/>
      <c r="AX271" s="645"/>
      <c r="AY271" s="646"/>
      <c r="AZ271" s="646"/>
      <c r="BA271" s="646"/>
      <c r="BB271" s="646"/>
      <c r="BC271" s="646"/>
      <c r="BD271" s="646"/>
      <c r="BE271" s="646"/>
      <c r="BF271" s="646"/>
      <c r="BG271" s="646"/>
      <c r="BH271" s="646"/>
      <c r="BI271" s="647"/>
      <c r="BJ271" s="647"/>
      <c r="BK271" s="647"/>
      <c r="BL271" s="647"/>
      <c r="BM271" s="647"/>
    </row>
    <row r="272" spans="2:65" s="640" customFormat="1" ht="18" hidden="1" customHeight="1">
      <c r="D272" s="641"/>
      <c r="G272" s="642"/>
      <c r="J272" s="642"/>
      <c r="K272" s="643"/>
      <c r="M272" s="644"/>
      <c r="N272" s="642"/>
      <c r="Q272" s="642"/>
      <c r="T272" s="642"/>
      <c r="U272" s="643"/>
      <c r="W272" s="645"/>
      <c r="X272" s="1066"/>
      <c r="Y272" s="646"/>
      <c r="Z272" s="673"/>
      <c r="AA272" s="646"/>
      <c r="AB272" s="646"/>
      <c r="AC272" s="646"/>
      <c r="AD272" s="646"/>
      <c r="AE272" s="646"/>
      <c r="AF272" s="646"/>
      <c r="AG272" s="646"/>
      <c r="AH272" s="646"/>
      <c r="AI272" s="646"/>
      <c r="AJ272" s="646"/>
      <c r="AK272" s="646"/>
      <c r="AL272" s="646"/>
      <c r="AM272" s="646"/>
      <c r="AN272" s="646"/>
      <c r="AO272" s="646"/>
      <c r="AP272" s="646"/>
      <c r="AQ272" s="646"/>
      <c r="AR272" s="646"/>
      <c r="AS272" s="646"/>
      <c r="AT272" s="646"/>
      <c r="AU272" s="645"/>
      <c r="AV272" s="645"/>
      <c r="AW272" s="645"/>
      <c r="AX272" s="645"/>
      <c r="AY272" s="646"/>
      <c r="AZ272" s="646"/>
      <c r="BA272" s="646"/>
      <c r="BB272" s="646"/>
      <c r="BC272" s="646"/>
      <c r="BD272" s="646"/>
      <c r="BE272" s="646"/>
      <c r="BF272" s="646"/>
      <c r="BG272" s="646"/>
      <c r="BH272" s="646"/>
      <c r="BI272" s="647"/>
      <c r="BJ272" s="647"/>
      <c r="BK272" s="647"/>
      <c r="BL272" s="647"/>
      <c r="BM272" s="647"/>
    </row>
    <row r="273" spans="4:65" s="640" customFormat="1" hidden="1">
      <c r="D273" s="641"/>
      <c r="G273" s="642"/>
      <c r="J273" s="642"/>
      <c r="K273" s="643"/>
      <c r="M273" s="644"/>
      <c r="N273" s="642"/>
      <c r="Q273" s="642"/>
      <c r="T273" s="642"/>
      <c r="U273" s="643"/>
      <c r="W273" s="645"/>
      <c r="X273" s="1066"/>
      <c r="Y273" s="646"/>
      <c r="Z273" s="673"/>
      <c r="AA273" s="646"/>
      <c r="AB273" s="646"/>
      <c r="AC273" s="646"/>
      <c r="AD273" s="646"/>
      <c r="AE273" s="646"/>
      <c r="AF273" s="646"/>
      <c r="AG273" s="646"/>
      <c r="AH273" s="646"/>
      <c r="AI273" s="646"/>
      <c r="AJ273" s="646"/>
      <c r="AK273" s="646"/>
      <c r="AL273" s="646"/>
      <c r="AM273" s="646"/>
      <c r="AN273" s="646"/>
      <c r="AO273" s="646"/>
      <c r="AP273" s="646"/>
      <c r="AQ273" s="646"/>
      <c r="AR273" s="646"/>
      <c r="AS273" s="646"/>
      <c r="AT273" s="646"/>
      <c r="AU273" s="645"/>
      <c r="AV273" s="645"/>
      <c r="AW273" s="645"/>
      <c r="AX273" s="645"/>
      <c r="AY273" s="646"/>
      <c r="AZ273" s="646"/>
      <c r="BA273" s="646"/>
      <c r="BB273" s="646"/>
      <c r="BC273" s="646"/>
      <c r="BD273" s="646"/>
      <c r="BE273" s="646"/>
      <c r="BF273" s="646"/>
      <c r="BG273" s="646"/>
      <c r="BH273" s="646"/>
      <c r="BI273" s="647"/>
      <c r="BJ273" s="647"/>
      <c r="BK273" s="647"/>
      <c r="BL273" s="647"/>
      <c r="BM273" s="647"/>
    </row>
    <row r="274" spans="4:65" s="640" customFormat="1" hidden="1">
      <c r="D274" s="641"/>
      <c r="G274" s="642"/>
      <c r="J274" s="642"/>
      <c r="K274" s="643"/>
      <c r="M274" s="644"/>
      <c r="N274" s="642"/>
      <c r="Q274" s="642"/>
      <c r="T274" s="642"/>
      <c r="U274" s="643"/>
      <c r="W274" s="645"/>
      <c r="X274" s="1066"/>
      <c r="Y274" s="646"/>
      <c r="Z274" s="673"/>
      <c r="AA274" s="646"/>
      <c r="AB274" s="646"/>
      <c r="AC274" s="646"/>
      <c r="AD274" s="646"/>
      <c r="AE274" s="646"/>
      <c r="AF274" s="646"/>
      <c r="AG274" s="646"/>
      <c r="AH274" s="646"/>
      <c r="AI274" s="646"/>
      <c r="AJ274" s="646"/>
      <c r="AK274" s="646"/>
      <c r="AL274" s="646"/>
      <c r="AM274" s="646"/>
      <c r="AN274" s="646"/>
      <c r="AO274" s="646"/>
      <c r="AP274" s="646"/>
      <c r="AQ274" s="646"/>
      <c r="AR274" s="646"/>
      <c r="AS274" s="646"/>
      <c r="AT274" s="646"/>
      <c r="AU274" s="645"/>
      <c r="AV274" s="645"/>
      <c r="AW274" s="645"/>
      <c r="AX274" s="645"/>
      <c r="AY274" s="646"/>
      <c r="AZ274" s="646"/>
      <c r="BA274" s="646"/>
      <c r="BB274" s="646"/>
      <c r="BC274" s="646"/>
      <c r="BD274" s="646"/>
      <c r="BE274" s="646"/>
      <c r="BF274" s="646"/>
      <c r="BG274" s="646"/>
      <c r="BH274" s="646"/>
      <c r="BI274" s="647"/>
      <c r="BJ274" s="647"/>
      <c r="BK274" s="647"/>
      <c r="BL274" s="647"/>
      <c r="BM274" s="647"/>
    </row>
    <row r="275" spans="4:65" s="640" customFormat="1" hidden="1">
      <c r="D275" s="641"/>
      <c r="G275" s="642"/>
      <c r="J275" s="642"/>
      <c r="K275" s="643"/>
      <c r="M275" s="644"/>
      <c r="N275" s="642"/>
      <c r="Q275" s="642"/>
      <c r="T275" s="642"/>
      <c r="U275" s="643"/>
      <c r="W275" s="645"/>
      <c r="X275" s="1066"/>
      <c r="Y275" s="646"/>
      <c r="Z275" s="673"/>
      <c r="AA275" s="646"/>
      <c r="AB275" s="646"/>
      <c r="AC275" s="646"/>
      <c r="AD275" s="646"/>
      <c r="AE275" s="646"/>
      <c r="AF275" s="646"/>
      <c r="AG275" s="646"/>
      <c r="AH275" s="646"/>
      <c r="AI275" s="646"/>
      <c r="AJ275" s="646"/>
      <c r="AK275" s="646"/>
      <c r="AL275" s="646"/>
      <c r="AM275" s="646"/>
      <c r="AN275" s="646"/>
      <c r="AO275" s="646"/>
      <c r="AP275" s="646"/>
      <c r="AQ275" s="646"/>
      <c r="AR275" s="646"/>
      <c r="AS275" s="646"/>
      <c r="AT275" s="646"/>
      <c r="AU275" s="645"/>
      <c r="AV275" s="645"/>
      <c r="AW275" s="645"/>
      <c r="AX275" s="645"/>
      <c r="AY275" s="646"/>
      <c r="AZ275" s="646"/>
      <c r="BA275" s="646"/>
      <c r="BB275" s="646"/>
      <c r="BC275" s="646"/>
      <c r="BD275" s="646"/>
      <c r="BE275" s="646"/>
      <c r="BF275" s="646"/>
      <c r="BG275" s="646"/>
      <c r="BH275" s="646"/>
      <c r="BI275" s="647"/>
      <c r="BJ275" s="647"/>
      <c r="BK275" s="647"/>
      <c r="BL275" s="647"/>
      <c r="BM275" s="647"/>
    </row>
    <row r="276" spans="4:65" s="640" customFormat="1" hidden="1">
      <c r="D276" s="641"/>
      <c r="G276" s="642"/>
      <c r="J276" s="642"/>
      <c r="K276" s="643"/>
      <c r="M276" s="644"/>
      <c r="N276" s="642"/>
      <c r="Q276" s="642"/>
      <c r="T276" s="642"/>
      <c r="U276" s="643"/>
      <c r="W276" s="645"/>
      <c r="X276" s="1066"/>
      <c r="Y276" s="646"/>
      <c r="Z276" s="673"/>
      <c r="AA276" s="646"/>
      <c r="AB276" s="646"/>
      <c r="AC276" s="646"/>
      <c r="AD276" s="646"/>
      <c r="AE276" s="646"/>
      <c r="AF276" s="646"/>
      <c r="AG276" s="646"/>
      <c r="AH276" s="646"/>
      <c r="AI276" s="646"/>
      <c r="AJ276" s="646"/>
      <c r="AK276" s="646"/>
      <c r="AL276" s="646"/>
      <c r="AM276" s="646"/>
      <c r="AN276" s="646"/>
      <c r="AO276" s="646"/>
      <c r="AP276" s="646"/>
      <c r="AQ276" s="646"/>
      <c r="AR276" s="646"/>
      <c r="AS276" s="646"/>
      <c r="AT276" s="646"/>
      <c r="AU276" s="645"/>
      <c r="AV276" s="645"/>
      <c r="AW276" s="645"/>
      <c r="AX276" s="645"/>
      <c r="AY276" s="646"/>
      <c r="AZ276" s="646"/>
      <c r="BA276" s="646"/>
      <c r="BB276" s="646"/>
      <c r="BC276" s="646"/>
      <c r="BD276" s="646"/>
      <c r="BE276" s="646"/>
      <c r="BF276" s="646"/>
      <c r="BG276" s="646"/>
      <c r="BH276" s="646"/>
      <c r="BI276" s="647"/>
      <c r="BJ276" s="647"/>
      <c r="BK276" s="647"/>
      <c r="BL276" s="647"/>
      <c r="BM276" s="647"/>
    </row>
    <row r="277" spans="4:65" s="640" customFormat="1" hidden="1">
      <c r="D277" s="641"/>
      <c r="G277" s="642"/>
      <c r="J277" s="642"/>
      <c r="K277" s="643"/>
      <c r="M277" s="644"/>
      <c r="N277" s="642"/>
      <c r="Q277" s="642"/>
      <c r="T277" s="642"/>
      <c r="U277" s="643"/>
      <c r="W277" s="645"/>
      <c r="X277" s="1066"/>
      <c r="Y277" s="646"/>
      <c r="Z277" s="673"/>
      <c r="AA277" s="646"/>
      <c r="AB277" s="646"/>
      <c r="AC277" s="646"/>
      <c r="AD277" s="646"/>
      <c r="AE277" s="646"/>
      <c r="AF277" s="646"/>
      <c r="AG277" s="646"/>
      <c r="AH277" s="646"/>
      <c r="AI277" s="646"/>
      <c r="AJ277" s="646"/>
      <c r="AK277" s="646"/>
      <c r="AL277" s="646"/>
      <c r="AM277" s="646"/>
      <c r="AN277" s="646"/>
      <c r="AO277" s="646"/>
      <c r="AP277" s="646"/>
      <c r="AQ277" s="646"/>
      <c r="AR277" s="646"/>
      <c r="AS277" s="646"/>
      <c r="AT277" s="646"/>
      <c r="AU277" s="645"/>
      <c r="AV277" s="645"/>
      <c r="AW277" s="645"/>
      <c r="AX277" s="645"/>
      <c r="AY277" s="646"/>
      <c r="AZ277" s="646"/>
      <c r="BA277" s="646"/>
      <c r="BB277" s="646"/>
      <c r="BC277" s="646"/>
      <c r="BD277" s="646"/>
      <c r="BE277" s="646"/>
      <c r="BF277" s="646"/>
      <c r="BG277" s="646"/>
      <c r="BH277" s="646"/>
      <c r="BI277" s="647"/>
      <c r="BJ277" s="647"/>
      <c r="BK277" s="647"/>
      <c r="BL277" s="647"/>
      <c r="BM277" s="647"/>
    </row>
    <row r="278" spans="4:65" s="640" customFormat="1" hidden="1">
      <c r="D278" s="641"/>
      <c r="G278" s="642"/>
      <c r="J278" s="642"/>
      <c r="K278" s="643"/>
      <c r="M278" s="644"/>
      <c r="N278" s="642"/>
      <c r="Q278" s="642"/>
      <c r="T278" s="642"/>
      <c r="U278" s="643"/>
      <c r="W278" s="645"/>
      <c r="X278" s="1066"/>
      <c r="Y278" s="646"/>
      <c r="Z278" s="673"/>
      <c r="AA278" s="646"/>
      <c r="AB278" s="646"/>
      <c r="AC278" s="646"/>
      <c r="AD278" s="646"/>
      <c r="AE278" s="646"/>
      <c r="AF278" s="646"/>
      <c r="AG278" s="646"/>
      <c r="AH278" s="646"/>
      <c r="AI278" s="646"/>
      <c r="AJ278" s="646"/>
      <c r="AK278" s="646"/>
      <c r="AL278" s="646"/>
      <c r="AM278" s="646"/>
      <c r="AN278" s="646"/>
      <c r="AO278" s="646"/>
      <c r="AP278" s="646"/>
      <c r="AQ278" s="646"/>
      <c r="AR278" s="646"/>
      <c r="AS278" s="646"/>
      <c r="AT278" s="646"/>
      <c r="AU278" s="645"/>
      <c r="AV278" s="645"/>
      <c r="AW278" s="645"/>
      <c r="AX278" s="645"/>
      <c r="AY278" s="646"/>
      <c r="AZ278" s="646"/>
      <c r="BA278" s="646"/>
      <c r="BB278" s="646"/>
      <c r="BC278" s="646"/>
      <c r="BD278" s="646"/>
      <c r="BE278" s="646"/>
      <c r="BF278" s="646"/>
      <c r="BG278" s="646"/>
      <c r="BH278" s="646"/>
      <c r="BI278" s="647"/>
      <c r="BJ278" s="647"/>
      <c r="BK278" s="647"/>
      <c r="BL278" s="647"/>
      <c r="BM278" s="647"/>
    </row>
    <row r="279" spans="4:65" s="640" customFormat="1" hidden="1">
      <c r="D279" s="641"/>
      <c r="G279" s="642"/>
      <c r="J279" s="642"/>
      <c r="K279" s="643"/>
      <c r="M279" s="644"/>
      <c r="N279" s="642"/>
      <c r="Q279" s="642"/>
      <c r="T279" s="642"/>
      <c r="U279" s="643"/>
      <c r="W279" s="645"/>
      <c r="X279" s="1066"/>
      <c r="Y279" s="646"/>
      <c r="Z279" s="673"/>
      <c r="AA279" s="646"/>
      <c r="AB279" s="646"/>
      <c r="AC279" s="646"/>
      <c r="AD279" s="646"/>
      <c r="AE279" s="646"/>
      <c r="AF279" s="646"/>
      <c r="AG279" s="646"/>
      <c r="AH279" s="646"/>
      <c r="AI279" s="646"/>
      <c r="AJ279" s="646"/>
      <c r="AK279" s="646"/>
      <c r="AL279" s="646"/>
      <c r="AM279" s="646"/>
      <c r="AN279" s="646"/>
      <c r="AO279" s="646"/>
      <c r="AP279" s="646"/>
      <c r="AQ279" s="646"/>
      <c r="AR279" s="646"/>
      <c r="AS279" s="646"/>
      <c r="AT279" s="646"/>
      <c r="AU279" s="645"/>
      <c r="AV279" s="645"/>
      <c r="AW279" s="645"/>
      <c r="AX279" s="645"/>
      <c r="AY279" s="646"/>
      <c r="AZ279" s="646"/>
      <c r="BA279" s="646"/>
      <c r="BB279" s="646"/>
      <c r="BC279" s="646"/>
      <c r="BD279" s="646"/>
      <c r="BE279" s="646"/>
      <c r="BF279" s="646"/>
      <c r="BG279" s="646"/>
      <c r="BH279" s="646"/>
      <c r="BI279" s="647"/>
      <c r="BJ279" s="647"/>
      <c r="BK279" s="647"/>
      <c r="BL279" s="647"/>
      <c r="BM279" s="647"/>
    </row>
    <row r="280" spans="4:65" s="640" customFormat="1" hidden="1">
      <c r="D280" s="641"/>
      <c r="G280" s="642"/>
      <c r="J280" s="642"/>
      <c r="K280" s="643"/>
      <c r="M280" s="644"/>
      <c r="N280" s="642"/>
      <c r="Q280" s="642"/>
      <c r="T280" s="642"/>
      <c r="U280" s="643"/>
      <c r="W280" s="645"/>
      <c r="X280" s="1066"/>
      <c r="Y280" s="646"/>
      <c r="Z280" s="673"/>
      <c r="AA280" s="646"/>
      <c r="AB280" s="646"/>
      <c r="AC280" s="646"/>
      <c r="AD280" s="646"/>
      <c r="AE280" s="646"/>
      <c r="AF280" s="646"/>
      <c r="AG280" s="646"/>
      <c r="AH280" s="646"/>
      <c r="AI280" s="646"/>
      <c r="AJ280" s="646"/>
      <c r="AK280" s="646"/>
      <c r="AL280" s="646"/>
      <c r="AM280" s="646"/>
      <c r="AN280" s="646"/>
      <c r="AO280" s="646"/>
      <c r="AP280" s="646"/>
      <c r="AQ280" s="646"/>
      <c r="AR280" s="646"/>
      <c r="AS280" s="646"/>
      <c r="AT280" s="646"/>
      <c r="AU280" s="645"/>
      <c r="AV280" s="645"/>
      <c r="AW280" s="645"/>
      <c r="AX280" s="645"/>
      <c r="AY280" s="646"/>
      <c r="AZ280" s="646"/>
      <c r="BA280" s="646"/>
      <c r="BB280" s="646"/>
      <c r="BC280" s="646"/>
      <c r="BD280" s="646"/>
      <c r="BE280" s="646"/>
      <c r="BF280" s="646"/>
      <c r="BG280" s="646"/>
      <c r="BH280" s="646"/>
      <c r="BI280" s="647"/>
      <c r="BJ280" s="647"/>
      <c r="BK280" s="647"/>
      <c r="BL280" s="647"/>
      <c r="BM280" s="647"/>
    </row>
    <row r="281" spans="4:65" s="640" customFormat="1" hidden="1">
      <c r="D281" s="641"/>
      <c r="G281" s="642"/>
      <c r="J281" s="642"/>
      <c r="K281" s="643"/>
      <c r="M281" s="644"/>
      <c r="N281" s="642"/>
      <c r="Q281" s="642"/>
      <c r="T281" s="642"/>
      <c r="U281" s="643"/>
      <c r="W281" s="645"/>
      <c r="X281" s="1066"/>
      <c r="Y281" s="646"/>
      <c r="Z281" s="673"/>
      <c r="AA281" s="646"/>
      <c r="AB281" s="646"/>
      <c r="AC281" s="646"/>
      <c r="AD281" s="646"/>
      <c r="AE281" s="646"/>
      <c r="AF281" s="646"/>
      <c r="AG281" s="646"/>
      <c r="AH281" s="646"/>
      <c r="AI281" s="646"/>
      <c r="AJ281" s="646"/>
      <c r="AK281" s="646"/>
      <c r="AL281" s="646"/>
      <c r="AM281" s="646"/>
      <c r="AN281" s="646"/>
      <c r="AO281" s="646"/>
      <c r="AP281" s="646"/>
      <c r="AQ281" s="646"/>
      <c r="AR281" s="646"/>
      <c r="AS281" s="646"/>
      <c r="AT281" s="646"/>
      <c r="AU281" s="645"/>
      <c r="AV281" s="645"/>
      <c r="AW281" s="645"/>
      <c r="AX281" s="645"/>
      <c r="AY281" s="646"/>
      <c r="AZ281" s="646"/>
      <c r="BA281" s="646"/>
      <c r="BB281" s="646"/>
      <c r="BC281" s="646"/>
      <c r="BD281" s="646"/>
      <c r="BE281" s="646"/>
      <c r="BF281" s="646"/>
      <c r="BG281" s="646"/>
      <c r="BH281" s="646"/>
      <c r="BI281" s="647"/>
      <c r="BJ281" s="647"/>
      <c r="BK281" s="647"/>
      <c r="BL281" s="647"/>
      <c r="BM281" s="647"/>
    </row>
    <row r="282" spans="4:65" s="640" customFormat="1" hidden="1">
      <c r="D282" s="641"/>
      <c r="G282" s="642"/>
      <c r="J282" s="642"/>
      <c r="K282" s="643"/>
      <c r="M282" s="644"/>
      <c r="N282" s="642"/>
      <c r="Q282" s="642"/>
      <c r="T282" s="642"/>
      <c r="U282" s="643"/>
      <c r="W282" s="645"/>
      <c r="X282" s="1066"/>
      <c r="Y282" s="646"/>
      <c r="Z282" s="673"/>
      <c r="AA282" s="646"/>
      <c r="AB282" s="646"/>
      <c r="AC282" s="646"/>
      <c r="AD282" s="646"/>
      <c r="AE282" s="646"/>
      <c r="AF282" s="646"/>
      <c r="AG282" s="646"/>
      <c r="AH282" s="646"/>
      <c r="AI282" s="646"/>
      <c r="AJ282" s="646"/>
      <c r="AK282" s="646"/>
      <c r="AL282" s="646"/>
      <c r="AM282" s="646"/>
      <c r="AN282" s="646"/>
      <c r="AO282" s="646"/>
      <c r="AP282" s="646"/>
      <c r="AQ282" s="646"/>
      <c r="AR282" s="646"/>
      <c r="AS282" s="646"/>
      <c r="AT282" s="646"/>
      <c r="AU282" s="645"/>
      <c r="AV282" s="645"/>
      <c r="AW282" s="645"/>
      <c r="AX282" s="645"/>
      <c r="AY282" s="646"/>
      <c r="AZ282" s="646"/>
      <c r="BA282" s="646"/>
      <c r="BB282" s="646"/>
      <c r="BC282" s="646"/>
      <c r="BD282" s="646"/>
      <c r="BE282" s="646"/>
      <c r="BF282" s="646"/>
      <c r="BG282" s="646"/>
      <c r="BH282" s="646"/>
      <c r="BI282" s="647"/>
      <c r="BJ282" s="647"/>
      <c r="BK282" s="647"/>
      <c r="BL282" s="647"/>
      <c r="BM282" s="647"/>
    </row>
    <row r="283" spans="4:65" s="640" customFormat="1" hidden="1">
      <c r="D283" s="641"/>
      <c r="G283" s="642"/>
      <c r="J283" s="642"/>
      <c r="K283" s="643"/>
      <c r="M283" s="644"/>
      <c r="N283" s="642"/>
      <c r="Q283" s="642"/>
      <c r="T283" s="642"/>
      <c r="U283" s="643"/>
      <c r="W283" s="645"/>
      <c r="X283" s="1066"/>
      <c r="Y283" s="646"/>
      <c r="Z283" s="673"/>
      <c r="AA283" s="646"/>
      <c r="AB283" s="646"/>
      <c r="AC283" s="646"/>
      <c r="AD283" s="646"/>
      <c r="AE283" s="646"/>
      <c r="AF283" s="646"/>
      <c r="AG283" s="646"/>
      <c r="AH283" s="646"/>
      <c r="AI283" s="646"/>
      <c r="AJ283" s="646"/>
      <c r="AK283" s="646"/>
      <c r="AL283" s="646"/>
      <c r="AM283" s="646"/>
      <c r="AN283" s="646"/>
      <c r="AO283" s="646"/>
      <c r="AP283" s="646"/>
      <c r="AQ283" s="646"/>
      <c r="AR283" s="646"/>
      <c r="AS283" s="646"/>
      <c r="AT283" s="646"/>
      <c r="AU283" s="645"/>
      <c r="AV283" s="645"/>
      <c r="AW283" s="645"/>
      <c r="AX283" s="645"/>
      <c r="AY283" s="646"/>
      <c r="AZ283" s="646"/>
      <c r="BA283" s="646"/>
      <c r="BB283" s="646"/>
      <c r="BC283" s="646"/>
      <c r="BD283" s="646"/>
      <c r="BE283" s="646"/>
      <c r="BF283" s="646"/>
      <c r="BG283" s="646"/>
      <c r="BH283" s="646"/>
      <c r="BI283" s="647"/>
      <c r="BJ283" s="647"/>
      <c r="BK283" s="647"/>
      <c r="BL283" s="647"/>
      <c r="BM283" s="647"/>
    </row>
    <row r="284" spans="4:65" s="640" customFormat="1" hidden="1">
      <c r="D284" s="641"/>
      <c r="G284" s="642"/>
      <c r="J284" s="642"/>
      <c r="K284" s="643"/>
      <c r="M284" s="644"/>
      <c r="N284" s="642"/>
      <c r="Q284" s="642"/>
      <c r="T284" s="642"/>
      <c r="U284" s="643"/>
      <c r="W284" s="645"/>
      <c r="X284" s="1066"/>
      <c r="Y284" s="646"/>
      <c r="Z284" s="673"/>
      <c r="AA284" s="646"/>
      <c r="AB284" s="646"/>
      <c r="AC284" s="646"/>
      <c r="AD284" s="646"/>
      <c r="AE284" s="646"/>
      <c r="AF284" s="646"/>
      <c r="AG284" s="646"/>
      <c r="AH284" s="646"/>
      <c r="AI284" s="646"/>
      <c r="AJ284" s="646"/>
      <c r="AK284" s="646"/>
      <c r="AL284" s="646"/>
      <c r="AM284" s="646"/>
      <c r="AN284" s="646"/>
      <c r="AO284" s="646"/>
      <c r="AP284" s="646"/>
      <c r="AQ284" s="646"/>
      <c r="AR284" s="646"/>
      <c r="AS284" s="646"/>
      <c r="AT284" s="646"/>
      <c r="AU284" s="645"/>
      <c r="AV284" s="645"/>
      <c r="AW284" s="645"/>
      <c r="AX284" s="645"/>
      <c r="AY284" s="646"/>
      <c r="AZ284" s="646"/>
      <c r="BA284" s="646"/>
      <c r="BB284" s="646"/>
      <c r="BC284" s="646"/>
      <c r="BD284" s="646"/>
      <c r="BE284" s="646"/>
      <c r="BF284" s="646"/>
      <c r="BG284" s="646"/>
      <c r="BH284" s="646"/>
      <c r="BI284" s="647"/>
      <c r="BJ284" s="647"/>
      <c r="BK284" s="647"/>
      <c r="BL284" s="647"/>
      <c r="BM284" s="647"/>
    </row>
    <row r="285" spans="4:65" s="640" customFormat="1" hidden="1">
      <c r="D285" s="641"/>
      <c r="G285" s="642"/>
      <c r="J285" s="642"/>
      <c r="K285" s="643"/>
      <c r="M285" s="644"/>
      <c r="N285" s="642"/>
      <c r="Q285" s="642"/>
      <c r="T285" s="642"/>
      <c r="U285" s="643"/>
      <c r="W285" s="645"/>
      <c r="X285" s="1066"/>
      <c r="Y285" s="646"/>
      <c r="Z285" s="673"/>
      <c r="AA285" s="646"/>
      <c r="AB285" s="646"/>
      <c r="AC285" s="646"/>
      <c r="AD285" s="646"/>
      <c r="AE285" s="646"/>
      <c r="AF285" s="646"/>
      <c r="AG285" s="646"/>
      <c r="AH285" s="646"/>
      <c r="AI285" s="646"/>
      <c r="AJ285" s="646"/>
      <c r="AK285" s="646"/>
      <c r="AL285" s="646"/>
      <c r="AM285" s="646"/>
      <c r="AN285" s="646"/>
      <c r="AO285" s="646"/>
      <c r="AP285" s="646"/>
      <c r="AQ285" s="646"/>
      <c r="AR285" s="646"/>
      <c r="AS285" s="646"/>
      <c r="AT285" s="646"/>
      <c r="AU285" s="645"/>
      <c r="AV285" s="645"/>
      <c r="AW285" s="645"/>
      <c r="AX285" s="645"/>
      <c r="AY285" s="646"/>
      <c r="AZ285" s="646"/>
      <c r="BA285" s="646"/>
      <c r="BB285" s="646"/>
      <c r="BC285" s="646"/>
      <c r="BD285" s="646"/>
      <c r="BE285" s="646"/>
      <c r="BF285" s="646"/>
      <c r="BG285" s="646"/>
      <c r="BH285" s="646"/>
      <c r="BI285" s="647"/>
      <c r="BJ285" s="647"/>
      <c r="BK285" s="647"/>
      <c r="BL285" s="647"/>
      <c r="BM285" s="647"/>
    </row>
    <row r="286" spans="4:65" s="640" customFormat="1" hidden="1">
      <c r="D286" s="641"/>
      <c r="G286" s="642"/>
      <c r="J286" s="642"/>
      <c r="K286" s="643"/>
      <c r="M286" s="644"/>
      <c r="N286" s="642"/>
      <c r="Q286" s="642"/>
      <c r="T286" s="642"/>
      <c r="U286" s="643"/>
      <c r="W286" s="645"/>
      <c r="X286" s="1066"/>
      <c r="Y286" s="646"/>
      <c r="Z286" s="673"/>
      <c r="AA286" s="646"/>
      <c r="AB286" s="646"/>
      <c r="AC286" s="646"/>
      <c r="AD286" s="646"/>
      <c r="AE286" s="646"/>
      <c r="AF286" s="646"/>
      <c r="AG286" s="646"/>
      <c r="AH286" s="646"/>
      <c r="AI286" s="646"/>
      <c r="AJ286" s="646"/>
      <c r="AK286" s="646"/>
      <c r="AL286" s="646"/>
      <c r="AM286" s="646"/>
      <c r="AN286" s="646"/>
      <c r="AO286" s="646"/>
      <c r="AP286" s="646"/>
      <c r="AQ286" s="646"/>
      <c r="AR286" s="646"/>
      <c r="AS286" s="646"/>
      <c r="AT286" s="646"/>
      <c r="AU286" s="645"/>
      <c r="AV286" s="645"/>
      <c r="AW286" s="645"/>
      <c r="AX286" s="645"/>
      <c r="AY286" s="646"/>
      <c r="AZ286" s="646"/>
      <c r="BA286" s="646"/>
      <c r="BB286" s="646"/>
      <c r="BC286" s="646"/>
      <c r="BD286" s="646"/>
      <c r="BE286" s="646"/>
      <c r="BF286" s="646"/>
      <c r="BG286" s="646"/>
      <c r="BH286" s="646"/>
      <c r="BI286" s="647"/>
      <c r="BJ286" s="647"/>
      <c r="BK286" s="647"/>
      <c r="BL286" s="647"/>
      <c r="BM286" s="647"/>
    </row>
    <row r="287" spans="4:65" s="640" customFormat="1" hidden="1">
      <c r="D287" s="641"/>
      <c r="G287" s="642"/>
      <c r="J287" s="642"/>
      <c r="K287" s="643"/>
      <c r="M287" s="644"/>
      <c r="N287" s="642"/>
      <c r="Q287" s="642"/>
      <c r="T287" s="642"/>
      <c r="U287" s="643"/>
      <c r="W287" s="645"/>
      <c r="X287" s="1066"/>
      <c r="Y287" s="646"/>
      <c r="Z287" s="673"/>
      <c r="AA287" s="646"/>
      <c r="AB287" s="646"/>
      <c r="AC287" s="646"/>
      <c r="AD287" s="646"/>
      <c r="AE287" s="646"/>
      <c r="AF287" s="646"/>
      <c r="AG287" s="646"/>
      <c r="AH287" s="646"/>
      <c r="AI287" s="646"/>
      <c r="AJ287" s="646"/>
      <c r="AK287" s="646"/>
      <c r="AL287" s="646"/>
      <c r="AM287" s="646"/>
      <c r="AN287" s="646"/>
      <c r="AO287" s="646"/>
      <c r="AP287" s="646"/>
      <c r="AQ287" s="646"/>
      <c r="AR287" s="646"/>
      <c r="AS287" s="646"/>
      <c r="AT287" s="646"/>
      <c r="AU287" s="645"/>
      <c r="AV287" s="645"/>
      <c r="AW287" s="645"/>
      <c r="AX287" s="645"/>
      <c r="AY287" s="646"/>
      <c r="AZ287" s="646"/>
      <c r="BA287" s="646"/>
      <c r="BB287" s="646"/>
      <c r="BC287" s="646"/>
      <c r="BD287" s="646"/>
      <c r="BE287" s="646"/>
      <c r="BF287" s="646"/>
      <c r="BG287" s="646"/>
      <c r="BH287" s="646"/>
      <c r="BI287" s="647"/>
      <c r="BJ287" s="647"/>
      <c r="BK287" s="647"/>
      <c r="BL287" s="647"/>
      <c r="BM287" s="647"/>
    </row>
    <row r="288" spans="4:65" s="640" customFormat="1" hidden="1">
      <c r="D288" s="641"/>
      <c r="G288" s="642"/>
      <c r="J288" s="642"/>
      <c r="K288" s="643"/>
      <c r="M288" s="644"/>
      <c r="N288" s="642"/>
      <c r="Q288" s="642"/>
      <c r="T288" s="642"/>
      <c r="U288" s="643"/>
      <c r="W288" s="645"/>
      <c r="X288" s="1066"/>
      <c r="Y288" s="646"/>
      <c r="Z288" s="673"/>
      <c r="AA288" s="646"/>
      <c r="AB288" s="646"/>
      <c r="AC288" s="646"/>
      <c r="AD288" s="646"/>
      <c r="AE288" s="646"/>
      <c r="AF288" s="646"/>
      <c r="AG288" s="646"/>
      <c r="AH288" s="646"/>
      <c r="AI288" s="646"/>
      <c r="AJ288" s="646"/>
      <c r="AK288" s="646"/>
      <c r="AL288" s="646"/>
      <c r="AM288" s="646"/>
      <c r="AN288" s="646"/>
      <c r="AO288" s="646"/>
      <c r="AP288" s="646"/>
      <c r="AQ288" s="646"/>
      <c r="AR288" s="646"/>
      <c r="AS288" s="646"/>
      <c r="AT288" s="646"/>
      <c r="AU288" s="645"/>
      <c r="AV288" s="645"/>
      <c r="AW288" s="645"/>
      <c r="AX288" s="645"/>
      <c r="AY288" s="646"/>
      <c r="AZ288" s="646"/>
      <c r="BA288" s="646"/>
      <c r="BB288" s="646"/>
      <c r="BC288" s="646"/>
      <c r="BD288" s="646"/>
      <c r="BE288" s="646"/>
      <c r="BF288" s="646"/>
      <c r="BG288" s="646"/>
      <c r="BH288" s="646"/>
      <c r="BI288" s="647"/>
      <c r="BJ288" s="647"/>
      <c r="BK288" s="647"/>
      <c r="BL288" s="647"/>
      <c r="BM288" s="647"/>
    </row>
    <row r="289" spans="4:65" s="640" customFormat="1" hidden="1">
      <c r="D289" s="641"/>
      <c r="G289" s="642"/>
      <c r="J289" s="642"/>
      <c r="K289" s="643"/>
      <c r="M289" s="644"/>
      <c r="N289" s="642"/>
      <c r="Q289" s="642"/>
      <c r="T289" s="642"/>
      <c r="U289" s="643"/>
      <c r="W289" s="645"/>
      <c r="X289" s="1066"/>
      <c r="Y289" s="646"/>
      <c r="Z289" s="673"/>
      <c r="AA289" s="646"/>
      <c r="AB289" s="646"/>
      <c r="AC289" s="646"/>
      <c r="AD289" s="646"/>
      <c r="AE289" s="646"/>
      <c r="AF289" s="646"/>
      <c r="AG289" s="646"/>
      <c r="AH289" s="646"/>
      <c r="AI289" s="646"/>
      <c r="AJ289" s="646"/>
      <c r="AK289" s="646"/>
      <c r="AL289" s="646"/>
      <c r="AM289" s="646"/>
      <c r="AN289" s="646"/>
      <c r="AO289" s="646"/>
      <c r="AP289" s="646"/>
      <c r="AQ289" s="646"/>
      <c r="AR289" s="646"/>
      <c r="AS289" s="646"/>
      <c r="AT289" s="646"/>
      <c r="AU289" s="645"/>
      <c r="AV289" s="645"/>
      <c r="AW289" s="645"/>
      <c r="AX289" s="645"/>
      <c r="AY289" s="646"/>
      <c r="AZ289" s="646"/>
      <c r="BA289" s="646"/>
      <c r="BB289" s="646"/>
      <c r="BC289" s="646"/>
      <c r="BD289" s="646"/>
      <c r="BE289" s="646"/>
      <c r="BF289" s="646"/>
      <c r="BG289" s="646"/>
      <c r="BH289" s="646"/>
      <c r="BI289" s="647"/>
      <c r="BJ289" s="647"/>
      <c r="BK289" s="647"/>
      <c r="BL289" s="647"/>
      <c r="BM289" s="647"/>
    </row>
    <row r="290" spans="4:65" s="640" customFormat="1" hidden="1">
      <c r="D290" s="641"/>
      <c r="G290" s="642"/>
      <c r="J290" s="642"/>
      <c r="K290" s="643"/>
      <c r="M290" s="644"/>
      <c r="N290" s="642"/>
      <c r="Q290" s="642"/>
      <c r="T290" s="642"/>
      <c r="U290" s="643"/>
      <c r="W290" s="645"/>
      <c r="X290" s="1066"/>
      <c r="Y290" s="646"/>
      <c r="Z290" s="673"/>
      <c r="AA290" s="646"/>
      <c r="AB290" s="646"/>
      <c r="AC290" s="646"/>
      <c r="AD290" s="646"/>
      <c r="AE290" s="646"/>
      <c r="AF290" s="646"/>
      <c r="AG290" s="646"/>
      <c r="AH290" s="646"/>
      <c r="AI290" s="646"/>
      <c r="AJ290" s="646"/>
      <c r="AK290" s="646"/>
      <c r="AL290" s="646"/>
      <c r="AM290" s="646"/>
      <c r="AN290" s="646"/>
      <c r="AO290" s="646"/>
      <c r="AP290" s="646"/>
      <c r="AQ290" s="646"/>
      <c r="AR290" s="646"/>
      <c r="AS290" s="646"/>
      <c r="AT290" s="646"/>
      <c r="AU290" s="645"/>
      <c r="AV290" s="645"/>
      <c r="AW290" s="645"/>
      <c r="AX290" s="645"/>
      <c r="AY290" s="646"/>
      <c r="AZ290" s="646"/>
      <c r="BA290" s="646"/>
      <c r="BB290" s="646"/>
      <c r="BC290" s="646"/>
      <c r="BD290" s="646"/>
      <c r="BE290" s="646"/>
      <c r="BF290" s="646"/>
      <c r="BG290" s="646"/>
      <c r="BH290" s="646"/>
      <c r="BI290" s="647"/>
      <c r="BJ290" s="647"/>
      <c r="BK290" s="647"/>
      <c r="BL290" s="647"/>
      <c r="BM290" s="647"/>
    </row>
    <row r="291" spans="4:65" s="640" customFormat="1" hidden="1">
      <c r="D291" s="641"/>
      <c r="G291" s="642"/>
      <c r="J291" s="642"/>
      <c r="K291" s="643"/>
      <c r="M291" s="644"/>
      <c r="N291" s="642"/>
      <c r="Q291" s="642"/>
      <c r="T291" s="642"/>
      <c r="U291" s="643"/>
      <c r="W291" s="645"/>
      <c r="X291" s="1066"/>
      <c r="Y291" s="646"/>
      <c r="Z291" s="673"/>
      <c r="AA291" s="646"/>
      <c r="AB291" s="646"/>
      <c r="AC291" s="646"/>
      <c r="AD291" s="646"/>
      <c r="AE291" s="646"/>
      <c r="AF291" s="646"/>
      <c r="AG291" s="646"/>
      <c r="AH291" s="646"/>
      <c r="AI291" s="646"/>
      <c r="AJ291" s="646"/>
      <c r="AK291" s="646"/>
      <c r="AL291" s="646"/>
      <c r="AM291" s="646"/>
      <c r="AN291" s="646"/>
      <c r="AO291" s="646"/>
      <c r="AP291" s="646"/>
      <c r="AQ291" s="646"/>
      <c r="AR291" s="646"/>
      <c r="AS291" s="646"/>
      <c r="AT291" s="646"/>
      <c r="AU291" s="645"/>
      <c r="AV291" s="645"/>
      <c r="AW291" s="645"/>
      <c r="AX291" s="645"/>
      <c r="AY291" s="646"/>
      <c r="AZ291" s="646"/>
      <c r="BA291" s="646"/>
      <c r="BB291" s="646"/>
      <c r="BC291" s="646"/>
      <c r="BD291" s="646"/>
      <c r="BE291" s="646"/>
      <c r="BF291" s="646"/>
      <c r="BG291" s="646"/>
      <c r="BH291" s="646"/>
      <c r="BI291" s="647"/>
      <c r="BJ291" s="647"/>
      <c r="BK291" s="647"/>
      <c r="BL291" s="647"/>
      <c r="BM291" s="647"/>
    </row>
    <row r="292" spans="4:65" s="640" customFormat="1" hidden="1">
      <c r="D292" s="641"/>
      <c r="G292" s="642"/>
      <c r="J292" s="642"/>
      <c r="K292" s="643"/>
      <c r="M292" s="644"/>
      <c r="N292" s="642"/>
      <c r="Q292" s="642"/>
      <c r="T292" s="642"/>
      <c r="U292" s="643"/>
      <c r="W292" s="645"/>
      <c r="X292" s="1066"/>
      <c r="Y292" s="646"/>
      <c r="Z292" s="673"/>
      <c r="AA292" s="646"/>
      <c r="AB292" s="646"/>
      <c r="AC292" s="646"/>
      <c r="AD292" s="646"/>
      <c r="AE292" s="646"/>
      <c r="AF292" s="646"/>
      <c r="AG292" s="646"/>
      <c r="AH292" s="646"/>
      <c r="AI292" s="646"/>
      <c r="AJ292" s="646"/>
      <c r="AK292" s="646"/>
      <c r="AL292" s="646"/>
      <c r="AM292" s="646"/>
      <c r="AN292" s="646"/>
      <c r="AO292" s="646"/>
      <c r="AP292" s="646"/>
      <c r="AQ292" s="646"/>
      <c r="AR292" s="646"/>
      <c r="AS292" s="646"/>
      <c r="AT292" s="646"/>
      <c r="AU292" s="645"/>
      <c r="AV292" s="645"/>
      <c r="AW292" s="645"/>
      <c r="AX292" s="645"/>
      <c r="AY292" s="646"/>
      <c r="AZ292" s="646"/>
      <c r="BA292" s="646"/>
      <c r="BB292" s="646"/>
      <c r="BC292" s="646"/>
      <c r="BD292" s="646"/>
      <c r="BE292" s="646"/>
      <c r="BF292" s="646"/>
      <c r="BG292" s="646"/>
      <c r="BH292" s="646"/>
      <c r="BI292" s="647"/>
      <c r="BJ292" s="647"/>
      <c r="BK292" s="647"/>
      <c r="BL292" s="647"/>
      <c r="BM292" s="647"/>
    </row>
    <row r="293" spans="4:65" s="640" customFormat="1" hidden="1">
      <c r="D293" s="641"/>
      <c r="G293" s="642"/>
      <c r="J293" s="642"/>
      <c r="K293" s="643"/>
      <c r="M293" s="644"/>
      <c r="N293" s="642"/>
      <c r="Q293" s="642"/>
      <c r="T293" s="642"/>
      <c r="U293" s="643"/>
      <c r="W293" s="645"/>
      <c r="X293" s="1066"/>
      <c r="Y293" s="646"/>
      <c r="Z293" s="673"/>
      <c r="AA293" s="646"/>
      <c r="AB293" s="646"/>
      <c r="AC293" s="646"/>
      <c r="AD293" s="646"/>
      <c r="AE293" s="646"/>
      <c r="AF293" s="646"/>
      <c r="AG293" s="646"/>
      <c r="AH293" s="646"/>
      <c r="AI293" s="646"/>
      <c r="AJ293" s="646"/>
      <c r="AK293" s="646"/>
      <c r="AL293" s="646"/>
      <c r="AM293" s="646"/>
      <c r="AN293" s="646"/>
      <c r="AO293" s="646"/>
      <c r="AP293" s="646"/>
      <c r="AQ293" s="646"/>
      <c r="AR293" s="646"/>
      <c r="AS293" s="646"/>
      <c r="AT293" s="646"/>
      <c r="AU293" s="645"/>
      <c r="AV293" s="645"/>
      <c r="AW293" s="645"/>
      <c r="AX293" s="645"/>
      <c r="AY293" s="646"/>
      <c r="AZ293" s="646"/>
      <c r="BA293" s="646"/>
      <c r="BB293" s="646"/>
      <c r="BC293" s="646"/>
      <c r="BD293" s="646"/>
      <c r="BE293" s="646"/>
      <c r="BF293" s="646"/>
      <c r="BG293" s="646"/>
      <c r="BH293" s="646"/>
      <c r="BI293" s="647"/>
      <c r="BJ293" s="647"/>
      <c r="BK293" s="647"/>
      <c r="BL293" s="647"/>
      <c r="BM293" s="647"/>
    </row>
    <row r="294" spans="4:65" s="640" customFormat="1" hidden="1">
      <c r="D294" s="641"/>
      <c r="G294" s="642"/>
      <c r="J294" s="642"/>
      <c r="K294" s="643"/>
      <c r="M294" s="644"/>
      <c r="N294" s="642"/>
      <c r="Q294" s="642"/>
      <c r="T294" s="642"/>
      <c r="U294" s="643"/>
      <c r="W294" s="645"/>
      <c r="X294" s="1066"/>
      <c r="Y294" s="646"/>
      <c r="Z294" s="673"/>
      <c r="AA294" s="646"/>
      <c r="AB294" s="646"/>
      <c r="AC294" s="646"/>
      <c r="AD294" s="646"/>
      <c r="AE294" s="646"/>
      <c r="AF294" s="646"/>
      <c r="AG294" s="646"/>
      <c r="AH294" s="646"/>
      <c r="AI294" s="646"/>
      <c r="AJ294" s="646"/>
      <c r="AK294" s="646"/>
      <c r="AL294" s="646"/>
      <c r="AM294" s="646"/>
      <c r="AN294" s="646"/>
      <c r="AO294" s="646"/>
      <c r="AP294" s="646"/>
      <c r="AQ294" s="646"/>
      <c r="AR294" s="646"/>
      <c r="AS294" s="646"/>
      <c r="AT294" s="646"/>
      <c r="AU294" s="645"/>
      <c r="AV294" s="645"/>
      <c r="AW294" s="645"/>
      <c r="AX294" s="645"/>
      <c r="AY294" s="646"/>
      <c r="AZ294" s="646"/>
      <c r="BA294" s="646"/>
      <c r="BB294" s="646"/>
      <c r="BC294" s="646"/>
      <c r="BD294" s="646"/>
      <c r="BE294" s="646"/>
      <c r="BF294" s="646"/>
      <c r="BG294" s="646"/>
      <c r="BH294" s="646"/>
      <c r="BI294" s="647"/>
      <c r="BJ294" s="647"/>
      <c r="BK294" s="647"/>
      <c r="BL294" s="647"/>
      <c r="BM294" s="647"/>
    </row>
    <row r="295" spans="4:65" s="640" customFormat="1" hidden="1">
      <c r="D295" s="641"/>
      <c r="G295" s="642"/>
      <c r="J295" s="642"/>
      <c r="K295" s="643"/>
      <c r="M295" s="644"/>
      <c r="N295" s="642"/>
      <c r="Q295" s="642"/>
      <c r="T295" s="642"/>
      <c r="U295" s="643"/>
      <c r="W295" s="645"/>
      <c r="X295" s="1066"/>
      <c r="Y295" s="646"/>
      <c r="Z295" s="673"/>
      <c r="AA295" s="646"/>
      <c r="AB295" s="646"/>
      <c r="AC295" s="646"/>
      <c r="AD295" s="646"/>
      <c r="AE295" s="646"/>
      <c r="AF295" s="646"/>
      <c r="AG295" s="646"/>
      <c r="AH295" s="646"/>
      <c r="AI295" s="646"/>
      <c r="AJ295" s="646"/>
      <c r="AK295" s="646"/>
      <c r="AL295" s="646"/>
      <c r="AM295" s="646"/>
      <c r="AN295" s="646"/>
      <c r="AO295" s="646"/>
      <c r="AP295" s="646"/>
      <c r="AQ295" s="646"/>
      <c r="AR295" s="646"/>
      <c r="AS295" s="646"/>
      <c r="AT295" s="646"/>
      <c r="AU295" s="645"/>
      <c r="AV295" s="645"/>
      <c r="AW295" s="645"/>
      <c r="AX295" s="645"/>
      <c r="AY295" s="646"/>
      <c r="AZ295" s="646"/>
      <c r="BA295" s="646"/>
      <c r="BB295" s="646"/>
      <c r="BC295" s="646"/>
      <c r="BD295" s="646"/>
      <c r="BE295" s="646"/>
      <c r="BF295" s="646"/>
      <c r="BG295" s="646"/>
      <c r="BH295" s="646"/>
      <c r="BI295" s="647"/>
      <c r="BJ295" s="647"/>
      <c r="BK295" s="647"/>
      <c r="BL295" s="647"/>
      <c r="BM295" s="647"/>
    </row>
    <row r="296" spans="4:65" s="640" customFormat="1" hidden="1">
      <c r="D296" s="641"/>
      <c r="G296" s="642"/>
      <c r="J296" s="642"/>
      <c r="K296" s="643"/>
      <c r="M296" s="644"/>
      <c r="N296" s="642"/>
      <c r="Q296" s="642"/>
      <c r="T296" s="642"/>
      <c r="U296" s="643"/>
      <c r="W296" s="645"/>
      <c r="X296" s="1066"/>
      <c r="Y296" s="646"/>
      <c r="Z296" s="673"/>
      <c r="AA296" s="646"/>
      <c r="AB296" s="646"/>
      <c r="AC296" s="646"/>
      <c r="AD296" s="646"/>
      <c r="AE296" s="646"/>
      <c r="AF296" s="646"/>
      <c r="AG296" s="646"/>
      <c r="AH296" s="646"/>
      <c r="AI296" s="646"/>
      <c r="AJ296" s="646"/>
      <c r="AK296" s="646"/>
      <c r="AL296" s="646"/>
      <c r="AM296" s="646"/>
      <c r="AN296" s="646"/>
      <c r="AO296" s="646"/>
      <c r="AP296" s="646"/>
      <c r="AQ296" s="646"/>
      <c r="AR296" s="646"/>
      <c r="AS296" s="646"/>
      <c r="AT296" s="646"/>
      <c r="AU296" s="645"/>
      <c r="AV296" s="645"/>
      <c r="AW296" s="645"/>
      <c r="AX296" s="645"/>
      <c r="AY296" s="646"/>
      <c r="AZ296" s="646"/>
      <c r="BA296" s="646"/>
      <c r="BB296" s="646"/>
      <c r="BC296" s="646"/>
      <c r="BD296" s="646"/>
      <c r="BE296" s="646"/>
      <c r="BF296" s="646"/>
      <c r="BG296" s="646"/>
      <c r="BH296" s="646"/>
      <c r="BI296" s="647"/>
      <c r="BJ296" s="647"/>
      <c r="BK296" s="647"/>
      <c r="BL296" s="647"/>
      <c r="BM296" s="647"/>
    </row>
    <row r="297" spans="4:65" s="640" customFormat="1" hidden="1">
      <c r="D297" s="641"/>
      <c r="G297" s="642"/>
      <c r="J297" s="642"/>
      <c r="K297" s="643"/>
      <c r="M297" s="644"/>
      <c r="N297" s="642"/>
      <c r="Q297" s="642"/>
      <c r="T297" s="642"/>
      <c r="U297" s="643"/>
      <c r="W297" s="645"/>
      <c r="X297" s="1066"/>
      <c r="Y297" s="646"/>
      <c r="Z297" s="673"/>
      <c r="AA297" s="646"/>
      <c r="AB297" s="646"/>
      <c r="AC297" s="646"/>
      <c r="AD297" s="646"/>
      <c r="AE297" s="646"/>
      <c r="AF297" s="646"/>
      <c r="AG297" s="646"/>
      <c r="AH297" s="646"/>
      <c r="AI297" s="646"/>
      <c r="AJ297" s="646"/>
      <c r="AK297" s="646"/>
      <c r="AL297" s="646"/>
      <c r="AM297" s="646"/>
      <c r="AN297" s="646"/>
      <c r="AO297" s="646"/>
      <c r="AP297" s="646"/>
      <c r="AQ297" s="646"/>
      <c r="AR297" s="646"/>
      <c r="AS297" s="646"/>
      <c r="AT297" s="646"/>
      <c r="AU297" s="645"/>
      <c r="AV297" s="645"/>
      <c r="AW297" s="645"/>
      <c r="AX297" s="645"/>
      <c r="AY297" s="646"/>
      <c r="AZ297" s="646"/>
      <c r="BA297" s="646"/>
      <c r="BB297" s="646"/>
      <c r="BC297" s="646"/>
      <c r="BD297" s="646"/>
      <c r="BE297" s="646"/>
      <c r="BF297" s="646"/>
      <c r="BG297" s="646"/>
      <c r="BH297" s="646"/>
      <c r="BI297" s="647"/>
      <c r="BJ297" s="647"/>
      <c r="BK297" s="647"/>
      <c r="BL297" s="647"/>
      <c r="BM297" s="647"/>
    </row>
    <row r="298" spans="4:65" s="640" customFormat="1" hidden="1">
      <c r="D298" s="641"/>
      <c r="G298" s="642"/>
      <c r="J298" s="642"/>
      <c r="K298" s="643"/>
      <c r="M298" s="644"/>
      <c r="N298" s="642"/>
      <c r="Q298" s="642"/>
      <c r="T298" s="642"/>
      <c r="U298" s="643"/>
      <c r="W298" s="645"/>
      <c r="X298" s="1066"/>
      <c r="Y298" s="646"/>
      <c r="Z298" s="673"/>
      <c r="AA298" s="646"/>
      <c r="AB298" s="646"/>
      <c r="AC298" s="646"/>
      <c r="AD298" s="646"/>
      <c r="AE298" s="646"/>
      <c r="AF298" s="646"/>
      <c r="AG298" s="646"/>
      <c r="AH298" s="646"/>
      <c r="AI298" s="646"/>
      <c r="AJ298" s="646"/>
      <c r="AK298" s="646"/>
      <c r="AL298" s="646"/>
      <c r="AM298" s="646"/>
      <c r="AN298" s="646"/>
      <c r="AO298" s="646"/>
      <c r="AP298" s="646"/>
      <c r="AQ298" s="646"/>
      <c r="AR298" s="646"/>
      <c r="AS298" s="646"/>
      <c r="AT298" s="646"/>
      <c r="AU298" s="645"/>
      <c r="AV298" s="645"/>
      <c r="AW298" s="645"/>
      <c r="AX298" s="645"/>
      <c r="AY298" s="646"/>
      <c r="AZ298" s="646"/>
      <c r="BA298" s="646"/>
      <c r="BB298" s="646"/>
      <c r="BC298" s="646"/>
      <c r="BD298" s="646"/>
      <c r="BE298" s="646"/>
      <c r="BF298" s="646"/>
      <c r="BG298" s="646"/>
      <c r="BH298" s="646"/>
      <c r="BI298" s="647"/>
      <c r="BJ298" s="647"/>
      <c r="BK298" s="647"/>
      <c r="BL298" s="647"/>
      <c r="BM298" s="647"/>
    </row>
    <row r="299" spans="4:65" s="640" customFormat="1" hidden="1">
      <c r="D299" s="641"/>
      <c r="G299" s="642"/>
      <c r="J299" s="642"/>
      <c r="K299" s="643"/>
      <c r="M299" s="644"/>
      <c r="N299" s="642"/>
      <c r="Q299" s="642"/>
      <c r="T299" s="642"/>
      <c r="U299" s="643"/>
      <c r="W299" s="645"/>
      <c r="X299" s="1066"/>
      <c r="Y299" s="646"/>
      <c r="Z299" s="673"/>
      <c r="AA299" s="646"/>
      <c r="AB299" s="646"/>
      <c r="AC299" s="646"/>
      <c r="AD299" s="646"/>
      <c r="AE299" s="646"/>
      <c r="AF299" s="646"/>
      <c r="AG299" s="646"/>
      <c r="AH299" s="646"/>
      <c r="AI299" s="646"/>
      <c r="AJ299" s="646"/>
      <c r="AK299" s="646"/>
      <c r="AL299" s="646"/>
      <c r="AM299" s="646"/>
      <c r="AN299" s="646"/>
      <c r="AO299" s="646"/>
      <c r="AP299" s="646"/>
      <c r="AQ299" s="646"/>
      <c r="AR299" s="646"/>
      <c r="AS299" s="646"/>
      <c r="AT299" s="646"/>
      <c r="AU299" s="645"/>
      <c r="AV299" s="645"/>
      <c r="AW299" s="645"/>
      <c r="AX299" s="645"/>
      <c r="AY299" s="646"/>
      <c r="AZ299" s="646"/>
      <c r="BA299" s="646"/>
      <c r="BB299" s="646"/>
      <c r="BC299" s="646"/>
      <c r="BD299" s="646"/>
      <c r="BE299" s="646"/>
      <c r="BF299" s="646"/>
      <c r="BG299" s="646"/>
      <c r="BH299" s="646"/>
      <c r="BI299" s="647"/>
      <c r="BJ299" s="647"/>
      <c r="BK299" s="647"/>
      <c r="BL299" s="647"/>
      <c r="BM299" s="647"/>
    </row>
    <row r="300" spans="4:65" s="640" customFormat="1" hidden="1">
      <c r="D300" s="641"/>
      <c r="G300" s="642"/>
      <c r="J300" s="642"/>
      <c r="K300" s="643"/>
      <c r="M300" s="644"/>
      <c r="N300" s="642"/>
      <c r="Q300" s="642"/>
      <c r="T300" s="642"/>
      <c r="U300" s="643"/>
      <c r="W300" s="645"/>
      <c r="X300" s="1066"/>
      <c r="Y300" s="646"/>
      <c r="Z300" s="673"/>
      <c r="AA300" s="646"/>
      <c r="AB300" s="646"/>
      <c r="AC300" s="646"/>
      <c r="AD300" s="646"/>
      <c r="AE300" s="646"/>
      <c r="AF300" s="646"/>
      <c r="AG300" s="646"/>
      <c r="AH300" s="646"/>
      <c r="AI300" s="646"/>
      <c r="AJ300" s="646"/>
      <c r="AK300" s="646"/>
      <c r="AL300" s="646"/>
      <c r="AM300" s="646"/>
      <c r="AN300" s="646"/>
      <c r="AO300" s="646"/>
      <c r="AP300" s="646"/>
      <c r="AQ300" s="646"/>
      <c r="AR300" s="646"/>
      <c r="AS300" s="646"/>
      <c r="AT300" s="646"/>
      <c r="AU300" s="645"/>
      <c r="AV300" s="645"/>
      <c r="AW300" s="645"/>
      <c r="AX300" s="645"/>
      <c r="AY300" s="646"/>
      <c r="AZ300" s="646"/>
      <c r="BA300" s="646"/>
      <c r="BB300" s="646"/>
      <c r="BC300" s="646"/>
      <c r="BD300" s="646"/>
      <c r="BE300" s="646"/>
      <c r="BF300" s="646"/>
      <c r="BG300" s="646"/>
      <c r="BH300" s="646"/>
      <c r="BI300" s="647"/>
      <c r="BJ300" s="647"/>
      <c r="BK300" s="647"/>
      <c r="BL300" s="647"/>
      <c r="BM300" s="647"/>
    </row>
    <row r="301" spans="4:65" s="640" customFormat="1" hidden="1">
      <c r="D301" s="641"/>
      <c r="G301" s="642"/>
      <c r="J301" s="642"/>
      <c r="K301" s="643"/>
      <c r="M301" s="644"/>
      <c r="N301" s="642"/>
      <c r="Q301" s="642"/>
      <c r="T301" s="642"/>
      <c r="U301" s="643"/>
      <c r="W301" s="645"/>
      <c r="X301" s="1066"/>
      <c r="Y301" s="646"/>
      <c r="Z301" s="673"/>
      <c r="AA301" s="646"/>
      <c r="AB301" s="646"/>
      <c r="AC301" s="646"/>
      <c r="AD301" s="646"/>
      <c r="AE301" s="646"/>
      <c r="AF301" s="646"/>
      <c r="AG301" s="646"/>
      <c r="AH301" s="646"/>
      <c r="AI301" s="646"/>
      <c r="AJ301" s="646"/>
      <c r="AK301" s="646"/>
      <c r="AL301" s="646"/>
      <c r="AM301" s="646"/>
      <c r="AN301" s="646"/>
      <c r="AO301" s="646"/>
      <c r="AP301" s="646"/>
      <c r="AQ301" s="646"/>
      <c r="AR301" s="646"/>
      <c r="AS301" s="646"/>
      <c r="AT301" s="646"/>
      <c r="AU301" s="645"/>
      <c r="AV301" s="645"/>
      <c r="AW301" s="645"/>
      <c r="AX301" s="645"/>
      <c r="AY301" s="646"/>
      <c r="AZ301" s="646"/>
      <c r="BA301" s="646"/>
      <c r="BB301" s="646"/>
      <c r="BC301" s="646"/>
      <c r="BD301" s="646"/>
      <c r="BE301" s="646"/>
      <c r="BF301" s="646"/>
      <c r="BG301" s="646"/>
      <c r="BH301" s="646"/>
      <c r="BI301" s="647"/>
      <c r="BJ301" s="647"/>
      <c r="BK301" s="647"/>
      <c r="BL301" s="647"/>
      <c r="BM301" s="647"/>
    </row>
    <row r="302" spans="4:65" s="640" customFormat="1" hidden="1">
      <c r="D302" s="641"/>
      <c r="G302" s="642"/>
      <c r="J302" s="642"/>
      <c r="K302" s="643"/>
      <c r="M302" s="644"/>
      <c r="N302" s="642"/>
      <c r="Q302" s="642"/>
      <c r="T302" s="642"/>
      <c r="U302" s="643"/>
      <c r="W302" s="645"/>
      <c r="X302" s="1066"/>
      <c r="Y302" s="646"/>
      <c r="Z302" s="673"/>
      <c r="AA302" s="646"/>
      <c r="AB302" s="646"/>
      <c r="AC302" s="646"/>
      <c r="AD302" s="646"/>
      <c r="AE302" s="646"/>
      <c r="AF302" s="646"/>
      <c r="AG302" s="646"/>
      <c r="AH302" s="646"/>
      <c r="AI302" s="646"/>
      <c r="AJ302" s="646"/>
      <c r="AK302" s="646"/>
      <c r="AL302" s="646"/>
      <c r="AM302" s="646"/>
      <c r="AN302" s="646"/>
      <c r="AO302" s="646"/>
      <c r="AP302" s="646"/>
      <c r="AQ302" s="646"/>
      <c r="AR302" s="646"/>
      <c r="AS302" s="646"/>
      <c r="AT302" s="646"/>
      <c r="AU302" s="645"/>
      <c r="AV302" s="645"/>
      <c r="AW302" s="645"/>
      <c r="AX302" s="645"/>
      <c r="AY302" s="646"/>
      <c r="AZ302" s="646"/>
      <c r="BA302" s="646"/>
      <c r="BB302" s="646"/>
      <c r="BC302" s="646"/>
      <c r="BD302" s="646"/>
      <c r="BE302" s="646"/>
      <c r="BF302" s="646"/>
      <c r="BG302" s="646"/>
      <c r="BH302" s="646"/>
      <c r="BI302" s="647"/>
      <c r="BJ302" s="647"/>
      <c r="BK302" s="647"/>
      <c r="BL302" s="647"/>
      <c r="BM302" s="647"/>
    </row>
    <row r="303" spans="4:65" s="640" customFormat="1" hidden="1">
      <c r="D303" s="641"/>
      <c r="G303" s="642"/>
      <c r="J303" s="642"/>
      <c r="K303" s="643"/>
      <c r="M303" s="644"/>
      <c r="N303" s="642"/>
      <c r="Q303" s="642"/>
      <c r="T303" s="642"/>
      <c r="U303" s="643"/>
      <c r="W303" s="645"/>
      <c r="X303" s="1066"/>
      <c r="Y303" s="646"/>
      <c r="Z303" s="673"/>
      <c r="AA303" s="646"/>
      <c r="AB303" s="646"/>
      <c r="AC303" s="646"/>
      <c r="AD303" s="646"/>
      <c r="AE303" s="646"/>
      <c r="AF303" s="646"/>
      <c r="AG303" s="646"/>
      <c r="AH303" s="646"/>
      <c r="AI303" s="646"/>
      <c r="AJ303" s="646"/>
      <c r="AK303" s="646"/>
      <c r="AL303" s="646"/>
      <c r="AM303" s="646"/>
      <c r="AN303" s="646"/>
      <c r="AO303" s="646"/>
      <c r="AP303" s="646"/>
      <c r="AQ303" s="646"/>
      <c r="AR303" s="646"/>
      <c r="AS303" s="646"/>
      <c r="AT303" s="646"/>
      <c r="AU303" s="645"/>
      <c r="AV303" s="645"/>
      <c r="AW303" s="645"/>
      <c r="AX303" s="645"/>
      <c r="AY303" s="646"/>
      <c r="AZ303" s="646"/>
      <c r="BA303" s="646"/>
      <c r="BB303" s="646"/>
      <c r="BC303" s="646"/>
      <c r="BD303" s="646"/>
      <c r="BE303" s="646"/>
      <c r="BF303" s="646"/>
      <c r="BG303" s="646"/>
      <c r="BH303" s="646"/>
      <c r="BI303" s="647"/>
      <c r="BJ303" s="647"/>
      <c r="BK303" s="647"/>
      <c r="BL303" s="647"/>
      <c r="BM303" s="647"/>
    </row>
    <row r="304" spans="4:65" s="640" customFormat="1" hidden="1">
      <c r="D304" s="641"/>
      <c r="G304" s="642"/>
      <c r="J304" s="642"/>
      <c r="K304" s="643"/>
      <c r="M304" s="644"/>
      <c r="N304" s="642"/>
      <c r="Q304" s="642"/>
      <c r="T304" s="642"/>
      <c r="U304" s="643"/>
      <c r="W304" s="645"/>
      <c r="X304" s="1066"/>
      <c r="Y304" s="646"/>
      <c r="Z304" s="673"/>
      <c r="AA304" s="646"/>
      <c r="AB304" s="646"/>
      <c r="AC304" s="646"/>
      <c r="AD304" s="646"/>
      <c r="AE304" s="646"/>
      <c r="AF304" s="646"/>
      <c r="AG304" s="646"/>
      <c r="AH304" s="646"/>
      <c r="AI304" s="646"/>
      <c r="AJ304" s="646"/>
      <c r="AK304" s="646"/>
      <c r="AL304" s="646"/>
      <c r="AM304" s="646"/>
      <c r="AN304" s="646"/>
      <c r="AO304" s="646"/>
      <c r="AP304" s="646"/>
      <c r="AQ304" s="646"/>
      <c r="AR304" s="646"/>
      <c r="AS304" s="646"/>
      <c r="AT304" s="646"/>
      <c r="AU304" s="645"/>
      <c r="AV304" s="645"/>
      <c r="AW304" s="645"/>
      <c r="AX304" s="645"/>
      <c r="AY304" s="646"/>
      <c r="AZ304" s="646"/>
      <c r="BA304" s="646"/>
      <c r="BB304" s="646"/>
      <c r="BC304" s="646"/>
      <c r="BD304" s="646"/>
      <c r="BE304" s="646"/>
      <c r="BF304" s="646"/>
      <c r="BG304" s="646"/>
      <c r="BH304" s="646"/>
      <c r="BI304" s="647"/>
      <c r="BJ304" s="647"/>
      <c r="BK304" s="647"/>
      <c r="BL304" s="647"/>
      <c r="BM304" s="647"/>
    </row>
    <row r="305" spans="4:65" s="640" customFormat="1" hidden="1">
      <c r="D305" s="641"/>
      <c r="G305" s="642"/>
      <c r="J305" s="642"/>
      <c r="K305" s="643"/>
      <c r="M305" s="644"/>
      <c r="N305" s="642"/>
      <c r="Q305" s="642"/>
      <c r="T305" s="642"/>
      <c r="U305" s="643"/>
      <c r="W305" s="645"/>
      <c r="X305" s="1066"/>
      <c r="Y305" s="646"/>
      <c r="Z305" s="673"/>
      <c r="AA305" s="646"/>
      <c r="AB305" s="646"/>
      <c r="AC305" s="646"/>
      <c r="AD305" s="646"/>
      <c r="AE305" s="646"/>
      <c r="AF305" s="646"/>
      <c r="AG305" s="646"/>
      <c r="AH305" s="646"/>
      <c r="AI305" s="646"/>
      <c r="AJ305" s="646"/>
      <c r="AK305" s="646"/>
      <c r="AL305" s="646"/>
      <c r="AM305" s="646"/>
      <c r="AN305" s="646"/>
      <c r="AO305" s="646"/>
      <c r="AP305" s="646"/>
      <c r="AQ305" s="646"/>
      <c r="AR305" s="646"/>
      <c r="AS305" s="646"/>
      <c r="AT305" s="646"/>
      <c r="AU305" s="645"/>
      <c r="AV305" s="645"/>
      <c r="AW305" s="645"/>
      <c r="AX305" s="645"/>
      <c r="AY305" s="646"/>
      <c r="AZ305" s="646"/>
      <c r="BA305" s="646"/>
      <c r="BB305" s="646"/>
      <c r="BC305" s="646"/>
      <c r="BD305" s="646"/>
      <c r="BE305" s="646"/>
      <c r="BF305" s="646"/>
      <c r="BG305" s="646"/>
      <c r="BH305" s="646"/>
      <c r="BI305" s="647"/>
      <c r="BJ305" s="647"/>
      <c r="BK305" s="647"/>
      <c r="BL305" s="647"/>
      <c r="BM305" s="647"/>
    </row>
    <row r="306" spans="4:65" s="640" customFormat="1" hidden="1">
      <c r="D306" s="641"/>
      <c r="G306" s="642"/>
      <c r="J306" s="642"/>
      <c r="K306" s="643"/>
      <c r="M306" s="644"/>
      <c r="N306" s="642"/>
      <c r="Q306" s="642"/>
      <c r="T306" s="642"/>
      <c r="U306" s="643"/>
      <c r="W306" s="645"/>
      <c r="X306" s="1066"/>
      <c r="Y306" s="646"/>
      <c r="Z306" s="673"/>
      <c r="AA306" s="646"/>
      <c r="AB306" s="646"/>
      <c r="AC306" s="646"/>
      <c r="AD306" s="646"/>
      <c r="AE306" s="646"/>
      <c r="AF306" s="646"/>
      <c r="AG306" s="646"/>
      <c r="AH306" s="646"/>
      <c r="AI306" s="646"/>
      <c r="AJ306" s="646"/>
      <c r="AK306" s="646"/>
      <c r="AL306" s="646"/>
      <c r="AM306" s="646"/>
      <c r="AN306" s="646"/>
      <c r="AO306" s="646"/>
      <c r="AP306" s="646"/>
      <c r="AQ306" s="646"/>
      <c r="AR306" s="646"/>
      <c r="AS306" s="646"/>
      <c r="AT306" s="646"/>
      <c r="AU306" s="645"/>
      <c r="AV306" s="645"/>
      <c r="AW306" s="645"/>
      <c r="AX306" s="645"/>
      <c r="AY306" s="646"/>
      <c r="AZ306" s="646"/>
      <c r="BA306" s="646"/>
      <c r="BB306" s="646"/>
      <c r="BC306" s="646"/>
      <c r="BD306" s="646"/>
      <c r="BE306" s="646"/>
      <c r="BF306" s="646"/>
      <c r="BG306" s="646"/>
      <c r="BH306" s="646"/>
      <c r="BI306" s="647"/>
      <c r="BJ306" s="647"/>
      <c r="BK306" s="647"/>
      <c r="BL306" s="647"/>
      <c r="BM306" s="647"/>
    </row>
    <row r="307" spans="4:65" s="640" customFormat="1" hidden="1">
      <c r="D307" s="641"/>
      <c r="G307" s="642"/>
      <c r="J307" s="642"/>
      <c r="K307" s="643"/>
      <c r="M307" s="644"/>
      <c r="N307" s="642"/>
      <c r="Q307" s="642"/>
      <c r="T307" s="642"/>
      <c r="U307" s="643"/>
      <c r="W307" s="645"/>
      <c r="X307" s="1066"/>
      <c r="Y307" s="646"/>
      <c r="Z307" s="673"/>
      <c r="AA307" s="646"/>
      <c r="AB307" s="646"/>
      <c r="AC307" s="646"/>
      <c r="AD307" s="646"/>
      <c r="AE307" s="646"/>
      <c r="AF307" s="646"/>
      <c r="AG307" s="646"/>
      <c r="AH307" s="646"/>
      <c r="AI307" s="646"/>
      <c r="AJ307" s="646"/>
      <c r="AK307" s="646"/>
      <c r="AL307" s="646"/>
      <c r="AM307" s="646"/>
      <c r="AN307" s="646"/>
      <c r="AO307" s="646"/>
      <c r="AP307" s="646"/>
      <c r="AQ307" s="646"/>
      <c r="AR307" s="646"/>
      <c r="AS307" s="646"/>
      <c r="AT307" s="646"/>
      <c r="AU307" s="645"/>
      <c r="AV307" s="645"/>
      <c r="AW307" s="645"/>
      <c r="AX307" s="645"/>
      <c r="AY307" s="646"/>
      <c r="AZ307" s="646"/>
      <c r="BA307" s="646"/>
      <c r="BB307" s="646"/>
      <c r="BC307" s="646"/>
      <c r="BD307" s="646"/>
      <c r="BE307" s="646"/>
      <c r="BF307" s="646"/>
      <c r="BG307" s="646"/>
      <c r="BH307" s="646"/>
      <c r="BI307" s="647"/>
      <c r="BJ307" s="647"/>
      <c r="BK307" s="647"/>
      <c r="BL307" s="647"/>
      <c r="BM307" s="647"/>
    </row>
    <row r="308" spans="4:65" s="640" customFormat="1" hidden="1">
      <c r="D308" s="641"/>
      <c r="G308" s="642"/>
      <c r="J308" s="642"/>
      <c r="K308" s="643"/>
      <c r="M308" s="644"/>
      <c r="N308" s="642"/>
      <c r="Q308" s="642"/>
      <c r="T308" s="642"/>
      <c r="U308" s="643"/>
      <c r="W308" s="645"/>
      <c r="X308" s="1066"/>
      <c r="Y308" s="646"/>
      <c r="Z308" s="673"/>
      <c r="AA308" s="646"/>
      <c r="AB308" s="646"/>
      <c r="AC308" s="646"/>
      <c r="AD308" s="646"/>
      <c r="AE308" s="646"/>
      <c r="AF308" s="646"/>
      <c r="AG308" s="646"/>
      <c r="AH308" s="646"/>
      <c r="AI308" s="646"/>
      <c r="AJ308" s="646"/>
      <c r="AK308" s="646"/>
      <c r="AL308" s="646"/>
      <c r="AM308" s="646"/>
      <c r="AN308" s="646"/>
      <c r="AO308" s="646"/>
      <c r="AP308" s="646"/>
      <c r="AQ308" s="646"/>
      <c r="AR308" s="646"/>
      <c r="AS308" s="646"/>
      <c r="AT308" s="646"/>
      <c r="AU308" s="645"/>
      <c r="AV308" s="645"/>
      <c r="AW308" s="645"/>
      <c r="AX308" s="645"/>
      <c r="AY308" s="646"/>
      <c r="AZ308" s="646"/>
      <c r="BA308" s="646"/>
      <c r="BB308" s="646"/>
      <c r="BC308" s="646"/>
      <c r="BD308" s="646"/>
      <c r="BE308" s="646"/>
      <c r="BF308" s="646"/>
      <c r="BG308" s="646"/>
      <c r="BH308" s="646"/>
      <c r="BI308" s="647"/>
      <c r="BJ308" s="647"/>
      <c r="BK308" s="647"/>
      <c r="BL308" s="647"/>
      <c r="BM308" s="647"/>
    </row>
    <row r="309" spans="4:65" s="640" customFormat="1" hidden="1">
      <c r="D309" s="641"/>
      <c r="G309" s="642"/>
      <c r="J309" s="642"/>
      <c r="K309" s="643"/>
      <c r="M309" s="644"/>
      <c r="N309" s="642"/>
      <c r="Q309" s="642"/>
      <c r="T309" s="642"/>
      <c r="U309" s="643"/>
      <c r="W309" s="645"/>
      <c r="X309" s="1066"/>
      <c r="Y309" s="646"/>
      <c r="Z309" s="673"/>
      <c r="AA309" s="646"/>
      <c r="AB309" s="646"/>
      <c r="AC309" s="646"/>
      <c r="AD309" s="646"/>
      <c r="AE309" s="646"/>
      <c r="AF309" s="646"/>
      <c r="AG309" s="646"/>
      <c r="AH309" s="646"/>
      <c r="AI309" s="646"/>
      <c r="AJ309" s="646"/>
      <c r="AK309" s="646"/>
      <c r="AL309" s="646"/>
      <c r="AM309" s="646"/>
      <c r="AN309" s="646"/>
      <c r="AO309" s="646"/>
      <c r="AP309" s="646"/>
      <c r="AQ309" s="646"/>
      <c r="AR309" s="646"/>
      <c r="AS309" s="646"/>
      <c r="AT309" s="646"/>
      <c r="AU309" s="645"/>
      <c r="AV309" s="645"/>
      <c r="AW309" s="645"/>
      <c r="AX309" s="645"/>
      <c r="AY309" s="646"/>
      <c r="AZ309" s="646"/>
      <c r="BA309" s="646"/>
      <c r="BB309" s="646"/>
      <c r="BC309" s="646"/>
      <c r="BD309" s="646"/>
      <c r="BE309" s="646"/>
      <c r="BF309" s="646"/>
      <c r="BG309" s="646"/>
      <c r="BH309" s="646"/>
      <c r="BI309" s="647"/>
      <c r="BJ309" s="647"/>
      <c r="BK309" s="647"/>
      <c r="BL309" s="647"/>
      <c r="BM309" s="647"/>
    </row>
    <row r="310" spans="4:65" s="640" customFormat="1" hidden="1">
      <c r="D310" s="641"/>
      <c r="G310" s="642"/>
      <c r="J310" s="642"/>
      <c r="K310" s="643"/>
      <c r="M310" s="644"/>
      <c r="N310" s="642"/>
      <c r="Q310" s="642"/>
      <c r="T310" s="642"/>
      <c r="U310" s="643"/>
      <c r="W310" s="645"/>
      <c r="X310" s="1066"/>
      <c r="Y310" s="646"/>
      <c r="Z310" s="673"/>
      <c r="AA310" s="646"/>
      <c r="AB310" s="646"/>
      <c r="AC310" s="646"/>
      <c r="AD310" s="646"/>
      <c r="AE310" s="646"/>
      <c r="AF310" s="646"/>
      <c r="AG310" s="646"/>
      <c r="AH310" s="646"/>
      <c r="AI310" s="646"/>
      <c r="AJ310" s="646"/>
      <c r="AK310" s="646"/>
      <c r="AL310" s="646"/>
      <c r="AM310" s="646"/>
      <c r="AN310" s="646"/>
      <c r="AO310" s="646"/>
      <c r="AP310" s="646"/>
      <c r="AQ310" s="646"/>
      <c r="AR310" s="646"/>
      <c r="AS310" s="646"/>
      <c r="AT310" s="646"/>
      <c r="AU310" s="645"/>
      <c r="AV310" s="645"/>
      <c r="AW310" s="645"/>
      <c r="AX310" s="645"/>
      <c r="AY310" s="646"/>
      <c r="AZ310" s="646"/>
      <c r="BA310" s="646"/>
      <c r="BB310" s="646"/>
      <c r="BC310" s="646"/>
      <c r="BD310" s="646"/>
      <c r="BE310" s="646"/>
      <c r="BF310" s="646"/>
      <c r="BG310" s="646"/>
      <c r="BH310" s="646"/>
      <c r="BI310" s="647"/>
      <c r="BJ310" s="647"/>
      <c r="BK310" s="647"/>
      <c r="BL310" s="647"/>
      <c r="BM310" s="647"/>
    </row>
    <row r="311" spans="4:65" s="640" customFormat="1" hidden="1">
      <c r="D311" s="641"/>
      <c r="G311" s="642"/>
      <c r="J311" s="642"/>
      <c r="K311" s="643"/>
      <c r="M311" s="644"/>
      <c r="N311" s="642"/>
      <c r="Q311" s="642"/>
      <c r="T311" s="642"/>
      <c r="U311" s="643"/>
      <c r="W311" s="645"/>
      <c r="X311" s="1066"/>
      <c r="Y311" s="646"/>
      <c r="Z311" s="673"/>
      <c r="AA311" s="646"/>
      <c r="AB311" s="646"/>
      <c r="AC311" s="646"/>
      <c r="AD311" s="646"/>
      <c r="AE311" s="646"/>
      <c r="AF311" s="646"/>
      <c r="AG311" s="646"/>
      <c r="AH311" s="646"/>
      <c r="AI311" s="646"/>
      <c r="AJ311" s="646"/>
      <c r="AK311" s="646"/>
      <c r="AL311" s="646"/>
      <c r="AM311" s="646"/>
      <c r="AN311" s="646"/>
      <c r="AO311" s="646"/>
      <c r="AP311" s="646"/>
      <c r="AQ311" s="646"/>
      <c r="AR311" s="646"/>
      <c r="AS311" s="646"/>
      <c r="AT311" s="646"/>
      <c r="AU311" s="645"/>
      <c r="AV311" s="645"/>
      <c r="AW311" s="645"/>
      <c r="AX311" s="645"/>
      <c r="AY311" s="646"/>
      <c r="AZ311" s="646"/>
      <c r="BA311" s="646"/>
      <c r="BB311" s="646"/>
      <c r="BC311" s="646"/>
      <c r="BD311" s="646"/>
      <c r="BE311" s="646"/>
      <c r="BF311" s="646"/>
      <c r="BG311" s="646"/>
      <c r="BH311" s="646"/>
      <c r="BI311" s="647"/>
      <c r="BJ311" s="647"/>
      <c r="BK311" s="647"/>
      <c r="BL311" s="647"/>
      <c r="BM311" s="647"/>
    </row>
    <row r="312" spans="4:65" s="640" customFormat="1" hidden="1">
      <c r="D312" s="641"/>
      <c r="G312" s="642"/>
      <c r="J312" s="642"/>
      <c r="K312" s="643"/>
      <c r="M312" s="644"/>
      <c r="N312" s="642"/>
      <c r="Q312" s="642"/>
      <c r="T312" s="642"/>
      <c r="U312" s="643"/>
      <c r="W312" s="645"/>
      <c r="X312" s="1066"/>
      <c r="Y312" s="646"/>
      <c r="Z312" s="673"/>
      <c r="AA312" s="646"/>
      <c r="AB312" s="646"/>
      <c r="AC312" s="646"/>
      <c r="AD312" s="646"/>
      <c r="AE312" s="646"/>
      <c r="AF312" s="646"/>
      <c r="AG312" s="646"/>
      <c r="AH312" s="646"/>
      <c r="AI312" s="646"/>
      <c r="AJ312" s="646"/>
      <c r="AK312" s="646"/>
      <c r="AL312" s="646"/>
      <c r="AM312" s="646"/>
      <c r="AN312" s="646"/>
      <c r="AO312" s="646"/>
      <c r="AP312" s="646"/>
      <c r="AQ312" s="646"/>
      <c r="AR312" s="646"/>
      <c r="AS312" s="646"/>
      <c r="AT312" s="646"/>
      <c r="AU312" s="645"/>
      <c r="AV312" s="645"/>
      <c r="AW312" s="645"/>
      <c r="AX312" s="645"/>
      <c r="AY312" s="646"/>
      <c r="AZ312" s="646"/>
      <c r="BA312" s="646"/>
      <c r="BB312" s="646"/>
      <c r="BC312" s="646"/>
      <c r="BD312" s="646"/>
      <c r="BE312" s="646"/>
      <c r="BF312" s="646"/>
      <c r="BG312" s="646"/>
      <c r="BH312" s="646"/>
      <c r="BI312" s="647"/>
      <c r="BJ312" s="647"/>
      <c r="BK312" s="647"/>
      <c r="BL312" s="647"/>
      <c r="BM312" s="647"/>
    </row>
    <row r="313" spans="4:65" s="640" customFormat="1" hidden="1">
      <c r="D313" s="641"/>
      <c r="G313" s="642"/>
      <c r="J313" s="642"/>
      <c r="K313" s="643"/>
      <c r="M313" s="644"/>
      <c r="N313" s="642"/>
      <c r="Q313" s="642"/>
      <c r="T313" s="642"/>
      <c r="U313" s="643"/>
      <c r="W313" s="645"/>
      <c r="X313" s="1066"/>
      <c r="Y313" s="646"/>
      <c r="Z313" s="673"/>
      <c r="AA313" s="646"/>
      <c r="AB313" s="646"/>
      <c r="AC313" s="646"/>
      <c r="AD313" s="646"/>
      <c r="AE313" s="646"/>
      <c r="AF313" s="646"/>
      <c r="AG313" s="646"/>
      <c r="AH313" s="646"/>
      <c r="AI313" s="646"/>
      <c r="AJ313" s="646"/>
      <c r="AK313" s="646"/>
      <c r="AL313" s="646"/>
      <c r="AM313" s="646"/>
      <c r="AN313" s="646"/>
      <c r="AO313" s="646"/>
      <c r="AP313" s="646"/>
      <c r="AQ313" s="646"/>
      <c r="AR313" s="646"/>
      <c r="AS313" s="646"/>
      <c r="AT313" s="646"/>
      <c r="AU313" s="645"/>
      <c r="AV313" s="645"/>
      <c r="AW313" s="645"/>
      <c r="AX313" s="645"/>
      <c r="AY313" s="646"/>
      <c r="AZ313" s="646"/>
      <c r="BA313" s="646"/>
      <c r="BB313" s="646"/>
      <c r="BC313" s="646"/>
      <c r="BD313" s="646"/>
      <c r="BE313" s="646"/>
      <c r="BF313" s="646"/>
      <c r="BG313" s="646"/>
      <c r="BH313" s="646"/>
      <c r="BI313" s="647"/>
      <c r="BJ313" s="647"/>
      <c r="BK313" s="647"/>
      <c r="BL313" s="647"/>
      <c r="BM313" s="647"/>
    </row>
    <row r="314" spans="4:65" s="640" customFormat="1" hidden="1">
      <c r="D314" s="641"/>
      <c r="G314" s="642"/>
      <c r="J314" s="642"/>
      <c r="K314" s="643"/>
      <c r="M314" s="644"/>
      <c r="N314" s="642"/>
      <c r="Q314" s="642"/>
      <c r="T314" s="642"/>
      <c r="U314" s="643"/>
      <c r="W314" s="645"/>
      <c r="X314" s="1066"/>
      <c r="Y314" s="646"/>
      <c r="Z314" s="673"/>
      <c r="AA314" s="646"/>
      <c r="AB314" s="646"/>
      <c r="AC314" s="646"/>
      <c r="AD314" s="646"/>
      <c r="AE314" s="646"/>
      <c r="AF314" s="646"/>
      <c r="AG314" s="646"/>
      <c r="AH314" s="646"/>
      <c r="AI314" s="646"/>
      <c r="AJ314" s="646"/>
      <c r="AK314" s="646"/>
      <c r="AL314" s="646"/>
      <c r="AM314" s="646"/>
      <c r="AN314" s="646"/>
      <c r="AO314" s="646"/>
      <c r="AP314" s="646"/>
      <c r="AQ314" s="646"/>
      <c r="AR314" s="646"/>
      <c r="AS314" s="646"/>
      <c r="AT314" s="646"/>
      <c r="AU314" s="645"/>
      <c r="AV314" s="645"/>
      <c r="AW314" s="645"/>
      <c r="AX314" s="645"/>
      <c r="AY314" s="646"/>
      <c r="AZ314" s="646"/>
      <c r="BA314" s="646"/>
      <c r="BB314" s="646"/>
      <c r="BC314" s="646"/>
      <c r="BD314" s="646"/>
      <c r="BE314" s="646"/>
      <c r="BF314" s="646"/>
      <c r="BG314" s="646"/>
      <c r="BH314" s="646"/>
      <c r="BI314" s="647"/>
      <c r="BJ314" s="647"/>
      <c r="BK314" s="647"/>
      <c r="BL314" s="647"/>
      <c r="BM314" s="647"/>
    </row>
    <row r="315" spans="4:65" s="640" customFormat="1" hidden="1">
      <c r="D315" s="641"/>
      <c r="G315" s="642"/>
      <c r="J315" s="642"/>
      <c r="K315" s="643"/>
      <c r="M315" s="644"/>
      <c r="N315" s="642"/>
      <c r="Q315" s="642"/>
      <c r="T315" s="642"/>
      <c r="U315" s="643"/>
      <c r="W315" s="645"/>
      <c r="X315" s="1066"/>
      <c r="Y315" s="646"/>
      <c r="Z315" s="673"/>
      <c r="AA315" s="646"/>
      <c r="AB315" s="646"/>
      <c r="AC315" s="646"/>
      <c r="AD315" s="646"/>
      <c r="AE315" s="646"/>
      <c r="AF315" s="646"/>
      <c r="AG315" s="646"/>
      <c r="AH315" s="646"/>
      <c r="AI315" s="646"/>
      <c r="AJ315" s="646"/>
      <c r="AK315" s="646"/>
      <c r="AL315" s="646"/>
      <c r="AM315" s="646"/>
      <c r="AN315" s="646"/>
      <c r="AO315" s="646"/>
      <c r="AP315" s="646"/>
      <c r="AQ315" s="646"/>
      <c r="AR315" s="646"/>
      <c r="AS315" s="646"/>
      <c r="AT315" s="646"/>
      <c r="AU315" s="645"/>
      <c r="AV315" s="645"/>
      <c r="AW315" s="645"/>
      <c r="AX315" s="645"/>
      <c r="AY315" s="646"/>
      <c r="AZ315" s="646"/>
      <c r="BA315" s="646"/>
      <c r="BB315" s="646"/>
      <c r="BC315" s="646"/>
      <c r="BD315" s="646"/>
      <c r="BE315" s="646"/>
      <c r="BF315" s="646"/>
      <c r="BG315" s="646"/>
      <c r="BH315" s="646"/>
      <c r="BI315" s="647"/>
      <c r="BJ315" s="647"/>
      <c r="BK315" s="647"/>
      <c r="BL315" s="647"/>
      <c r="BM315" s="647"/>
    </row>
    <row r="316" spans="4:65" s="640" customFormat="1" hidden="1">
      <c r="D316" s="641"/>
      <c r="G316" s="642"/>
      <c r="J316" s="642"/>
      <c r="K316" s="643"/>
      <c r="M316" s="644"/>
      <c r="N316" s="642"/>
      <c r="Q316" s="642"/>
      <c r="T316" s="642"/>
      <c r="U316" s="643"/>
      <c r="W316" s="645"/>
      <c r="X316" s="1066"/>
      <c r="Y316" s="646"/>
      <c r="Z316" s="673"/>
      <c r="AA316" s="646"/>
      <c r="AB316" s="646"/>
      <c r="AC316" s="646"/>
      <c r="AD316" s="646"/>
      <c r="AE316" s="646"/>
      <c r="AF316" s="646"/>
      <c r="AG316" s="646"/>
      <c r="AH316" s="646"/>
      <c r="AI316" s="646"/>
      <c r="AJ316" s="646"/>
      <c r="AK316" s="646"/>
      <c r="AL316" s="646"/>
      <c r="AM316" s="646"/>
      <c r="AN316" s="646"/>
      <c r="AO316" s="646"/>
      <c r="AP316" s="646"/>
      <c r="AQ316" s="646"/>
      <c r="AR316" s="646"/>
      <c r="AS316" s="646"/>
      <c r="AT316" s="646"/>
      <c r="AU316" s="645"/>
      <c r="AV316" s="645"/>
      <c r="AW316" s="645"/>
      <c r="AX316" s="645"/>
      <c r="AY316" s="646"/>
      <c r="AZ316" s="646"/>
      <c r="BA316" s="646"/>
      <c r="BB316" s="646"/>
      <c r="BC316" s="646"/>
      <c r="BD316" s="646"/>
      <c r="BE316" s="646"/>
      <c r="BF316" s="646"/>
      <c r="BG316" s="646"/>
      <c r="BH316" s="646"/>
      <c r="BI316" s="647"/>
      <c r="BJ316" s="647"/>
      <c r="BK316" s="647"/>
      <c r="BL316" s="647"/>
      <c r="BM316" s="647"/>
    </row>
    <row r="317" spans="4:65" s="640" customFormat="1" hidden="1">
      <c r="D317" s="641"/>
      <c r="G317" s="642"/>
      <c r="J317" s="642"/>
      <c r="K317" s="643"/>
      <c r="M317" s="644"/>
      <c r="N317" s="642"/>
      <c r="Q317" s="642"/>
      <c r="T317" s="642"/>
      <c r="U317" s="643"/>
      <c r="W317" s="645"/>
      <c r="X317" s="1066"/>
      <c r="Y317" s="646"/>
      <c r="Z317" s="673"/>
      <c r="AA317" s="646"/>
      <c r="AB317" s="646"/>
      <c r="AC317" s="646"/>
      <c r="AD317" s="646"/>
      <c r="AE317" s="646"/>
      <c r="AF317" s="646"/>
      <c r="AG317" s="646"/>
      <c r="AH317" s="646"/>
      <c r="AI317" s="646"/>
      <c r="AJ317" s="646"/>
      <c r="AK317" s="646"/>
      <c r="AL317" s="646"/>
      <c r="AM317" s="646"/>
      <c r="AN317" s="646"/>
      <c r="AO317" s="646"/>
      <c r="AP317" s="646"/>
      <c r="AQ317" s="646"/>
      <c r="AR317" s="646"/>
      <c r="AS317" s="646"/>
      <c r="AT317" s="646"/>
      <c r="AU317" s="645"/>
      <c r="AV317" s="645"/>
      <c r="AW317" s="645"/>
      <c r="AX317" s="645"/>
      <c r="AY317" s="646"/>
      <c r="AZ317" s="646"/>
      <c r="BA317" s="646"/>
      <c r="BB317" s="646"/>
      <c r="BC317" s="646"/>
      <c r="BD317" s="646"/>
      <c r="BE317" s="646"/>
      <c r="BF317" s="646"/>
      <c r="BG317" s="646"/>
      <c r="BH317" s="646"/>
      <c r="BI317" s="647"/>
      <c r="BJ317" s="647"/>
      <c r="BK317" s="647"/>
      <c r="BL317" s="647"/>
      <c r="BM317" s="647"/>
    </row>
    <row r="318" spans="4:65" s="640" customFormat="1" hidden="1">
      <c r="D318" s="641"/>
      <c r="G318" s="642"/>
      <c r="J318" s="642"/>
      <c r="K318" s="643"/>
      <c r="M318" s="644"/>
      <c r="N318" s="642"/>
      <c r="Q318" s="642"/>
      <c r="T318" s="642"/>
      <c r="U318" s="643"/>
      <c r="W318" s="645"/>
      <c r="X318" s="1066"/>
      <c r="Y318" s="646"/>
      <c r="Z318" s="673"/>
      <c r="AA318" s="646"/>
      <c r="AB318" s="646"/>
      <c r="AC318" s="646"/>
      <c r="AD318" s="646"/>
      <c r="AE318" s="646"/>
      <c r="AF318" s="646"/>
      <c r="AG318" s="646"/>
      <c r="AH318" s="646"/>
      <c r="AI318" s="646"/>
      <c r="AJ318" s="646"/>
      <c r="AK318" s="646"/>
      <c r="AL318" s="646"/>
      <c r="AM318" s="646"/>
      <c r="AN318" s="646"/>
      <c r="AO318" s="646"/>
      <c r="AP318" s="646"/>
      <c r="AQ318" s="646"/>
      <c r="AR318" s="646"/>
      <c r="AS318" s="646"/>
      <c r="AT318" s="646"/>
      <c r="AU318" s="645"/>
      <c r="AV318" s="645"/>
      <c r="AW318" s="645"/>
      <c r="AX318" s="645"/>
      <c r="AY318" s="646"/>
      <c r="AZ318" s="646"/>
      <c r="BA318" s="646"/>
      <c r="BB318" s="646"/>
      <c r="BC318" s="646"/>
      <c r="BD318" s="646"/>
      <c r="BE318" s="646"/>
      <c r="BF318" s="646"/>
      <c r="BG318" s="646"/>
      <c r="BH318" s="646"/>
      <c r="BI318" s="647"/>
      <c r="BJ318" s="647"/>
      <c r="BK318" s="647"/>
      <c r="BL318" s="647"/>
      <c r="BM318" s="647"/>
    </row>
    <row r="319" spans="4:65" s="640" customFormat="1" hidden="1">
      <c r="D319" s="641"/>
      <c r="G319" s="642"/>
      <c r="J319" s="642"/>
      <c r="K319" s="643"/>
      <c r="M319" s="644"/>
      <c r="N319" s="642"/>
      <c r="Q319" s="642"/>
      <c r="T319" s="642"/>
      <c r="U319" s="643"/>
      <c r="W319" s="645"/>
      <c r="X319" s="1066"/>
      <c r="Y319" s="646"/>
      <c r="Z319" s="673"/>
      <c r="AA319" s="646"/>
      <c r="AB319" s="646"/>
      <c r="AC319" s="646"/>
      <c r="AD319" s="646"/>
      <c r="AE319" s="646"/>
      <c r="AF319" s="646"/>
      <c r="AG319" s="646"/>
      <c r="AH319" s="646"/>
      <c r="AI319" s="646"/>
      <c r="AJ319" s="646"/>
      <c r="AK319" s="646"/>
      <c r="AL319" s="646"/>
      <c r="AM319" s="646"/>
      <c r="AN319" s="646"/>
      <c r="AO319" s="646"/>
      <c r="AP319" s="646"/>
      <c r="AQ319" s="646"/>
      <c r="AR319" s="646"/>
      <c r="AS319" s="646"/>
      <c r="AT319" s="646"/>
      <c r="AU319" s="645"/>
      <c r="AV319" s="645"/>
      <c r="AW319" s="645"/>
      <c r="AX319" s="645"/>
      <c r="AY319" s="646"/>
      <c r="AZ319" s="646"/>
      <c r="BA319" s="646"/>
      <c r="BB319" s="646"/>
      <c r="BC319" s="646"/>
      <c r="BD319" s="646"/>
      <c r="BE319" s="646"/>
      <c r="BF319" s="646"/>
      <c r="BG319" s="646"/>
      <c r="BH319" s="646"/>
      <c r="BI319" s="647"/>
      <c r="BJ319" s="647"/>
      <c r="BK319" s="647"/>
      <c r="BL319" s="647"/>
      <c r="BM319" s="647"/>
    </row>
    <row r="320" spans="4:65" s="640" customFormat="1" hidden="1">
      <c r="D320" s="641"/>
      <c r="G320" s="642"/>
      <c r="J320" s="642"/>
      <c r="K320" s="643"/>
      <c r="M320" s="644"/>
      <c r="N320" s="642"/>
      <c r="Q320" s="642"/>
      <c r="T320" s="642"/>
      <c r="U320" s="643"/>
      <c r="W320" s="645"/>
      <c r="X320" s="1066"/>
      <c r="Y320" s="646"/>
      <c r="Z320" s="673"/>
      <c r="AA320" s="646"/>
      <c r="AB320" s="646"/>
      <c r="AC320" s="646"/>
      <c r="AD320" s="646"/>
      <c r="AE320" s="646"/>
      <c r="AF320" s="646"/>
      <c r="AG320" s="646"/>
      <c r="AH320" s="646"/>
      <c r="AI320" s="646"/>
      <c r="AJ320" s="646"/>
      <c r="AK320" s="646"/>
      <c r="AL320" s="646"/>
      <c r="AM320" s="646"/>
      <c r="AN320" s="646"/>
      <c r="AO320" s="646"/>
      <c r="AP320" s="646"/>
      <c r="AQ320" s="646"/>
      <c r="AR320" s="646"/>
      <c r="AS320" s="646"/>
      <c r="AT320" s="646"/>
      <c r="AU320" s="645"/>
      <c r="AV320" s="645"/>
      <c r="AW320" s="645"/>
      <c r="AX320" s="645"/>
      <c r="AY320" s="646"/>
      <c r="AZ320" s="646"/>
      <c r="BA320" s="646"/>
      <c r="BB320" s="646"/>
      <c r="BC320" s="646"/>
      <c r="BD320" s="646"/>
      <c r="BE320" s="646"/>
      <c r="BF320" s="646"/>
      <c r="BG320" s="646"/>
      <c r="BH320" s="646"/>
      <c r="BI320" s="647"/>
      <c r="BJ320" s="647"/>
      <c r="BK320" s="647"/>
      <c r="BL320" s="647"/>
      <c r="BM320" s="647"/>
    </row>
    <row r="321" spans="4:65" s="640" customFormat="1" hidden="1">
      <c r="D321" s="641"/>
      <c r="G321" s="642"/>
      <c r="J321" s="642"/>
      <c r="K321" s="643"/>
      <c r="M321" s="644"/>
      <c r="N321" s="642"/>
      <c r="Q321" s="642"/>
      <c r="T321" s="642"/>
      <c r="U321" s="643"/>
      <c r="W321" s="645"/>
      <c r="X321" s="1066"/>
      <c r="Y321" s="646"/>
      <c r="Z321" s="673"/>
      <c r="AA321" s="646"/>
      <c r="AB321" s="646"/>
      <c r="AC321" s="646"/>
      <c r="AD321" s="646"/>
      <c r="AE321" s="646"/>
      <c r="AF321" s="646"/>
      <c r="AG321" s="646"/>
      <c r="AH321" s="646"/>
      <c r="AI321" s="646"/>
      <c r="AJ321" s="646"/>
      <c r="AK321" s="646"/>
      <c r="AL321" s="646"/>
      <c r="AM321" s="646"/>
      <c r="AN321" s="646"/>
      <c r="AO321" s="646"/>
      <c r="AP321" s="646"/>
      <c r="AQ321" s="646"/>
      <c r="AR321" s="646"/>
      <c r="AS321" s="646"/>
      <c r="AT321" s="646"/>
      <c r="AU321" s="645"/>
      <c r="AV321" s="645"/>
      <c r="AW321" s="645"/>
      <c r="AX321" s="645"/>
      <c r="AY321" s="646"/>
      <c r="AZ321" s="646"/>
      <c r="BA321" s="646"/>
      <c r="BB321" s="646"/>
      <c r="BC321" s="646"/>
      <c r="BD321" s="646"/>
      <c r="BE321" s="646"/>
      <c r="BF321" s="646"/>
      <c r="BG321" s="646"/>
      <c r="BH321" s="646"/>
      <c r="BI321" s="647"/>
      <c r="BJ321" s="647"/>
      <c r="BK321" s="647"/>
      <c r="BL321" s="647"/>
      <c r="BM321" s="647"/>
    </row>
    <row r="322" spans="4:65" s="640" customFormat="1" hidden="1">
      <c r="D322" s="641"/>
      <c r="G322" s="642"/>
      <c r="J322" s="642"/>
      <c r="K322" s="643"/>
      <c r="M322" s="644"/>
      <c r="N322" s="642"/>
      <c r="Q322" s="642"/>
      <c r="T322" s="642"/>
      <c r="U322" s="643"/>
      <c r="W322" s="645"/>
      <c r="X322" s="1066"/>
      <c r="Y322" s="646"/>
      <c r="Z322" s="673"/>
      <c r="AA322" s="646"/>
      <c r="AB322" s="646"/>
      <c r="AC322" s="646"/>
      <c r="AD322" s="646"/>
      <c r="AE322" s="646"/>
      <c r="AF322" s="646"/>
      <c r="AG322" s="646"/>
      <c r="AH322" s="646"/>
      <c r="AI322" s="646"/>
      <c r="AJ322" s="646"/>
      <c r="AK322" s="646"/>
      <c r="AL322" s="646"/>
      <c r="AM322" s="646"/>
      <c r="AN322" s="646"/>
      <c r="AO322" s="646"/>
      <c r="AP322" s="646"/>
      <c r="AQ322" s="646"/>
      <c r="AR322" s="646"/>
      <c r="AS322" s="646"/>
      <c r="AT322" s="646"/>
      <c r="AU322" s="645"/>
      <c r="AV322" s="645"/>
      <c r="AW322" s="645"/>
      <c r="AX322" s="645"/>
      <c r="AY322" s="646"/>
      <c r="AZ322" s="646"/>
      <c r="BA322" s="646"/>
      <c r="BB322" s="646"/>
      <c r="BC322" s="646"/>
      <c r="BD322" s="646"/>
      <c r="BE322" s="646"/>
      <c r="BF322" s="646"/>
      <c r="BG322" s="646"/>
      <c r="BH322" s="646"/>
      <c r="BI322" s="647"/>
      <c r="BJ322" s="647"/>
      <c r="BK322" s="647"/>
      <c r="BL322" s="647"/>
      <c r="BM322" s="647"/>
    </row>
    <row r="323" spans="4:65" s="640" customFormat="1" hidden="1">
      <c r="D323" s="641"/>
      <c r="G323" s="642"/>
      <c r="J323" s="642"/>
      <c r="K323" s="643"/>
      <c r="M323" s="644"/>
      <c r="N323" s="642"/>
      <c r="Q323" s="642"/>
      <c r="T323" s="642"/>
      <c r="U323" s="643"/>
      <c r="W323" s="645"/>
      <c r="X323" s="1066"/>
      <c r="Y323" s="646"/>
      <c r="Z323" s="673"/>
      <c r="AA323" s="646"/>
      <c r="AB323" s="646"/>
      <c r="AC323" s="646"/>
      <c r="AD323" s="646"/>
      <c r="AE323" s="646"/>
      <c r="AF323" s="646"/>
      <c r="AG323" s="646"/>
      <c r="AH323" s="646"/>
      <c r="AI323" s="646"/>
      <c r="AJ323" s="646"/>
      <c r="AK323" s="646"/>
      <c r="AL323" s="646"/>
      <c r="AM323" s="646"/>
      <c r="AN323" s="646"/>
      <c r="AO323" s="646"/>
      <c r="AP323" s="646"/>
      <c r="AQ323" s="646"/>
      <c r="AR323" s="646"/>
      <c r="AS323" s="646"/>
      <c r="AT323" s="646"/>
      <c r="AU323" s="645"/>
      <c r="AV323" s="645"/>
      <c r="AW323" s="645"/>
      <c r="AX323" s="645"/>
      <c r="AY323" s="646"/>
      <c r="AZ323" s="646"/>
      <c r="BA323" s="646"/>
      <c r="BB323" s="646"/>
      <c r="BC323" s="646"/>
      <c r="BD323" s="646"/>
      <c r="BE323" s="646"/>
      <c r="BF323" s="646"/>
      <c r="BG323" s="646"/>
      <c r="BH323" s="646"/>
      <c r="BI323" s="647"/>
      <c r="BJ323" s="647"/>
      <c r="BK323" s="647"/>
      <c r="BL323" s="647"/>
      <c r="BM323" s="647"/>
    </row>
    <row r="324" spans="4:65" s="640" customFormat="1" hidden="1">
      <c r="D324" s="641"/>
      <c r="G324" s="642"/>
      <c r="J324" s="642"/>
      <c r="K324" s="643"/>
      <c r="M324" s="644"/>
      <c r="N324" s="642"/>
      <c r="Q324" s="642"/>
      <c r="T324" s="642"/>
      <c r="U324" s="643"/>
      <c r="W324" s="645"/>
      <c r="X324" s="1066"/>
      <c r="Y324" s="646"/>
      <c r="Z324" s="673"/>
      <c r="AA324" s="646"/>
      <c r="AB324" s="646"/>
      <c r="AC324" s="646"/>
      <c r="AD324" s="646"/>
      <c r="AE324" s="646"/>
      <c r="AF324" s="646"/>
      <c r="AG324" s="646"/>
      <c r="AH324" s="646"/>
      <c r="AI324" s="646"/>
      <c r="AJ324" s="646"/>
      <c r="AK324" s="646"/>
      <c r="AL324" s="646"/>
      <c r="AM324" s="646"/>
      <c r="AN324" s="646"/>
      <c r="AO324" s="646"/>
      <c r="AP324" s="646"/>
      <c r="AQ324" s="646"/>
      <c r="AR324" s="646"/>
      <c r="AS324" s="646"/>
      <c r="AT324" s="646"/>
      <c r="AU324" s="645"/>
      <c r="AV324" s="645"/>
      <c r="AW324" s="645"/>
      <c r="AX324" s="645"/>
      <c r="AY324" s="646"/>
      <c r="AZ324" s="646"/>
      <c r="BA324" s="646"/>
      <c r="BB324" s="646"/>
      <c r="BC324" s="646"/>
      <c r="BD324" s="646"/>
      <c r="BE324" s="646"/>
      <c r="BF324" s="646"/>
      <c r="BG324" s="646"/>
      <c r="BH324" s="646"/>
      <c r="BI324" s="647"/>
      <c r="BJ324" s="647"/>
      <c r="BK324" s="647"/>
      <c r="BL324" s="647"/>
      <c r="BM324" s="647"/>
    </row>
    <row r="325" spans="4:65" s="640" customFormat="1" hidden="1">
      <c r="D325" s="641"/>
      <c r="G325" s="642"/>
      <c r="J325" s="642"/>
      <c r="K325" s="643"/>
      <c r="M325" s="644"/>
      <c r="N325" s="642"/>
      <c r="Q325" s="642"/>
      <c r="T325" s="642"/>
      <c r="U325" s="643"/>
      <c r="W325" s="645"/>
      <c r="X325" s="1066"/>
      <c r="Y325" s="646"/>
      <c r="Z325" s="673"/>
      <c r="AA325" s="646"/>
      <c r="AB325" s="646"/>
      <c r="AC325" s="646"/>
      <c r="AD325" s="646"/>
      <c r="AE325" s="646"/>
      <c r="AF325" s="646"/>
      <c r="AG325" s="646"/>
      <c r="AH325" s="646"/>
      <c r="AI325" s="646"/>
      <c r="AJ325" s="646"/>
      <c r="AK325" s="646"/>
      <c r="AL325" s="646"/>
      <c r="AM325" s="646"/>
      <c r="AN325" s="646"/>
      <c r="AO325" s="646"/>
      <c r="AP325" s="646"/>
      <c r="AQ325" s="646"/>
      <c r="AR325" s="646"/>
      <c r="AS325" s="646"/>
      <c r="AT325" s="646"/>
      <c r="AU325" s="645"/>
      <c r="AV325" s="645"/>
      <c r="AW325" s="645"/>
      <c r="AX325" s="645"/>
      <c r="AY325" s="646"/>
      <c r="AZ325" s="646"/>
      <c r="BA325" s="646"/>
      <c r="BB325" s="646"/>
      <c r="BC325" s="646"/>
      <c r="BD325" s="646"/>
      <c r="BE325" s="646"/>
      <c r="BF325" s="646"/>
      <c r="BG325" s="646"/>
      <c r="BH325" s="646"/>
      <c r="BI325" s="647"/>
      <c r="BJ325" s="647"/>
      <c r="BK325" s="647"/>
      <c r="BL325" s="647"/>
      <c r="BM325" s="647"/>
    </row>
    <row r="326" spans="4:65" s="640" customFormat="1" hidden="1">
      <c r="D326" s="641"/>
      <c r="G326" s="642"/>
      <c r="J326" s="642"/>
      <c r="K326" s="643"/>
      <c r="M326" s="644"/>
      <c r="N326" s="642"/>
      <c r="Q326" s="642"/>
      <c r="T326" s="642"/>
      <c r="U326" s="643"/>
      <c r="W326" s="645"/>
      <c r="X326" s="1066"/>
      <c r="Y326" s="646"/>
      <c r="Z326" s="673"/>
      <c r="AA326" s="646"/>
      <c r="AB326" s="646"/>
      <c r="AC326" s="646"/>
      <c r="AD326" s="646"/>
      <c r="AE326" s="646"/>
      <c r="AF326" s="646"/>
      <c r="AG326" s="646"/>
      <c r="AH326" s="646"/>
      <c r="AI326" s="646"/>
      <c r="AJ326" s="646"/>
      <c r="AK326" s="646"/>
      <c r="AL326" s="646"/>
      <c r="AM326" s="646"/>
      <c r="AN326" s="646"/>
      <c r="AO326" s="646"/>
      <c r="AP326" s="646"/>
      <c r="AQ326" s="646"/>
      <c r="AR326" s="646"/>
      <c r="AS326" s="646"/>
      <c r="AT326" s="646"/>
      <c r="AU326" s="645"/>
      <c r="AV326" s="645"/>
      <c r="AW326" s="645"/>
      <c r="AX326" s="645"/>
      <c r="AY326" s="646"/>
      <c r="AZ326" s="646"/>
      <c r="BA326" s="646"/>
      <c r="BB326" s="646"/>
      <c r="BC326" s="646"/>
      <c r="BD326" s="646"/>
      <c r="BE326" s="646"/>
      <c r="BF326" s="646"/>
      <c r="BG326" s="646"/>
      <c r="BH326" s="646"/>
      <c r="BI326" s="647"/>
      <c r="BJ326" s="647"/>
      <c r="BK326" s="647"/>
      <c r="BL326" s="647"/>
      <c r="BM326" s="647"/>
    </row>
    <row r="327" spans="4:65" s="640" customFormat="1" hidden="1">
      <c r="D327" s="641"/>
      <c r="G327" s="642"/>
      <c r="J327" s="642"/>
      <c r="K327" s="643"/>
      <c r="M327" s="644"/>
      <c r="N327" s="642"/>
      <c r="Q327" s="642"/>
      <c r="T327" s="642"/>
      <c r="U327" s="643"/>
      <c r="W327" s="645"/>
      <c r="X327" s="1066"/>
      <c r="Y327" s="646"/>
      <c r="Z327" s="673"/>
      <c r="AA327" s="646"/>
      <c r="AB327" s="646"/>
      <c r="AC327" s="646"/>
      <c r="AD327" s="646"/>
      <c r="AE327" s="646"/>
      <c r="AF327" s="646"/>
      <c r="AG327" s="646"/>
      <c r="AH327" s="646"/>
      <c r="AI327" s="646"/>
      <c r="AJ327" s="646"/>
      <c r="AK327" s="646"/>
      <c r="AL327" s="646"/>
      <c r="AM327" s="646"/>
      <c r="AN327" s="646"/>
      <c r="AO327" s="646"/>
      <c r="AP327" s="646"/>
      <c r="AQ327" s="646"/>
      <c r="AR327" s="646"/>
      <c r="AS327" s="646"/>
      <c r="AT327" s="646"/>
      <c r="AU327" s="645"/>
      <c r="AV327" s="645"/>
      <c r="AW327" s="645"/>
      <c r="AX327" s="645"/>
      <c r="AY327" s="646"/>
      <c r="AZ327" s="646"/>
      <c r="BA327" s="646"/>
      <c r="BB327" s="646"/>
      <c r="BC327" s="646"/>
      <c r="BD327" s="646"/>
      <c r="BE327" s="646"/>
      <c r="BF327" s="646"/>
      <c r="BG327" s="646"/>
      <c r="BH327" s="646"/>
      <c r="BI327" s="647"/>
      <c r="BJ327" s="647"/>
      <c r="BK327" s="647"/>
      <c r="BL327" s="647"/>
      <c r="BM327" s="647"/>
    </row>
    <row r="328" spans="4:65" s="640" customFormat="1" hidden="1">
      <c r="D328" s="641"/>
      <c r="G328" s="642"/>
      <c r="J328" s="642"/>
      <c r="K328" s="643"/>
      <c r="M328" s="644"/>
      <c r="N328" s="642"/>
      <c r="Q328" s="642"/>
      <c r="T328" s="642"/>
      <c r="U328" s="643"/>
      <c r="W328" s="645"/>
      <c r="X328" s="1066"/>
      <c r="Y328" s="646"/>
      <c r="Z328" s="673"/>
      <c r="AA328" s="646"/>
      <c r="AB328" s="646"/>
      <c r="AC328" s="646"/>
      <c r="AD328" s="646"/>
      <c r="AE328" s="646"/>
      <c r="AF328" s="646"/>
      <c r="AG328" s="646"/>
      <c r="AH328" s="646"/>
      <c r="AI328" s="646"/>
      <c r="AJ328" s="646"/>
      <c r="AK328" s="646"/>
      <c r="AL328" s="646"/>
      <c r="AM328" s="646"/>
      <c r="AN328" s="646"/>
      <c r="AO328" s="646"/>
      <c r="AP328" s="646"/>
      <c r="AQ328" s="646"/>
      <c r="AR328" s="646"/>
      <c r="AS328" s="646"/>
      <c r="AT328" s="646"/>
      <c r="AU328" s="645"/>
      <c r="AV328" s="645"/>
      <c r="AW328" s="645"/>
      <c r="AX328" s="645"/>
      <c r="AY328" s="646"/>
      <c r="AZ328" s="646"/>
      <c r="BA328" s="646"/>
      <c r="BB328" s="646"/>
      <c r="BC328" s="646"/>
      <c r="BD328" s="646"/>
      <c r="BE328" s="646"/>
      <c r="BF328" s="646"/>
      <c r="BG328" s="646"/>
      <c r="BH328" s="646"/>
      <c r="BI328" s="647"/>
      <c r="BJ328" s="647"/>
      <c r="BK328" s="647"/>
      <c r="BL328" s="647"/>
      <c r="BM328" s="647"/>
    </row>
    <row r="329" spans="4:65" s="640" customFormat="1" hidden="1">
      <c r="D329" s="641"/>
      <c r="G329" s="642"/>
      <c r="J329" s="642"/>
      <c r="K329" s="643"/>
      <c r="M329" s="644"/>
      <c r="N329" s="642"/>
      <c r="Q329" s="642"/>
      <c r="T329" s="642"/>
      <c r="U329" s="643"/>
      <c r="W329" s="645"/>
      <c r="X329" s="1066"/>
      <c r="Y329" s="646"/>
      <c r="Z329" s="673"/>
      <c r="AA329" s="646"/>
      <c r="AB329" s="646"/>
      <c r="AC329" s="646"/>
      <c r="AD329" s="646"/>
      <c r="AE329" s="646"/>
      <c r="AF329" s="646"/>
      <c r="AG329" s="646"/>
      <c r="AH329" s="646"/>
      <c r="AI329" s="646"/>
      <c r="AJ329" s="646"/>
      <c r="AK329" s="646"/>
      <c r="AL329" s="646"/>
      <c r="AM329" s="646"/>
      <c r="AN329" s="646"/>
      <c r="AO329" s="646"/>
      <c r="AP329" s="646"/>
      <c r="AQ329" s="646"/>
      <c r="AR329" s="646"/>
      <c r="AS329" s="646"/>
      <c r="AT329" s="646"/>
      <c r="AU329" s="645"/>
      <c r="AV329" s="645"/>
      <c r="AW329" s="645"/>
      <c r="AX329" s="645"/>
      <c r="AY329" s="646"/>
      <c r="AZ329" s="646"/>
      <c r="BA329" s="646"/>
      <c r="BB329" s="646"/>
      <c r="BC329" s="646"/>
      <c r="BD329" s="646"/>
      <c r="BE329" s="646"/>
      <c r="BF329" s="646"/>
      <c r="BG329" s="646"/>
      <c r="BH329" s="646"/>
      <c r="BI329" s="647"/>
      <c r="BJ329" s="647"/>
      <c r="BK329" s="647"/>
      <c r="BL329" s="647"/>
      <c r="BM329" s="647"/>
    </row>
    <row r="330" spans="4:65" s="640" customFormat="1" hidden="1">
      <c r="D330" s="641"/>
      <c r="G330" s="642"/>
      <c r="J330" s="642"/>
      <c r="K330" s="643"/>
      <c r="M330" s="644"/>
      <c r="N330" s="642"/>
      <c r="Q330" s="642"/>
      <c r="T330" s="642"/>
      <c r="U330" s="643"/>
      <c r="W330" s="645"/>
      <c r="X330" s="1066"/>
      <c r="Y330" s="646"/>
      <c r="Z330" s="673"/>
      <c r="AA330" s="646"/>
      <c r="AB330" s="646"/>
      <c r="AC330" s="646"/>
      <c r="AD330" s="646"/>
      <c r="AE330" s="646"/>
      <c r="AF330" s="646"/>
      <c r="AG330" s="646"/>
      <c r="AH330" s="646"/>
      <c r="AI330" s="646"/>
      <c r="AJ330" s="646"/>
      <c r="AK330" s="646"/>
      <c r="AL330" s="646"/>
      <c r="AM330" s="646"/>
      <c r="AN330" s="646"/>
      <c r="AO330" s="646"/>
      <c r="AP330" s="646"/>
      <c r="AQ330" s="646"/>
      <c r="AR330" s="646"/>
      <c r="AS330" s="646"/>
      <c r="AT330" s="646"/>
      <c r="AU330" s="645"/>
      <c r="AV330" s="645"/>
      <c r="AW330" s="645"/>
      <c r="AX330" s="645"/>
      <c r="AY330" s="646"/>
      <c r="AZ330" s="646"/>
      <c r="BA330" s="646"/>
      <c r="BB330" s="646"/>
      <c r="BC330" s="646"/>
      <c r="BD330" s="646"/>
      <c r="BE330" s="646"/>
      <c r="BF330" s="646"/>
      <c r="BG330" s="646"/>
      <c r="BH330" s="646"/>
      <c r="BI330" s="647"/>
      <c r="BJ330" s="647"/>
      <c r="BK330" s="647"/>
      <c r="BL330" s="647"/>
      <c r="BM330" s="647"/>
    </row>
    <row r="331" spans="4:65" s="640" customFormat="1" hidden="1">
      <c r="D331" s="641"/>
      <c r="G331" s="642"/>
      <c r="J331" s="642"/>
      <c r="K331" s="643"/>
      <c r="M331" s="644"/>
      <c r="N331" s="642"/>
      <c r="Q331" s="642"/>
      <c r="T331" s="642"/>
      <c r="U331" s="643"/>
      <c r="W331" s="645"/>
      <c r="X331" s="1066"/>
      <c r="Y331" s="646"/>
      <c r="Z331" s="673"/>
      <c r="AA331" s="646"/>
      <c r="AB331" s="646"/>
      <c r="AC331" s="646"/>
      <c r="AD331" s="646"/>
      <c r="AE331" s="646"/>
      <c r="AF331" s="646"/>
      <c r="AG331" s="646"/>
      <c r="AH331" s="646"/>
      <c r="AI331" s="646"/>
      <c r="AJ331" s="646"/>
      <c r="AK331" s="646"/>
      <c r="AL331" s="646"/>
      <c r="AM331" s="646"/>
      <c r="AN331" s="646"/>
      <c r="AO331" s="646"/>
      <c r="AP331" s="646"/>
      <c r="AQ331" s="646"/>
      <c r="AR331" s="646"/>
      <c r="AS331" s="646"/>
      <c r="AT331" s="646"/>
      <c r="AU331" s="645"/>
      <c r="AV331" s="645"/>
      <c r="AW331" s="645"/>
      <c r="AX331" s="645"/>
      <c r="AY331" s="646"/>
      <c r="AZ331" s="646"/>
      <c r="BA331" s="646"/>
      <c r="BB331" s="646"/>
      <c r="BC331" s="646"/>
      <c r="BD331" s="646"/>
      <c r="BE331" s="646"/>
      <c r="BF331" s="646"/>
      <c r="BG331" s="646"/>
      <c r="BH331" s="646"/>
      <c r="BI331" s="647"/>
      <c r="BJ331" s="647"/>
      <c r="BK331" s="647"/>
      <c r="BL331" s="647"/>
      <c r="BM331" s="647"/>
    </row>
    <row r="332" spans="4:65" s="640" customFormat="1" hidden="1">
      <c r="D332" s="641"/>
      <c r="G332" s="642"/>
      <c r="J332" s="642"/>
      <c r="K332" s="643"/>
      <c r="M332" s="644"/>
      <c r="N332" s="642"/>
      <c r="Q332" s="642"/>
      <c r="T332" s="642"/>
      <c r="U332" s="643"/>
      <c r="W332" s="645"/>
      <c r="X332" s="1066"/>
      <c r="Y332" s="646"/>
      <c r="Z332" s="673"/>
      <c r="AA332" s="646"/>
      <c r="AB332" s="646"/>
      <c r="AC332" s="646"/>
      <c r="AD332" s="646"/>
      <c r="AE332" s="646"/>
      <c r="AF332" s="646"/>
      <c r="AG332" s="646"/>
      <c r="AH332" s="646"/>
      <c r="AI332" s="646"/>
      <c r="AJ332" s="646"/>
      <c r="AK332" s="646"/>
      <c r="AL332" s="646"/>
      <c r="AM332" s="646"/>
      <c r="AN332" s="646"/>
      <c r="AO332" s="646"/>
      <c r="AP332" s="646"/>
      <c r="AQ332" s="646"/>
      <c r="AR332" s="646"/>
      <c r="AS332" s="646"/>
      <c r="AT332" s="646"/>
      <c r="AU332" s="645"/>
      <c r="AV332" s="645"/>
      <c r="AW332" s="645"/>
      <c r="AX332" s="645"/>
      <c r="AY332" s="646"/>
      <c r="AZ332" s="646"/>
      <c r="BA332" s="646"/>
      <c r="BB332" s="646"/>
      <c r="BC332" s="646"/>
      <c r="BD332" s="646"/>
      <c r="BE332" s="646"/>
      <c r="BF332" s="646"/>
      <c r="BG332" s="646"/>
      <c r="BH332" s="646"/>
      <c r="BI332" s="647"/>
      <c r="BJ332" s="647"/>
      <c r="BK332" s="647"/>
      <c r="BL332" s="647"/>
      <c r="BM332" s="647"/>
    </row>
    <row r="333" spans="4:65" s="640" customFormat="1" hidden="1">
      <c r="D333" s="641"/>
      <c r="G333" s="642"/>
      <c r="J333" s="642"/>
      <c r="K333" s="643"/>
      <c r="M333" s="644"/>
      <c r="N333" s="642"/>
      <c r="Q333" s="642"/>
      <c r="T333" s="642"/>
      <c r="U333" s="643"/>
      <c r="W333" s="645"/>
      <c r="X333" s="1066"/>
      <c r="Y333" s="646"/>
      <c r="Z333" s="673"/>
      <c r="AA333" s="646"/>
      <c r="AB333" s="646"/>
      <c r="AC333" s="646"/>
      <c r="AD333" s="646"/>
      <c r="AE333" s="646"/>
      <c r="AF333" s="646"/>
      <c r="AG333" s="646"/>
      <c r="AH333" s="646"/>
      <c r="AI333" s="646"/>
      <c r="AJ333" s="646"/>
      <c r="AK333" s="646"/>
      <c r="AL333" s="646"/>
      <c r="AM333" s="646"/>
      <c r="AN333" s="646"/>
      <c r="AO333" s="646"/>
      <c r="AP333" s="646"/>
      <c r="AQ333" s="646"/>
      <c r="AR333" s="646"/>
      <c r="AS333" s="646"/>
      <c r="AT333" s="646"/>
      <c r="AU333" s="645"/>
      <c r="AV333" s="645"/>
      <c r="AW333" s="645"/>
      <c r="AX333" s="645"/>
      <c r="AY333" s="646"/>
      <c r="AZ333" s="646"/>
      <c r="BA333" s="646"/>
      <c r="BB333" s="646"/>
      <c r="BC333" s="646"/>
      <c r="BD333" s="646"/>
      <c r="BE333" s="646"/>
      <c r="BF333" s="646"/>
      <c r="BG333" s="646"/>
      <c r="BH333" s="646"/>
      <c r="BI333" s="647"/>
      <c r="BJ333" s="647"/>
      <c r="BK333" s="647"/>
      <c r="BL333" s="647"/>
      <c r="BM333" s="647"/>
    </row>
    <row r="334" spans="4:65" s="640" customFormat="1" hidden="1">
      <c r="D334" s="641"/>
      <c r="G334" s="642"/>
      <c r="J334" s="642"/>
      <c r="K334" s="643"/>
      <c r="M334" s="644"/>
      <c r="N334" s="642"/>
      <c r="Q334" s="642"/>
      <c r="T334" s="642"/>
      <c r="U334" s="643"/>
      <c r="W334" s="645"/>
      <c r="X334" s="1066"/>
      <c r="Y334" s="646"/>
      <c r="Z334" s="673"/>
      <c r="AA334" s="646"/>
      <c r="AB334" s="646"/>
      <c r="AC334" s="646"/>
      <c r="AD334" s="646"/>
      <c r="AE334" s="646"/>
      <c r="AF334" s="646"/>
      <c r="AG334" s="646"/>
      <c r="AH334" s="646"/>
      <c r="AI334" s="646"/>
      <c r="AJ334" s="646"/>
      <c r="AK334" s="646"/>
      <c r="AL334" s="646"/>
      <c r="AM334" s="646"/>
      <c r="AN334" s="646"/>
      <c r="AO334" s="646"/>
      <c r="AP334" s="646"/>
      <c r="AQ334" s="646"/>
      <c r="AR334" s="646"/>
      <c r="AS334" s="646"/>
      <c r="AT334" s="646"/>
      <c r="AU334" s="645"/>
      <c r="AV334" s="645"/>
      <c r="AW334" s="645"/>
      <c r="AX334" s="645"/>
      <c r="AY334" s="646"/>
      <c r="AZ334" s="646"/>
      <c r="BA334" s="646"/>
      <c r="BB334" s="646"/>
      <c r="BC334" s="646"/>
      <c r="BD334" s="646"/>
      <c r="BE334" s="646"/>
      <c r="BF334" s="646"/>
      <c r="BG334" s="646"/>
      <c r="BH334" s="646"/>
      <c r="BI334" s="647"/>
      <c r="BJ334" s="647"/>
      <c r="BK334" s="647"/>
      <c r="BL334" s="647"/>
      <c r="BM334" s="647"/>
    </row>
    <row r="335" spans="4:65" s="640" customFormat="1" hidden="1">
      <c r="D335" s="641"/>
      <c r="G335" s="642"/>
      <c r="J335" s="642"/>
      <c r="K335" s="643"/>
      <c r="M335" s="644"/>
      <c r="N335" s="642"/>
      <c r="Q335" s="642"/>
      <c r="T335" s="642"/>
      <c r="U335" s="643"/>
      <c r="W335" s="645"/>
      <c r="X335" s="1066"/>
      <c r="Y335" s="646"/>
      <c r="Z335" s="673"/>
      <c r="AA335" s="646"/>
      <c r="AB335" s="646"/>
      <c r="AC335" s="646"/>
      <c r="AD335" s="646"/>
      <c r="AE335" s="646"/>
      <c r="AF335" s="646"/>
      <c r="AG335" s="646"/>
      <c r="AH335" s="646"/>
      <c r="AI335" s="646"/>
      <c r="AJ335" s="646"/>
      <c r="AK335" s="646"/>
      <c r="AL335" s="646"/>
      <c r="AM335" s="646"/>
      <c r="AN335" s="646"/>
      <c r="AO335" s="646"/>
      <c r="AP335" s="646"/>
      <c r="AQ335" s="646"/>
      <c r="AR335" s="646"/>
      <c r="AS335" s="646"/>
      <c r="AT335" s="646"/>
      <c r="AU335" s="645"/>
      <c r="AV335" s="645"/>
      <c r="AW335" s="645"/>
      <c r="AX335" s="645"/>
      <c r="AY335" s="646"/>
      <c r="AZ335" s="646"/>
      <c r="BA335" s="646"/>
      <c r="BB335" s="646"/>
      <c r="BC335" s="646"/>
      <c r="BD335" s="646"/>
      <c r="BE335" s="646"/>
      <c r="BF335" s="646"/>
      <c r="BG335" s="646"/>
      <c r="BH335" s="646"/>
      <c r="BI335" s="647"/>
      <c r="BJ335" s="647"/>
      <c r="BK335" s="647"/>
      <c r="BL335" s="647"/>
      <c r="BM335" s="647"/>
    </row>
    <row r="336" spans="4:65" s="640" customFormat="1" hidden="1">
      <c r="D336" s="641"/>
      <c r="G336" s="642"/>
      <c r="J336" s="642"/>
      <c r="K336" s="643"/>
      <c r="M336" s="644"/>
      <c r="N336" s="642"/>
      <c r="Q336" s="642"/>
      <c r="T336" s="642"/>
      <c r="U336" s="643"/>
      <c r="W336" s="645"/>
      <c r="X336" s="1066"/>
      <c r="Y336" s="646"/>
      <c r="Z336" s="673"/>
      <c r="AA336" s="646"/>
      <c r="AB336" s="646"/>
      <c r="AC336" s="646"/>
      <c r="AD336" s="646"/>
      <c r="AE336" s="646"/>
      <c r="AF336" s="646"/>
      <c r="AG336" s="646"/>
      <c r="AH336" s="646"/>
      <c r="AI336" s="646"/>
      <c r="AJ336" s="646"/>
      <c r="AK336" s="646"/>
      <c r="AL336" s="646"/>
      <c r="AM336" s="646"/>
      <c r="AN336" s="646"/>
      <c r="AO336" s="646"/>
      <c r="AP336" s="646"/>
      <c r="AQ336" s="646"/>
      <c r="AR336" s="646"/>
      <c r="AS336" s="646"/>
      <c r="AT336" s="646"/>
      <c r="AU336" s="645"/>
      <c r="AV336" s="645"/>
      <c r="AW336" s="645"/>
      <c r="AX336" s="645"/>
      <c r="AY336" s="646"/>
      <c r="AZ336" s="646"/>
      <c r="BA336" s="646"/>
      <c r="BB336" s="646"/>
      <c r="BC336" s="646"/>
      <c r="BD336" s="646"/>
      <c r="BE336" s="646"/>
      <c r="BF336" s="646"/>
      <c r="BG336" s="646"/>
      <c r="BH336" s="646"/>
      <c r="BI336" s="647"/>
      <c r="BJ336" s="647"/>
      <c r="BK336" s="647"/>
      <c r="BL336" s="647"/>
      <c r="BM336" s="647"/>
    </row>
    <row r="337" spans="4:65" s="640" customFormat="1" hidden="1">
      <c r="D337" s="641"/>
      <c r="G337" s="642"/>
      <c r="J337" s="642"/>
      <c r="K337" s="643"/>
      <c r="M337" s="644"/>
      <c r="N337" s="642"/>
      <c r="Q337" s="642"/>
      <c r="T337" s="642"/>
      <c r="U337" s="643"/>
      <c r="W337" s="645"/>
      <c r="X337" s="1066"/>
      <c r="Y337" s="646"/>
      <c r="Z337" s="673"/>
      <c r="AA337" s="646"/>
      <c r="AB337" s="646"/>
      <c r="AC337" s="646"/>
      <c r="AD337" s="646"/>
      <c r="AE337" s="646"/>
      <c r="AF337" s="646"/>
      <c r="AG337" s="646"/>
      <c r="AH337" s="646"/>
      <c r="AI337" s="646"/>
      <c r="AJ337" s="646"/>
      <c r="AK337" s="646"/>
      <c r="AL337" s="646"/>
      <c r="AM337" s="646"/>
      <c r="AN337" s="646"/>
      <c r="AO337" s="646"/>
      <c r="AP337" s="646"/>
      <c r="AQ337" s="646"/>
      <c r="AR337" s="646"/>
      <c r="AS337" s="646"/>
      <c r="AT337" s="646"/>
      <c r="AU337" s="645"/>
      <c r="AV337" s="645"/>
      <c r="AW337" s="645"/>
      <c r="AX337" s="645"/>
      <c r="AY337" s="646"/>
      <c r="AZ337" s="646"/>
      <c r="BA337" s="646"/>
      <c r="BB337" s="646"/>
      <c r="BC337" s="646"/>
      <c r="BD337" s="646"/>
      <c r="BE337" s="646"/>
      <c r="BF337" s="646"/>
      <c r="BG337" s="646"/>
      <c r="BH337" s="646"/>
      <c r="BI337" s="647"/>
      <c r="BJ337" s="647"/>
      <c r="BK337" s="647"/>
      <c r="BL337" s="647"/>
      <c r="BM337" s="647"/>
    </row>
    <row r="338" spans="4:65" s="640" customFormat="1" hidden="1">
      <c r="D338" s="641"/>
      <c r="G338" s="642"/>
      <c r="J338" s="642"/>
      <c r="K338" s="643"/>
      <c r="M338" s="644"/>
      <c r="N338" s="642"/>
      <c r="Q338" s="642"/>
      <c r="T338" s="642"/>
      <c r="U338" s="643"/>
      <c r="W338" s="645"/>
      <c r="X338" s="1066"/>
      <c r="Y338" s="646"/>
      <c r="Z338" s="673"/>
      <c r="AA338" s="646"/>
      <c r="AB338" s="646"/>
      <c r="AC338" s="646"/>
      <c r="AD338" s="646"/>
      <c r="AE338" s="646"/>
      <c r="AF338" s="646"/>
      <c r="AG338" s="646"/>
      <c r="AH338" s="646"/>
      <c r="AI338" s="646"/>
      <c r="AJ338" s="646"/>
      <c r="AK338" s="646"/>
      <c r="AL338" s="646"/>
      <c r="AM338" s="646"/>
      <c r="AN338" s="646"/>
      <c r="AO338" s="646"/>
      <c r="AP338" s="646"/>
      <c r="AQ338" s="646"/>
      <c r="AR338" s="646"/>
      <c r="AS338" s="646"/>
      <c r="AT338" s="646"/>
      <c r="AU338" s="645"/>
      <c r="AV338" s="645"/>
      <c r="AW338" s="645"/>
      <c r="AX338" s="645"/>
      <c r="AY338" s="646"/>
      <c r="AZ338" s="646"/>
      <c r="BA338" s="646"/>
      <c r="BB338" s="646"/>
      <c r="BC338" s="646"/>
      <c r="BD338" s="646"/>
      <c r="BE338" s="646"/>
      <c r="BF338" s="646"/>
      <c r="BG338" s="646"/>
      <c r="BH338" s="646"/>
      <c r="BI338" s="647"/>
      <c r="BJ338" s="647"/>
      <c r="BK338" s="647"/>
      <c r="BL338" s="647"/>
      <c r="BM338" s="647"/>
    </row>
    <row r="339" spans="4:65" s="640" customFormat="1" hidden="1">
      <c r="D339" s="641"/>
      <c r="G339" s="642"/>
      <c r="J339" s="642"/>
      <c r="K339" s="643"/>
      <c r="M339" s="644"/>
      <c r="N339" s="642"/>
      <c r="Q339" s="642"/>
      <c r="T339" s="642"/>
      <c r="U339" s="643"/>
      <c r="W339" s="645"/>
      <c r="X339" s="1066"/>
      <c r="Y339" s="646"/>
      <c r="Z339" s="673"/>
      <c r="AA339" s="646"/>
      <c r="AB339" s="646"/>
      <c r="AC339" s="646"/>
      <c r="AD339" s="646"/>
      <c r="AE339" s="646"/>
      <c r="AF339" s="646"/>
      <c r="AG339" s="646"/>
      <c r="AH339" s="646"/>
      <c r="AI339" s="646"/>
      <c r="AJ339" s="646"/>
      <c r="AK339" s="646"/>
      <c r="AL339" s="646"/>
      <c r="AM339" s="646"/>
      <c r="AN339" s="646"/>
      <c r="AO339" s="646"/>
      <c r="AP339" s="646"/>
      <c r="AQ339" s="646"/>
      <c r="AR339" s="646"/>
      <c r="AS339" s="646"/>
      <c r="AT339" s="646"/>
      <c r="AU339" s="645"/>
      <c r="AV339" s="645"/>
      <c r="AW339" s="645"/>
      <c r="AX339" s="645"/>
      <c r="AY339" s="646"/>
      <c r="AZ339" s="646"/>
      <c r="BA339" s="646"/>
      <c r="BB339" s="646"/>
      <c r="BC339" s="646"/>
      <c r="BD339" s="646"/>
      <c r="BE339" s="646"/>
      <c r="BF339" s="646"/>
      <c r="BG339" s="646"/>
      <c r="BH339" s="646"/>
      <c r="BI339" s="647"/>
      <c r="BJ339" s="647"/>
      <c r="BK339" s="647"/>
      <c r="BL339" s="647"/>
      <c r="BM339" s="647"/>
    </row>
    <row r="340" spans="4:65" s="640" customFormat="1" hidden="1">
      <c r="D340" s="641"/>
      <c r="G340" s="642"/>
      <c r="J340" s="642"/>
      <c r="K340" s="643"/>
      <c r="M340" s="644"/>
      <c r="N340" s="642"/>
      <c r="Q340" s="642"/>
      <c r="T340" s="642"/>
      <c r="U340" s="643"/>
      <c r="W340" s="645"/>
      <c r="X340" s="1066"/>
      <c r="Y340" s="646"/>
      <c r="Z340" s="673"/>
      <c r="AA340" s="646"/>
      <c r="AB340" s="646"/>
      <c r="AC340" s="646"/>
      <c r="AD340" s="646"/>
      <c r="AE340" s="646"/>
      <c r="AF340" s="646"/>
      <c r="AG340" s="646"/>
      <c r="AH340" s="646"/>
      <c r="AI340" s="646"/>
      <c r="AJ340" s="646"/>
      <c r="AK340" s="646"/>
      <c r="AL340" s="646"/>
      <c r="AM340" s="646"/>
      <c r="AN340" s="646"/>
      <c r="AO340" s="646"/>
      <c r="AP340" s="646"/>
      <c r="AQ340" s="646"/>
      <c r="AR340" s="646"/>
      <c r="AS340" s="646"/>
      <c r="AT340" s="646"/>
      <c r="AU340" s="645"/>
      <c r="AV340" s="645"/>
      <c r="AW340" s="645"/>
      <c r="AX340" s="645"/>
      <c r="AY340" s="646"/>
      <c r="AZ340" s="646"/>
      <c r="BA340" s="646"/>
      <c r="BB340" s="646"/>
      <c r="BC340" s="646"/>
      <c r="BD340" s="646"/>
      <c r="BE340" s="646"/>
      <c r="BF340" s="646"/>
      <c r="BG340" s="646"/>
      <c r="BH340" s="646"/>
      <c r="BI340" s="647"/>
      <c r="BJ340" s="647"/>
      <c r="BK340" s="647"/>
      <c r="BL340" s="647"/>
      <c r="BM340" s="647"/>
    </row>
    <row r="341" spans="4:65" s="640" customFormat="1" hidden="1">
      <c r="D341" s="641"/>
      <c r="G341" s="642"/>
      <c r="J341" s="642"/>
      <c r="K341" s="643"/>
      <c r="M341" s="644"/>
      <c r="N341" s="642"/>
      <c r="Q341" s="642"/>
      <c r="T341" s="642"/>
      <c r="U341" s="643"/>
      <c r="W341" s="645"/>
      <c r="X341" s="1066"/>
      <c r="Y341" s="646"/>
      <c r="Z341" s="673"/>
      <c r="AA341" s="646"/>
      <c r="AB341" s="646"/>
      <c r="AC341" s="646"/>
      <c r="AD341" s="646"/>
      <c r="AE341" s="646"/>
      <c r="AF341" s="646"/>
      <c r="AG341" s="646"/>
      <c r="AH341" s="646"/>
      <c r="AI341" s="646"/>
      <c r="AJ341" s="646"/>
      <c r="AK341" s="646"/>
      <c r="AL341" s="646"/>
      <c r="AM341" s="646"/>
      <c r="AN341" s="646"/>
      <c r="AO341" s="646"/>
      <c r="AP341" s="646"/>
      <c r="AQ341" s="646"/>
      <c r="AR341" s="646"/>
      <c r="AS341" s="646"/>
      <c r="AT341" s="646"/>
      <c r="AU341" s="645"/>
      <c r="AV341" s="645"/>
      <c r="AW341" s="645"/>
      <c r="AX341" s="645"/>
      <c r="AY341" s="646"/>
      <c r="AZ341" s="646"/>
      <c r="BA341" s="646"/>
      <c r="BB341" s="646"/>
      <c r="BC341" s="646"/>
      <c r="BD341" s="646"/>
      <c r="BE341" s="646"/>
      <c r="BF341" s="646"/>
      <c r="BG341" s="646"/>
      <c r="BH341" s="646"/>
      <c r="BI341" s="647"/>
      <c r="BJ341" s="647"/>
      <c r="BK341" s="647"/>
      <c r="BL341" s="647"/>
      <c r="BM341" s="647"/>
    </row>
    <row r="342" spans="4:65" s="640" customFormat="1" hidden="1">
      <c r="D342" s="641"/>
      <c r="G342" s="642"/>
      <c r="J342" s="642"/>
      <c r="K342" s="643"/>
      <c r="M342" s="644"/>
      <c r="N342" s="642"/>
      <c r="Q342" s="642"/>
      <c r="T342" s="642"/>
      <c r="U342" s="643"/>
      <c r="W342" s="645"/>
      <c r="X342" s="1066"/>
      <c r="Y342" s="646"/>
      <c r="Z342" s="673"/>
      <c r="AA342" s="646"/>
      <c r="AB342" s="646"/>
      <c r="AC342" s="646"/>
      <c r="AD342" s="646"/>
      <c r="AE342" s="646"/>
      <c r="AF342" s="646"/>
      <c r="AG342" s="646"/>
      <c r="AH342" s="646"/>
      <c r="AI342" s="646"/>
      <c r="AJ342" s="646"/>
      <c r="AK342" s="646"/>
      <c r="AL342" s="646"/>
      <c r="AM342" s="646"/>
      <c r="AN342" s="646"/>
      <c r="AO342" s="646"/>
      <c r="AP342" s="646"/>
      <c r="AQ342" s="646"/>
      <c r="AR342" s="646"/>
      <c r="AS342" s="646"/>
      <c r="AT342" s="646"/>
      <c r="AU342" s="645"/>
      <c r="AV342" s="645"/>
      <c r="AW342" s="645"/>
      <c r="AX342" s="645"/>
      <c r="AY342" s="646"/>
      <c r="AZ342" s="646"/>
      <c r="BA342" s="646"/>
      <c r="BB342" s="646"/>
      <c r="BC342" s="646"/>
      <c r="BD342" s="646"/>
      <c r="BE342" s="646"/>
      <c r="BF342" s="646"/>
      <c r="BG342" s="646"/>
      <c r="BH342" s="646"/>
      <c r="BI342" s="647"/>
      <c r="BJ342" s="647"/>
      <c r="BK342" s="647"/>
      <c r="BL342" s="647"/>
      <c r="BM342" s="647"/>
    </row>
    <row r="343" spans="4:65" s="640" customFormat="1" hidden="1">
      <c r="D343" s="641"/>
      <c r="G343" s="642"/>
      <c r="J343" s="642"/>
      <c r="K343" s="643"/>
      <c r="M343" s="644"/>
      <c r="N343" s="642"/>
      <c r="Q343" s="642"/>
      <c r="T343" s="642"/>
      <c r="U343" s="643"/>
      <c r="W343" s="645"/>
      <c r="X343" s="1066"/>
      <c r="Y343" s="646"/>
      <c r="Z343" s="673"/>
      <c r="AA343" s="646"/>
      <c r="AB343" s="646"/>
      <c r="AC343" s="646"/>
      <c r="AD343" s="646"/>
      <c r="AE343" s="646"/>
      <c r="AF343" s="646"/>
      <c r="AG343" s="646"/>
      <c r="AH343" s="646"/>
      <c r="AI343" s="646"/>
      <c r="AJ343" s="646"/>
      <c r="AK343" s="646"/>
      <c r="AL343" s="646"/>
      <c r="AM343" s="646"/>
      <c r="AN343" s="646"/>
      <c r="AO343" s="646"/>
      <c r="AP343" s="646"/>
      <c r="AQ343" s="646"/>
      <c r="AR343" s="646"/>
      <c r="AS343" s="646"/>
      <c r="AT343" s="646"/>
      <c r="AU343" s="645"/>
      <c r="AV343" s="645"/>
      <c r="AW343" s="645"/>
      <c r="AX343" s="645"/>
      <c r="AY343" s="646"/>
      <c r="AZ343" s="646"/>
      <c r="BA343" s="646"/>
      <c r="BB343" s="646"/>
      <c r="BC343" s="646"/>
      <c r="BD343" s="646"/>
      <c r="BE343" s="646"/>
      <c r="BF343" s="646"/>
      <c r="BG343" s="646"/>
      <c r="BH343" s="646"/>
      <c r="BI343" s="647"/>
      <c r="BJ343" s="647"/>
      <c r="BK343" s="647"/>
      <c r="BL343" s="647"/>
      <c r="BM343" s="647"/>
    </row>
    <row r="344" spans="4:65" s="640" customFormat="1" hidden="1">
      <c r="D344" s="641"/>
      <c r="G344" s="642"/>
      <c r="J344" s="642"/>
      <c r="K344" s="643"/>
      <c r="M344" s="644"/>
      <c r="N344" s="642"/>
      <c r="Q344" s="642"/>
      <c r="T344" s="642"/>
      <c r="U344" s="643"/>
      <c r="W344" s="645"/>
      <c r="X344" s="1066"/>
      <c r="Y344" s="646"/>
      <c r="Z344" s="673"/>
      <c r="AA344" s="646"/>
      <c r="AB344" s="646"/>
      <c r="AC344" s="646"/>
      <c r="AD344" s="646"/>
      <c r="AE344" s="646"/>
      <c r="AF344" s="646"/>
      <c r="AG344" s="646"/>
      <c r="AH344" s="646"/>
      <c r="AI344" s="646"/>
      <c r="AJ344" s="646"/>
      <c r="AK344" s="646"/>
      <c r="AL344" s="646"/>
      <c r="AM344" s="646"/>
      <c r="AN344" s="646"/>
      <c r="AO344" s="646"/>
      <c r="AP344" s="646"/>
      <c r="AQ344" s="646"/>
      <c r="AR344" s="646"/>
      <c r="AS344" s="646"/>
      <c r="AT344" s="646"/>
      <c r="AU344" s="645"/>
      <c r="AV344" s="645"/>
      <c r="AW344" s="645"/>
      <c r="AX344" s="645"/>
      <c r="AY344" s="646"/>
      <c r="AZ344" s="646"/>
      <c r="BA344" s="646"/>
      <c r="BB344" s="646"/>
      <c r="BC344" s="646"/>
      <c r="BD344" s="646"/>
      <c r="BE344" s="646"/>
      <c r="BF344" s="646"/>
      <c r="BG344" s="646"/>
      <c r="BH344" s="646"/>
      <c r="BI344" s="647"/>
      <c r="BJ344" s="647"/>
      <c r="BK344" s="647"/>
      <c r="BL344" s="647"/>
      <c r="BM344" s="647"/>
    </row>
    <row r="345" spans="4:65" s="640" customFormat="1" hidden="1">
      <c r="D345" s="641"/>
      <c r="G345" s="642"/>
      <c r="J345" s="642"/>
      <c r="K345" s="643"/>
      <c r="M345" s="644"/>
      <c r="N345" s="642"/>
      <c r="Q345" s="642"/>
      <c r="T345" s="642"/>
      <c r="U345" s="643"/>
      <c r="W345" s="645"/>
      <c r="X345" s="1066"/>
      <c r="Y345" s="646"/>
      <c r="Z345" s="673"/>
      <c r="AA345" s="646"/>
      <c r="AB345" s="646"/>
      <c r="AC345" s="646"/>
      <c r="AD345" s="646"/>
      <c r="AE345" s="646"/>
      <c r="AF345" s="646"/>
      <c r="AG345" s="646"/>
      <c r="AH345" s="646"/>
      <c r="AI345" s="646"/>
      <c r="AJ345" s="646"/>
      <c r="AK345" s="646"/>
      <c r="AL345" s="646"/>
      <c r="AM345" s="646"/>
      <c r="AN345" s="646"/>
      <c r="AO345" s="646"/>
      <c r="AP345" s="646"/>
      <c r="AQ345" s="646"/>
      <c r="AR345" s="646"/>
      <c r="AS345" s="646"/>
      <c r="AT345" s="646"/>
      <c r="AU345" s="645"/>
      <c r="AV345" s="645"/>
      <c r="AW345" s="645"/>
      <c r="AX345" s="645"/>
      <c r="AY345" s="646"/>
      <c r="AZ345" s="646"/>
      <c r="BA345" s="646"/>
      <c r="BB345" s="646"/>
      <c r="BC345" s="646"/>
      <c r="BD345" s="646"/>
      <c r="BE345" s="646"/>
      <c r="BF345" s="646"/>
      <c r="BG345" s="646"/>
      <c r="BH345" s="646"/>
      <c r="BI345" s="647"/>
      <c r="BJ345" s="647"/>
      <c r="BK345" s="647"/>
      <c r="BL345" s="647"/>
      <c r="BM345" s="647"/>
    </row>
    <row r="346" spans="4:65" s="640" customFormat="1" hidden="1">
      <c r="D346" s="641"/>
      <c r="G346" s="642"/>
      <c r="J346" s="642"/>
      <c r="K346" s="643"/>
      <c r="M346" s="644"/>
      <c r="N346" s="642"/>
      <c r="Q346" s="642"/>
      <c r="T346" s="642"/>
      <c r="U346" s="643"/>
      <c r="W346" s="645"/>
      <c r="X346" s="1066"/>
      <c r="Y346" s="646"/>
      <c r="Z346" s="673"/>
      <c r="AA346" s="646"/>
      <c r="AB346" s="646"/>
      <c r="AC346" s="646"/>
      <c r="AD346" s="646"/>
      <c r="AE346" s="646"/>
      <c r="AF346" s="646"/>
      <c r="AG346" s="646"/>
      <c r="AH346" s="646"/>
      <c r="AI346" s="646"/>
      <c r="AJ346" s="646"/>
      <c r="AK346" s="646"/>
      <c r="AL346" s="646"/>
      <c r="AM346" s="646"/>
      <c r="AN346" s="646"/>
      <c r="AO346" s="646"/>
      <c r="AP346" s="646"/>
      <c r="AQ346" s="646"/>
      <c r="AR346" s="646"/>
      <c r="AS346" s="646"/>
      <c r="AT346" s="646"/>
      <c r="AU346" s="645"/>
      <c r="AV346" s="645"/>
      <c r="AW346" s="645"/>
      <c r="AX346" s="645"/>
      <c r="AY346" s="646"/>
      <c r="AZ346" s="646"/>
      <c r="BA346" s="646"/>
      <c r="BB346" s="646"/>
      <c r="BC346" s="646"/>
      <c r="BD346" s="646"/>
      <c r="BE346" s="646"/>
      <c r="BF346" s="646"/>
      <c r="BG346" s="646"/>
      <c r="BH346" s="646"/>
      <c r="BI346" s="647"/>
      <c r="BJ346" s="647"/>
      <c r="BK346" s="647"/>
      <c r="BL346" s="647"/>
      <c r="BM346" s="647"/>
    </row>
    <row r="347" spans="4:65" s="640" customFormat="1" hidden="1">
      <c r="D347" s="641"/>
      <c r="G347" s="642"/>
      <c r="J347" s="642"/>
      <c r="K347" s="643"/>
      <c r="M347" s="644"/>
      <c r="N347" s="642"/>
      <c r="Q347" s="642"/>
      <c r="T347" s="642"/>
      <c r="U347" s="643"/>
      <c r="W347" s="645"/>
      <c r="X347" s="1066"/>
      <c r="Y347" s="646"/>
      <c r="Z347" s="673"/>
      <c r="AA347" s="646"/>
      <c r="AB347" s="646"/>
      <c r="AC347" s="646"/>
      <c r="AD347" s="646"/>
      <c r="AE347" s="646"/>
      <c r="AF347" s="646"/>
      <c r="AG347" s="646"/>
      <c r="AH347" s="646"/>
      <c r="AI347" s="646"/>
      <c r="AJ347" s="646"/>
      <c r="AK347" s="646"/>
      <c r="AL347" s="646"/>
      <c r="AM347" s="646"/>
      <c r="AN347" s="646"/>
      <c r="AO347" s="646"/>
      <c r="AP347" s="646"/>
      <c r="AQ347" s="646"/>
      <c r="AR347" s="646"/>
      <c r="AS347" s="646"/>
      <c r="AT347" s="646"/>
      <c r="AU347" s="645"/>
      <c r="AV347" s="645"/>
      <c r="AW347" s="645"/>
      <c r="AX347" s="645"/>
      <c r="AY347" s="646"/>
      <c r="AZ347" s="646"/>
      <c r="BA347" s="646"/>
      <c r="BB347" s="646"/>
      <c r="BC347" s="646"/>
      <c r="BD347" s="646"/>
      <c r="BE347" s="646"/>
      <c r="BF347" s="646"/>
      <c r="BG347" s="646"/>
      <c r="BH347" s="646"/>
      <c r="BI347" s="647"/>
      <c r="BJ347" s="647"/>
      <c r="BK347" s="647"/>
      <c r="BL347" s="647"/>
      <c r="BM347" s="647"/>
    </row>
    <row r="348" spans="4:65" s="640" customFormat="1" hidden="1">
      <c r="D348" s="641"/>
      <c r="G348" s="642"/>
      <c r="J348" s="642"/>
      <c r="K348" s="643"/>
      <c r="M348" s="644"/>
      <c r="N348" s="642"/>
      <c r="Q348" s="642"/>
      <c r="T348" s="642"/>
      <c r="U348" s="643"/>
      <c r="W348" s="645"/>
      <c r="X348" s="1066"/>
      <c r="Y348" s="646"/>
      <c r="Z348" s="673"/>
      <c r="AA348" s="646"/>
      <c r="AB348" s="646"/>
      <c r="AC348" s="646"/>
      <c r="AD348" s="646"/>
      <c r="AE348" s="646"/>
      <c r="AF348" s="646"/>
      <c r="AG348" s="646"/>
      <c r="AH348" s="646"/>
      <c r="AI348" s="646"/>
      <c r="AJ348" s="646"/>
      <c r="AK348" s="646"/>
      <c r="AL348" s="646"/>
      <c r="AM348" s="646"/>
      <c r="AN348" s="646"/>
      <c r="AO348" s="646"/>
      <c r="AP348" s="646"/>
      <c r="AQ348" s="646"/>
      <c r="AR348" s="646"/>
      <c r="AS348" s="646"/>
      <c r="AT348" s="646"/>
      <c r="AU348" s="645"/>
      <c r="AV348" s="645"/>
      <c r="AW348" s="645"/>
      <c r="AX348" s="645"/>
      <c r="AY348" s="646"/>
      <c r="AZ348" s="646"/>
      <c r="BA348" s="646"/>
      <c r="BB348" s="646"/>
      <c r="BC348" s="646"/>
      <c r="BD348" s="646"/>
      <c r="BE348" s="646"/>
      <c r="BF348" s="646"/>
      <c r="BG348" s="646"/>
      <c r="BH348" s="646"/>
      <c r="BI348" s="647"/>
      <c r="BJ348" s="647"/>
      <c r="BK348" s="647"/>
      <c r="BL348" s="647"/>
      <c r="BM348" s="647"/>
    </row>
    <row r="349" spans="4:65" s="640" customFormat="1" hidden="1">
      <c r="D349" s="641"/>
      <c r="G349" s="642"/>
      <c r="J349" s="642"/>
      <c r="K349" s="643"/>
      <c r="M349" s="644"/>
      <c r="N349" s="642"/>
      <c r="Q349" s="642"/>
      <c r="T349" s="642"/>
      <c r="U349" s="643"/>
      <c r="W349" s="645"/>
      <c r="X349" s="1066"/>
      <c r="Y349" s="646"/>
      <c r="Z349" s="673"/>
      <c r="AA349" s="646"/>
      <c r="AB349" s="646"/>
      <c r="AC349" s="646"/>
      <c r="AD349" s="646"/>
      <c r="AE349" s="646"/>
      <c r="AF349" s="646"/>
      <c r="AG349" s="646"/>
      <c r="AH349" s="646"/>
      <c r="AI349" s="646"/>
      <c r="AJ349" s="646"/>
      <c r="AK349" s="646"/>
      <c r="AL349" s="646"/>
      <c r="AM349" s="646"/>
      <c r="AN349" s="646"/>
      <c r="AO349" s="646"/>
      <c r="AP349" s="646"/>
      <c r="AQ349" s="646"/>
      <c r="AR349" s="646"/>
      <c r="AS349" s="646"/>
      <c r="AT349" s="646"/>
      <c r="AU349" s="645"/>
      <c r="AV349" s="645"/>
      <c r="AW349" s="645"/>
      <c r="AX349" s="645"/>
      <c r="AY349" s="646"/>
      <c r="AZ349" s="646"/>
      <c r="BA349" s="646"/>
      <c r="BB349" s="646"/>
      <c r="BC349" s="646"/>
      <c r="BD349" s="646"/>
      <c r="BE349" s="646"/>
      <c r="BF349" s="646"/>
      <c r="BG349" s="646"/>
      <c r="BH349" s="646"/>
      <c r="BI349" s="647"/>
      <c r="BJ349" s="647"/>
      <c r="BK349" s="647"/>
      <c r="BL349" s="647"/>
      <c r="BM349" s="647"/>
    </row>
    <row r="350" spans="4:65" s="640" customFormat="1" hidden="1">
      <c r="D350" s="641"/>
      <c r="G350" s="642"/>
      <c r="J350" s="642"/>
      <c r="K350" s="643"/>
      <c r="M350" s="644"/>
      <c r="N350" s="642"/>
      <c r="Q350" s="642"/>
      <c r="T350" s="642"/>
      <c r="U350" s="643"/>
      <c r="W350" s="645"/>
      <c r="X350" s="1066"/>
      <c r="Y350" s="646"/>
      <c r="Z350" s="673"/>
      <c r="AA350" s="646"/>
      <c r="AB350" s="646"/>
      <c r="AC350" s="646"/>
      <c r="AD350" s="646"/>
      <c r="AE350" s="646"/>
      <c r="AF350" s="646"/>
      <c r="AG350" s="646"/>
      <c r="AH350" s="646"/>
      <c r="AI350" s="646"/>
      <c r="AJ350" s="646"/>
      <c r="AK350" s="646"/>
      <c r="AL350" s="646"/>
      <c r="AM350" s="646"/>
      <c r="AN350" s="646"/>
      <c r="AO350" s="646"/>
      <c r="AP350" s="646"/>
      <c r="AQ350" s="646"/>
      <c r="AR350" s="646"/>
      <c r="AS350" s="646"/>
      <c r="AT350" s="646"/>
      <c r="AU350" s="645"/>
      <c r="AV350" s="645"/>
      <c r="AW350" s="645"/>
      <c r="AX350" s="645"/>
      <c r="AY350" s="646"/>
      <c r="AZ350" s="646"/>
      <c r="BA350" s="646"/>
      <c r="BB350" s="646"/>
      <c r="BC350" s="646"/>
      <c r="BD350" s="646"/>
      <c r="BE350" s="646"/>
      <c r="BF350" s="646"/>
      <c r="BG350" s="646"/>
      <c r="BH350" s="646"/>
      <c r="BI350" s="647"/>
      <c r="BJ350" s="647"/>
      <c r="BK350" s="647"/>
      <c r="BL350" s="647"/>
      <c r="BM350" s="647"/>
    </row>
    <row r="351" spans="4:65" s="640" customFormat="1" hidden="1">
      <c r="D351" s="641"/>
      <c r="G351" s="642"/>
      <c r="J351" s="642"/>
      <c r="K351" s="643"/>
      <c r="M351" s="644"/>
      <c r="N351" s="642"/>
      <c r="Q351" s="642"/>
      <c r="T351" s="642"/>
      <c r="U351" s="643"/>
      <c r="W351" s="645"/>
      <c r="X351" s="1066"/>
      <c r="Y351" s="646"/>
      <c r="Z351" s="673"/>
      <c r="AA351" s="646"/>
      <c r="AB351" s="646"/>
      <c r="AC351" s="646"/>
      <c r="AD351" s="646"/>
      <c r="AE351" s="646"/>
      <c r="AF351" s="646"/>
      <c r="AG351" s="646"/>
      <c r="AH351" s="646"/>
      <c r="AI351" s="646"/>
      <c r="AJ351" s="646"/>
      <c r="AK351" s="646"/>
      <c r="AL351" s="646"/>
      <c r="AM351" s="646"/>
      <c r="AN351" s="646"/>
      <c r="AO351" s="646"/>
      <c r="AP351" s="646"/>
      <c r="AQ351" s="646"/>
      <c r="AR351" s="646"/>
      <c r="AS351" s="646"/>
      <c r="AT351" s="646"/>
      <c r="AU351" s="645"/>
      <c r="AV351" s="645"/>
      <c r="AW351" s="645"/>
      <c r="AX351" s="645"/>
      <c r="AY351" s="646"/>
      <c r="AZ351" s="646"/>
      <c r="BA351" s="646"/>
      <c r="BB351" s="646"/>
      <c r="BC351" s="646"/>
      <c r="BD351" s="646"/>
      <c r="BE351" s="646"/>
      <c r="BF351" s="646"/>
      <c r="BG351" s="646"/>
      <c r="BH351" s="646"/>
      <c r="BI351" s="647"/>
      <c r="BJ351" s="647"/>
      <c r="BK351" s="647"/>
      <c r="BL351" s="647"/>
      <c r="BM351" s="647"/>
    </row>
    <row r="352" spans="4:65" s="640" customFormat="1" hidden="1">
      <c r="D352" s="641"/>
      <c r="G352" s="642"/>
      <c r="J352" s="642"/>
      <c r="K352" s="643"/>
      <c r="M352" s="644"/>
      <c r="N352" s="642"/>
      <c r="Q352" s="642"/>
      <c r="T352" s="642"/>
      <c r="U352" s="643"/>
      <c r="W352" s="645"/>
      <c r="X352" s="1066"/>
      <c r="Y352" s="646"/>
      <c r="Z352" s="673"/>
      <c r="AA352" s="646"/>
      <c r="AB352" s="646"/>
      <c r="AC352" s="646"/>
      <c r="AD352" s="646"/>
      <c r="AE352" s="646"/>
      <c r="AF352" s="646"/>
      <c r="AG352" s="646"/>
      <c r="AH352" s="646"/>
      <c r="AI352" s="646"/>
      <c r="AJ352" s="646"/>
      <c r="AK352" s="646"/>
      <c r="AL352" s="646"/>
      <c r="AM352" s="646"/>
      <c r="AN352" s="646"/>
      <c r="AO352" s="646"/>
      <c r="AP352" s="646"/>
      <c r="AQ352" s="646"/>
      <c r="AR352" s="646"/>
      <c r="AS352" s="646"/>
      <c r="AT352" s="646"/>
      <c r="AU352" s="645"/>
      <c r="AV352" s="645"/>
      <c r="AW352" s="645"/>
      <c r="AX352" s="645"/>
      <c r="AY352" s="646"/>
      <c r="AZ352" s="646"/>
      <c r="BA352" s="646"/>
      <c r="BB352" s="646"/>
      <c r="BC352" s="646"/>
      <c r="BD352" s="646"/>
      <c r="BE352" s="646"/>
      <c r="BF352" s="646"/>
      <c r="BG352" s="646"/>
      <c r="BH352" s="646"/>
      <c r="BI352" s="647"/>
      <c r="BJ352" s="647"/>
      <c r="BK352" s="647"/>
      <c r="BL352" s="647"/>
      <c r="BM352" s="647"/>
    </row>
    <row r="353" spans="4:65" s="640" customFormat="1" hidden="1">
      <c r="D353" s="641"/>
      <c r="G353" s="642"/>
      <c r="J353" s="642"/>
      <c r="K353" s="643"/>
      <c r="M353" s="644"/>
      <c r="N353" s="642"/>
      <c r="Q353" s="642"/>
      <c r="T353" s="642"/>
      <c r="U353" s="643"/>
      <c r="W353" s="645"/>
      <c r="X353" s="1066"/>
      <c r="Y353" s="646"/>
      <c r="Z353" s="673"/>
      <c r="AA353" s="646"/>
      <c r="AB353" s="646"/>
      <c r="AC353" s="646"/>
      <c r="AD353" s="646"/>
      <c r="AE353" s="646"/>
      <c r="AF353" s="646"/>
      <c r="AG353" s="646"/>
      <c r="AH353" s="646"/>
      <c r="AI353" s="646"/>
      <c r="AJ353" s="646"/>
      <c r="AK353" s="646"/>
      <c r="AL353" s="646"/>
      <c r="AM353" s="646"/>
      <c r="AN353" s="646"/>
      <c r="AO353" s="646"/>
      <c r="AP353" s="646"/>
      <c r="AQ353" s="646"/>
      <c r="AR353" s="646"/>
      <c r="AS353" s="646"/>
      <c r="AT353" s="646"/>
      <c r="AU353" s="645"/>
      <c r="AV353" s="645"/>
      <c r="AW353" s="645"/>
      <c r="AX353" s="645"/>
      <c r="AY353" s="646"/>
      <c r="AZ353" s="646"/>
      <c r="BA353" s="646"/>
      <c r="BB353" s="646"/>
      <c r="BC353" s="646"/>
      <c r="BD353" s="646"/>
      <c r="BE353" s="646"/>
      <c r="BF353" s="646"/>
      <c r="BG353" s="646"/>
      <c r="BH353" s="646"/>
      <c r="BI353" s="647"/>
      <c r="BJ353" s="647"/>
      <c r="BK353" s="647"/>
      <c r="BL353" s="647"/>
      <c r="BM353" s="647"/>
    </row>
    <row r="354" spans="4:65" s="640" customFormat="1" hidden="1">
      <c r="D354" s="641"/>
      <c r="G354" s="642"/>
      <c r="J354" s="642"/>
      <c r="K354" s="643"/>
      <c r="M354" s="644"/>
      <c r="N354" s="642"/>
      <c r="Q354" s="642"/>
      <c r="T354" s="642"/>
      <c r="U354" s="643"/>
      <c r="W354" s="645"/>
      <c r="X354" s="1066"/>
      <c r="Y354" s="646"/>
      <c r="Z354" s="673"/>
      <c r="AA354" s="646"/>
      <c r="AB354" s="646"/>
      <c r="AC354" s="646"/>
      <c r="AD354" s="646"/>
      <c r="AE354" s="646"/>
      <c r="AF354" s="646"/>
      <c r="AG354" s="646"/>
      <c r="AH354" s="646"/>
      <c r="AI354" s="646"/>
      <c r="AJ354" s="646"/>
      <c r="AK354" s="646"/>
      <c r="AL354" s="646"/>
      <c r="AM354" s="646"/>
      <c r="AN354" s="646"/>
      <c r="AO354" s="646"/>
      <c r="AP354" s="646"/>
      <c r="AQ354" s="646"/>
      <c r="AR354" s="646"/>
      <c r="AS354" s="646"/>
      <c r="AT354" s="646"/>
      <c r="AU354" s="645"/>
      <c r="AV354" s="645"/>
      <c r="AW354" s="645"/>
      <c r="AX354" s="645"/>
      <c r="AY354" s="646"/>
      <c r="AZ354" s="646"/>
      <c r="BA354" s="646"/>
      <c r="BB354" s="646"/>
      <c r="BC354" s="646"/>
      <c r="BD354" s="646"/>
      <c r="BE354" s="646"/>
      <c r="BF354" s="646"/>
      <c r="BG354" s="646"/>
      <c r="BH354" s="646"/>
      <c r="BI354" s="647"/>
      <c r="BJ354" s="647"/>
      <c r="BK354" s="647"/>
      <c r="BL354" s="647"/>
      <c r="BM354" s="647"/>
    </row>
    <row r="355" spans="4:65" s="640" customFormat="1" hidden="1">
      <c r="D355" s="641"/>
      <c r="G355" s="642"/>
      <c r="J355" s="642"/>
      <c r="K355" s="643"/>
      <c r="M355" s="644"/>
      <c r="N355" s="642"/>
      <c r="Q355" s="642"/>
      <c r="T355" s="642"/>
      <c r="U355" s="643"/>
      <c r="W355" s="645"/>
      <c r="X355" s="1066"/>
      <c r="Y355" s="646"/>
      <c r="Z355" s="673"/>
      <c r="AA355" s="646"/>
      <c r="AB355" s="646"/>
      <c r="AC355" s="646"/>
      <c r="AD355" s="646"/>
      <c r="AE355" s="646"/>
      <c r="AF355" s="646"/>
      <c r="AG355" s="646"/>
      <c r="AH355" s="646"/>
      <c r="AI355" s="646"/>
      <c r="AJ355" s="646"/>
      <c r="AK355" s="646"/>
      <c r="AL355" s="646"/>
      <c r="AM355" s="646"/>
      <c r="AN355" s="646"/>
      <c r="AO355" s="646"/>
      <c r="AP355" s="646"/>
      <c r="AQ355" s="646"/>
      <c r="AR355" s="646"/>
      <c r="AS355" s="646"/>
      <c r="AT355" s="646"/>
      <c r="AU355" s="645"/>
      <c r="AV355" s="645"/>
      <c r="AW355" s="645"/>
      <c r="AX355" s="645"/>
      <c r="AY355" s="646"/>
      <c r="AZ355" s="646"/>
      <c r="BA355" s="646"/>
      <c r="BB355" s="646"/>
      <c r="BC355" s="646"/>
      <c r="BD355" s="646"/>
      <c r="BE355" s="646"/>
      <c r="BF355" s="646"/>
      <c r="BG355" s="646"/>
      <c r="BH355" s="646"/>
      <c r="BI355" s="647"/>
      <c r="BJ355" s="647"/>
      <c r="BK355" s="647"/>
      <c r="BL355" s="647"/>
      <c r="BM355" s="647"/>
    </row>
    <row r="356" spans="4:65" s="640" customFormat="1" hidden="1">
      <c r="D356" s="641"/>
      <c r="G356" s="642"/>
      <c r="J356" s="642"/>
      <c r="K356" s="643"/>
      <c r="M356" s="644"/>
      <c r="N356" s="642"/>
      <c r="Q356" s="642"/>
      <c r="T356" s="642"/>
      <c r="U356" s="643"/>
      <c r="W356" s="645"/>
      <c r="X356" s="1066"/>
      <c r="Y356" s="646"/>
      <c r="Z356" s="673"/>
      <c r="AA356" s="646"/>
      <c r="AB356" s="646"/>
      <c r="AC356" s="646"/>
      <c r="AD356" s="646"/>
      <c r="AE356" s="646"/>
      <c r="AF356" s="646"/>
      <c r="AG356" s="646"/>
      <c r="AH356" s="646"/>
      <c r="AI356" s="646"/>
      <c r="AJ356" s="646"/>
      <c r="AK356" s="646"/>
      <c r="AL356" s="646"/>
      <c r="AM356" s="646"/>
      <c r="AN356" s="646"/>
      <c r="AO356" s="646"/>
      <c r="AP356" s="646"/>
      <c r="AQ356" s="646"/>
      <c r="AR356" s="646"/>
      <c r="AS356" s="646"/>
      <c r="AT356" s="646"/>
      <c r="AU356" s="645"/>
      <c r="AV356" s="645"/>
      <c r="AW356" s="645"/>
      <c r="AX356" s="645"/>
      <c r="AY356" s="646"/>
      <c r="AZ356" s="646"/>
      <c r="BA356" s="646"/>
      <c r="BB356" s="646"/>
      <c r="BC356" s="646"/>
      <c r="BD356" s="646"/>
      <c r="BE356" s="646"/>
      <c r="BF356" s="646"/>
      <c r="BG356" s="646"/>
      <c r="BH356" s="646"/>
      <c r="BI356" s="647"/>
      <c r="BJ356" s="647"/>
      <c r="BK356" s="647"/>
      <c r="BL356" s="647"/>
      <c r="BM356" s="647"/>
    </row>
    <row r="357" spans="4:65" s="640" customFormat="1" hidden="1">
      <c r="D357" s="641"/>
      <c r="G357" s="642"/>
      <c r="J357" s="642"/>
      <c r="K357" s="643"/>
      <c r="M357" s="644"/>
      <c r="N357" s="642"/>
      <c r="Q357" s="642"/>
      <c r="T357" s="642"/>
      <c r="U357" s="643"/>
      <c r="W357" s="645"/>
      <c r="X357" s="1066"/>
      <c r="Y357" s="646"/>
      <c r="Z357" s="673"/>
      <c r="AA357" s="646"/>
      <c r="AB357" s="646"/>
      <c r="AC357" s="646"/>
      <c r="AD357" s="646"/>
      <c r="AE357" s="646"/>
      <c r="AF357" s="646"/>
      <c r="AG357" s="646"/>
      <c r="AH357" s="646"/>
      <c r="AI357" s="646"/>
      <c r="AJ357" s="646"/>
      <c r="AK357" s="646"/>
      <c r="AL357" s="646"/>
      <c r="AM357" s="646"/>
      <c r="AN357" s="646"/>
      <c r="AO357" s="646"/>
      <c r="AP357" s="646"/>
      <c r="AQ357" s="646"/>
      <c r="AR357" s="646"/>
      <c r="AS357" s="646"/>
      <c r="AT357" s="646"/>
      <c r="AU357" s="645"/>
      <c r="AV357" s="645"/>
      <c r="AW357" s="645"/>
      <c r="AX357" s="645"/>
      <c r="AY357" s="646"/>
      <c r="AZ357" s="646"/>
      <c r="BA357" s="646"/>
      <c r="BB357" s="646"/>
      <c r="BC357" s="646"/>
      <c r="BD357" s="646"/>
      <c r="BE357" s="646"/>
      <c r="BF357" s="646"/>
      <c r="BG357" s="646"/>
      <c r="BH357" s="646"/>
      <c r="BI357" s="647"/>
      <c r="BJ357" s="647"/>
      <c r="BK357" s="647"/>
      <c r="BL357" s="647"/>
      <c r="BM357" s="647"/>
    </row>
    <row r="358" spans="4:65" s="640" customFormat="1" hidden="1">
      <c r="D358" s="641"/>
      <c r="G358" s="642"/>
      <c r="J358" s="642"/>
      <c r="K358" s="643"/>
      <c r="M358" s="644"/>
      <c r="N358" s="642"/>
      <c r="Q358" s="642"/>
      <c r="T358" s="642"/>
      <c r="U358" s="643"/>
      <c r="W358" s="645"/>
      <c r="X358" s="1066"/>
      <c r="Y358" s="646"/>
      <c r="Z358" s="673"/>
      <c r="AA358" s="646"/>
      <c r="AB358" s="646"/>
      <c r="AC358" s="646"/>
      <c r="AD358" s="646"/>
      <c r="AE358" s="646"/>
      <c r="AF358" s="646"/>
      <c r="AG358" s="646"/>
      <c r="AH358" s="646"/>
      <c r="AI358" s="646"/>
      <c r="AJ358" s="646"/>
      <c r="AK358" s="646"/>
      <c r="AL358" s="646"/>
      <c r="AM358" s="646"/>
      <c r="AN358" s="646"/>
      <c r="AO358" s="646"/>
      <c r="AP358" s="646"/>
      <c r="AQ358" s="646"/>
      <c r="AR358" s="646"/>
      <c r="AS358" s="646"/>
      <c r="AT358" s="646"/>
      <c r="AU358" s="645"/>
      <c r="AV358" s="645"/>
      <c r="AW358" s="645"/>
      <c r="AX358" s="645"/>
      <c r="AY358" s="646"/>
      <c r="AZ358" s="646"/>
      <c r="BA358" s="646"/>
      <c r="BB358" s="646"/>
      <c r="BC358" s="646"/>
      <c r="BD358" s="646"/>
      <c r="BE358" s="646"/>
      <c r="BF358" s="646"/>
      <c r="BG358" s="646"/>
      <c r="BH358" s="646"/>
      <c r="BI358" s="647"/>
      <c r="BJ358" s="647"/>
      <c r="BK358" s="647"/>
      <c r="BL358" s="647"/>
      <c r="BM358" s="647"/>
    </row>
    <row r="359" spans="4:65" s="640" customFormat="1" hidden="1">
      <c r="D359" s="641"/>
      <c r="G359" s="642"/>
      <c r="J359" s="642"/>
      <c r="K359" s="643"/>
      <c r="M359" s="644"/>
      <c r="N359" s="642"/>
      <c r="Q359" s="642"/>
      <c r="T359" s="642"/>
      <c r="U359" s="643"/>
      <c r="W359" s="645"/>
      <c r="X359" s="1066"/>
      <c r="Y359" s="646"/>
      <c r="Z359" s="673"/>
      <c r="AA359" s="646"/>
      <c r="AB359" s="646"/>
      <c r="AC359" s="646"/>
      <c r="AD359" s="646"/>
      <c r="AE359" s="646"/>
      <c r="AF359" s="646"/>
      <c r="AG359" s="646"/>
      <c r="AH359" s="646"/>
      <c r="AI359" s="646"/>
      <c r="AJ359" s="646"/>
      <c r="AK359" s="646"/>
      <c r="AL359" s="646"/>
      <c r="AM359" s="646"/>
      <c r="AN359" s="646"/>
      <c r="AO359" s="646"/>
      <c r="AP359" s="646"/>
      <c r="AQ359" s="646"/>
      <c r="AR359" s="646"/>
      <c r="AS359" s="646"/>
      <c r="AT359" s="646"/>
      <c r="AU359" s="645"/>
      <c r="AV359" s="645"/>
      <c r="AW359" s="645"/>
      <c r="AX359" s="645"/>
      <c r="AY359" s="646"/>
      <c r="AZ359" s="646"/>
      <c r="BA359" s="646"/>
      <c r="BB359" s="646"/>
      <c r="BC359" s="646"/>
      <c r="BD359" s="646"/>
      <c r="BE359" s="646"/>
      <c r="BF359" s="646"/>
      <c r="BG359" s="646"/>
      <c r="BH359" s="646"/>
      <c r="BI359" s="647"/>
      <c r="BJ359" s="647"/>
      <c r="BK359" s="647"/>
      <c r="BL359" s="647"/>
      <c r="BM359" s="647"/>
    </row>
    <row r="360" spans="4:65" s="640" customFormat="1" hidden="1">
      <c r="D360" s="641"/>
      <c r="G360" s="642"/>
      <c r="J360" s="642"/>
      <c r="K360" s="643"/>
      <c r="M360" s="644"/>
      <c r="N360" s="642"/>
      <c r="Q360" s="642"/>
      <c r="T360" s="642"/>
      <c r="U360" s="643"/>
      <c r="W360" s="645"/>
      <c r="X360" s="1066"/>
      <c r="Y360" s="646"/>
      <c r="Z360" s="673"/>
      <c r="AA360" s="646"/>
      <c r="AB360" s="646"/>
      <c r="AC360" s="646"/>
      <c r="AD360" s="646"/>
      <c r="AE360" s="646"/>
      <c r="AF360" s="646"/>
      <c r="AG360" s="646"/>
      <c r="AH360" s="646"/>
      <c r="AI360" s="646"/>
      <c r="AJ360" s="646"/>
      <c r="AK360" s="646"/>
      <c r="AL360" s="646"/>
      <c r="AM360" s="646"/>
      <c r="AN360" s="646"/>
      <c r="AO360" s="646"/>
      <c r="AP360" s="646"/>
      <c r="AQ360" s="646"/>
      <c r="AR360" s="646"/>
      <c r="AS360" s="646"/>
      <c r="AT360" s="646"/>
      <c r="AU360" s="645"/>
      <c r="AV360" s="645"/>
      <c r="AW360" s="645"/>
      <c r="AX360" s="645"/>
      <c r="AY360" s="646"/>
      <c r="AZ360" s="646"/>
      <c r="BA360" s="646"/>
      <c r="BB360" s="646"/>
      <c r="BC360" s="646"/>
      <c r="BD360" s="646"/>
      <c r="BE360" s="646"/>
      <c r="BF360" s="646"/>
      <c r="BG360" s="646"/>
      <c r="BH360" s="646"/>
      <c r="BI360" s="647"/>
      <c r="BJ360" s="647"/>
      <c r="BK360" s="647"/>
      <c r="BL360" s="647"/>
      <c r="BM360" s="647"/>
    </row>
    <row r="361" spans="4:65" s="640" customFormat="1" hidden="1">
      <c r="D361" s="641"/>
      <c r="G361" s="642"/>
      <c r="J361" s="642"/>
      <c r="K361" s="643"/>
      <c r="M361" s="644"/>
      <c r="N361" s="642"/>
      <c r="Q361" s="642"/>
      <c r="T361" s="642"/>
      <c r="U361" s="643"/>
      <c r="W361" s="645"/>
      <c r="X361" s="1066"/>
      <c r="Y361" s="646"/>
      <c r="Z361" s="673"/>
      <c r="AA361" s="646"/>
      <c r="AB361" s="646"/>
      <c r="AC361" s="646"/>
      <c r="AD361" s="646"/>
      <c r="AE361" s="646"/>
      <c r="AF361" s="646"/>
      <c r="AG361" s="646"/>
      <c r="AH361" s="646"/>
      <c r="AI361" s="646"/>
      <c r="AJ361" s="646"/>
      <c r="AK361" s="646"/>
      <c r="AL361" s="646"/>
      <c r="AM361" s="646"/>
      <c r="AN361" s="646"/>
      <c r="AO361" s="646"/>
      <c r="AP361" s="646"/>
      <c r="AQ361" s="646"/>
      <c r="AR361" s="646"/>
      <c r="AS361" s="646"/>
      <c r="AT361" s="646"/>
      <c r="AU361" s="645"/>
      <c r="AV361" s="645"/>
      <c r="AW361" s="645"/>
      <c r="AX361" s="645"/>
      <c r="AY361" s="646"/>
      <c r="AZ361" s="646"/>
      <c r="BA361" s="646"/>
      <c r="BB361" s="646"/>
      <c r="BC361" s="646"/>
      <c r="BD361" s="646"/>
      <c r="BE361" s="646"/>
      <c r="BF361" s="646"/>
      <c r="BG361" s="646"/>
      <c r="BH361" s="646"/>
      <c r="BI361" s="647"/>
      <c r="BJ361" s="647"/>
      <c r="BK361" s="647"/>
      <c r="BL361" s="647"/>
      <c r="BM361" s="647"/>
    </row>
    <row r="362" spans="4:65" s="640" customFormat="1" hidden="1">
      <c r="D362" s="641"/>
      <c r="G362" s="642"/>
      <c r="J362" s="642"/>
      <c r="K362" s="643"/>
      <c r="M362" s="644"/>
      <c r="N362" s="642"/>
      <c r="Q362" s="642"/>
      <c r="T362" s="642"/>
      <c r="U362" s="643"/>
      <c r="W362" s="645"/>
      <c r="X362" s="1066"/>
      <c r="Y362" s="646"/>
      <c r="Z362" s="673"/>
      <c r="AA362" s="646"/>
      <c r="AB362" s="646"/>
      <c r="AC362" s="646"/>
      <c r="AD362" s="646"/>
      <c r="AE362" s="646"/>
      <c r="AF362" s="646"/>
      <c r="AG362" s="646"/>
      <c r="AH362" s="646"/>
      <c r="AI362" s="646"/>
      <c r="AJ362" s="646"/>
      <c r="AK362" s="646"/>
      <c r="AL362" s="646"/>
      <c r="AM362" s="646"/>
      <c r="AN362" s="646"/>
      <c r="AO362" s="646"/>
      <c r="AP362" s="646"/>
      <c r="AQ362" s="646"/>
      <c r="AR362" s="646"/>
      <c r="AS362" s="646"/>
      <c r="AT362" s="646"/>
      <c r="AU362" s="645"/>
      <c r="AV362" s="645"/>
      <c r="AW362" s="645"/>
      <c r="AX362" s="645"/>
      <c r="AY362" s="646"/>
      <c r="AZ362" s="646"/>
      <c r="BA362" s="646"/>
      <c r="BB362" s="646"/>
      <c r="BC362" s="646"/>
      <c r="BD362" s="646"/>
      <c r="BE362" s="646"/>
      <c r="BF362" s="646"/>
      <c r="BG362" s="646"/>
      <c r="BH362" s="646"/>
      <c r="BI362" s="647"/>
      <c r="BJ362" s="647"/>
      <c r="BK362" s="647"/>
      <c r="BL362" s="647"/>
      <c r="BM362" s="647"/>
    </row>
    <row r="363" spans="4:65" s="640" customFormat="1" hidden="1">
      <c r="D363" s="641"/>
      <c r="G363" s="642"/>
      <c r="J363" s="642"/>
      <c r="K363" s="643"/>
      <c r="M363" s="644"/>
      <c r="N363" s="642"/>
      <c r="Q363" s="642"/>
      <c r="T363" s="642"/>
      <c r="U363" s="643"/>
      <c r="W363" s="645"/>
      <c r="X363" s="1066"/>
      <c r="Y363" s="646"/>
      <c r="Z363" s="673"/>
      <c r="AA363" s="646"/>
      <c r="AB363" s="646"/>
      <c r="AC363" s="646"/>
      <c r="AD363" s="646"/>
      <c r="AE363" s="646"/>
      <c r="AF363" s="646"/>
      <c r="AG363" s="646"/>
      <c r="AH363" s="646"/>
      <c r="AI363" s="646"/>
      <c r="AJ363" s="646"/>
      <c r="AK363" s="646"/>
      <c r="AL363" s="646"/>
      <c r="AM363" s="646"/>
      <c r="AN363" s="646"/>
      <c r="AO363" s="646"/>
      <c r="AP363" s="646"/>
      <c r="AQ363" s="646"/>
      <c r="AR363" s="646"/>
      <c r="AS363" s="646"/>
      <c r="AT363" s="646"/>
      <c r="AU363" s="645"/>
      <c r="AV363" s="645"/>
      <c r="AW363" s="645"/>
      <c r="AX363" s="645"/>
      <c r="AY363" s="646"/>
      <c r="AZ363" s="646"/>
      <c r="BA363" s="646"/>
      <c r="BB363" s="646"/>
      <c r="BC363" s="646"/>
      <c r="BD363" s="646"/>
      <c r="BE363" s="646"/>
      <c r="BF363" s="646"/>
      <c r="BG363" s="646"/>
      <c r="BH363" s="646"/>
      <c r="BI363" s="647"/>
      <c r="BJ363" s="647"/>
      <c r="BK363" s="647"/>
      <c r="BL363" s="647"/>
      <c r="BM363" s="647"/>
    </row>
    <row r="364" spans="4:65" s="640" customFormat="1" hidden="1">
      <c r="D364" s="641"/>
      <c r="G364" s="642"/>
      <c r="J364" s="642"/>
      <c r="K364" s="643"/>
      <c r="M364" s="644"/>
      <c r="N364" s="642"/>
      <c r="Q364" s="642"/>
      <c r="T364" s="642"/>
      <c r="U364" s="643"/>
      <c r="W364" s="645"/>
      <c r="X364" s="1066"/>
      <c r="Y364" s="646"/>
      <c r="Z364" s="673"/>
      <c r="AA364" s="646"/>
      <c r="AB364" s="646"/>
      <c r="AC364" s="646"/>
      <c r="AD364" s="646"/>
      <c r="AE364" s="646"/>
      <c r="AF364" s="646"/>
      <c r="AG364" s="646"/>
      <c r="AH364" s="646"/>
      <c r="AI364" s="646"/>
      <c r="AJ364" s="646"/>
      <c r="AK364" s="646"/>
      <c r="AL364" s="646"/>
      <c r="AM364" s="646"/>
      <c r="AN364" s="646"/>
      <c r="AO364" s="646"/>
      <c r="AP364" s="646"/>
      <c r="AQ364" s="646"/>
      <c r="AR364" s="646"/>
      <c r="AS364" s="646"/>
      <c r="AT364" s="646"/>
      <c r="AU364" s="645"/>
      <c r="AV364" s="645"/>
      <c r="AW364" s="645"/>
      <c r="AX364" s="645"/>
      <c r="AY364" s="646"/>
      <c r="AZ364" s="646"/>
      <c r="BA364" s="646"/>
      <c r="BB364" s="646"/>
      <c r="BC364" s="646"/>
      <c r="BD364" s="646"/>
      <c r="BE364" s="646"/>
      <c r="BF364" s="646"/>
      <c r="BG364" s="646"/>
      <c r="BH364" s="646"/>
      <c r="BI364" s="647"/>
      <c r="BJ364" s="647"/>
      <c r="BK364" s="647"/>
      <c r="BL364" s="647"/>
      <c r="BM364" s="647"/>
    </row>
    <row r="365" spans="4:65" s="640" customFormat="1" hidden="1">
      <c r="D365" s="641"/>
      <c r="G365" s="642"/>
      <c r="J365" s="642"/>
      <c r="K365" s="643"/>
      <c r="M365" s="644"/>
      <c r="N365" s="642"/>
      <c r="Q365" s="642"/>
      <c r="T365" s="642"/>
      <c r="U365" s="643"/>
      <c r="W365" s="645"/>
      <c r="X365" s="1066"/>
      <c r="Y365" s="646"/>
      <c r="Z365" s="673"/>
      <c r="AA365" s="646"/>
      <c r="AB365" s="646"/>
      <c r="AC365" s="646"/>
      <c r="AD365" s="646"/>
      <c r="AE365" s="646"/>
      <c r="AF365" s="646"/>
      <c r="AG365" s="646"/>
      <c r="AH365" s="646"/>
      <c r="AI365" s="646"/>
      <c r="AJ365" s="646"/>
      <c r="AK365" s="646"/>
      <c r="AL365" s="646"/>
      <c r="AM365" s="646"/>
      <c r="AN365" s="646"/>
      <c r="AO365" s="646"/>
      <c r="AP365" s="646"/>
      <c r="AQ365" s="646"/>
      <c r="AR365" s="646"/>
      <c r="AS365" s="646"/>
      <c r="AT365" s="646"/>
      <c r="AU365" s="645"/>
      <c r="AV365" s="645"/>
      <c r="AW365" s="645"/>
      <c r="AX365" s="645"/>
      <c r="AY365" s="646"/>
      <c r="AZ365" s="646"/>
      <c r="BA365" s="646"/>
      <c r="BB365" s="646"/>
      <c r="BC365" s="646"/>
      <c r="BD365" s="646"/>
      <c r="BE365" s="646"/>
      <c r="BF365" s="646"/>
      <c r="BG365" s="646"/>
      <c r="BH365" s="646"/>
      <c r="BI365" s="647"/>
      <c r="BJ365" s="647"/>
      <c r="BK365" s="647"/>
      <c r="BL365" s="647"/>
      <c r="BM365" s="647"/>
    </row>
    <row r="366" spans="4:65" s="640" customFormat="1" hidden="1">
      <c r="D366" s="641"/>
      <c r="G366" s="642"/>
      <c r="J366" s="642"/>
      <c r="K366" s="643"/>
      <c r="M366" s="644"/>
      <c r="N366" s="642"/>
      <c r="Q366" s="642"/>
      <c r="T366" s="642"/>
      <c r="U366" s="643"/>
      <c r="W366" s="645"/>
      <c r="X366" s="1066"/>
      <c r="Y366" s="646"/>
      <c r="Z366" s="673"/>
      <c r="AA366" s="646"/>
      <c r="AB366" s="646"/>
      <c r="AC366" s="646"/>
      <c r="AD366" s="646"/>
      <c r="AE366" s="646"/>
      <c r="AF366" s="646"/>
      <c r="AG366" s="646"/>
      <c r="AH366" s="646"/>
      <c r="AI366" s="646"/>
      <c r="AJ366" s="646"/>
      <c r="AK366" s="646"/>
      <c r="AL366" s="646"/>
      <c r="AM366" s="646"/>
      <c r="AN366" s="646"/>
      <c r="AO366" s="646"/>
      <c r="AP366" s="646"/>
      <c r="AQ366" s="646"/>
      <c r="AR366" s="646"/>
      <c r="AS366" s="646"/>
      <c r="AT366" s="646"/>
      <c r="AU366" s="645"/>
      <c r="AV366" s="645"/>
      <c r="AW366" s="645"/>
      <c r="AX366" s="645"/>
      <c r="AY366" s="646"/>
      <c r="AZ366" s="646"/>
      <c r="BA366" s="646"/>
      <c r="BB366" s="646"/>
      <c r="BC366" s="646"/>
      <c r="BD366" s="646"/>
      <c r="BE366" s="646"/>
      <c r="BF366" s="646"/>
      <c r="BG366" s="646"/>
      <c r="BH366" s="646"/>
      <c r="BI366" s="647"/>
      <c r="BJ366" s="647"/>
      <c r="BK366" s="647"/>
      <c r="BL366" s="647"/>
      <c r="BM366" s="647"/>
    </row>
    <row r="367" spans="4:65" s="640" customFormat="1" hidden="1">
      <c r="D367" s="641"/>
      <c r="G367" s="642"/>
      <c r="J367" s="642"/>
      <c r="K367" s="643"/>
      <c r="M367" s="644"/>
      <c r="N367" s="642"/>
      <c r="Q367" s="642"/>
      <c r="T367" s="642"/>
      <c r="U367" s="643"/>
      <c r="W367" s="645"/>
      <c r="X367" s="1066"/>
      <c r="Y367" s="646"/>
      <c r="Z367" s="673"/>
      <c r="AA367" s="646"/>
      <c r="AB367" s="646"/>
      <c r="AC367" s="646"/>
      <c r="AD367" s="646"/>
      <c r="AE367" s="646"/>
      <c r="AF367" s="646"/>
      <c r="AG367" s="646"/>
      <c r="AH367" s="646"/>
      <c r="AI367" s="646"/>
      <c r="AJ367" s="646"/>
      <c r="AK367" s="646"/>
      <c r="AL367" s="646"/>
      <c r="AM367" s="646"/>
      <c r="AN367" s="646"/>
      <c r="AO367" s="646"/>
      <c r="AP367" s="646"/>
      <c r="AQ367" s="646"/>
      <c r="AR367" s="646"/>
      <c r="AS367" s="646"/>
      <c r="AT367" s="646"/>
      <c r="AU367" s="645"/>
      <c r="AV367" s="645"/>
      <c r="AW367" s="645"/>
      <c r="AX367" s="645"/>
      <c r="AY367" s="646"/>
      <c r="AZ367" s="646"/>
      <c r="BA367" s="646"/>
      <c r="BB367" s="646"/>
      <c r="BC367" s="646"/>
      <c r="BD367" s="646"/>
      <c r="BE367" s="646"/>
      <c r="BF367" s="646"/>
      <c r="BG367" s="646"/>
      <c r="BH367" s="646"/>
      <c r="BI367" s="647"/>
      <c r="BJ367" s="647"/>
      <c r="BK367" s="647"/>
      <c r="BL367" s="647"/>
      <c r="BM367" s="647"/>
    </row>
    <row r="368" spans="4:65" s="640" customFormat="1" hidden="1">
      <c r="D368" s="641"/>
      <c r="G368" s="642"/>
      <c r="J368" s="642"/>
      <c r="K368" s="643"/>
      <c r="M368" s="644"/>
      <c r="N368" s="642"/>
      <c r="Q368" s="642"/>
      <c r="T368" s="642"/>
      <c r="U368" s="643"/>
      <c r="W368" s="645"/>
      <c r="X368" s="1066"/>
      <c r="Y368" s="646"/>
      <c r="Z368" s="673"/>
      <c r="AA368" s="646"/>
      <c r="AB368" s="646"/>
      <c r="AC368" s="646"/>
      <c r="AD368" s="646"/>
      <c r="AE368" s="646"/>
      <c r="AF368" s="646"/>
      <c r="AG368" s="646"/>
      <c r="AH368" s="646"/>
      <c r="AI368" s="646"/>
      <c r="AJ368" s="646"/>
      <c r="AK368" s="646"/>
      <c r="AL368" s="646"/>
      <c r="AM368" s="646"/>
      <c r="AN368" s="646"/>
      <c r="AO368" s="646"/>
      <c r="AP368" s="646"/>
      <c r="AQ368" s="646"/>
      <c r="AR368" s="646"/>
      <c r="AS368" s="646"/>
      <c r="AT368" s="646"/>
      <c r="AU368" s="645"/>
      <c r="AV368" s="645"/>
      <c r="AW368" s="645"/>
      <c r="AX368" s="645"/>
      <c r="AY368" s="646"/>
      <c r="AZ368" s="646"/>
      <c r="BA368" s="646"/>
      <c r="BB368" s="646"/>
      <c r="BC368" s="646"/>
      <c r="BD368" s="646"/>
      <c r="BE368" s="646"/>
      <c r="BF368" s="646"/>
      <c r="BG368" s="646"/>
      <c r="BH368" s="646"/>
      <c r="BI368" s="647"/>
      <c r="BJ368" s="647"/>
      <c r="BK368" s="647"/>
      <c r="BL368" s="647"/>
      <c r="BM368" s="647"/>
    </row>
    <row r="369" spans="4:65" s="640" customFormat="1" hidden="1">
      <c r="D369" s="641"/>
      <c r="G369" s="642"/>
      <c r="J369" s="642"/>
      <c r="K369" s="643"/>
      <c r="M369" s="644"/>
      <c r="N369" s="642"/>
      <c r="Q369" s="642"/>
      <c r="T369" s="642"/>
      <c r="U369" s="643"/>
      <c r="W369" s="645"/>
      <c r="X369" s="1066"/>
      <c r="Y369" s="646"/>
      <c r="Z369" s="673"/>
      <c r="AA369" s="646"/>
      <c r="AB369" s="646"/>
      <c r="AC369" s="646"/>
      <c r="AD369" s="646"/>
      <c r="AE369" s="646"/>
      <c r="AF369" s="646"/>
      <c r="AG369" s="646"/>
      <c r="AH369" s="646"/>
      <c r="AI369" s="646"/>
      <c r="AJ369" s="646"/>
      <c r="AK369" s="646"/>
      <c r="AL369" s="646"/>
      <c r="AM369" s="646"/>
      <c r="AN369" s="646"/>
      <c r="AO369" s="646"/>
      <c r="AP369" s="646"/>
      <c r="AQ369" s="646"/>
      <c r="AR369" s="646"/>
      <c r="AS369" s="646"/>
      <c r="AT369" s="646"/>
      <c r="AU369" s="645"/>
      <c r="AV369" s="645"/>
      <c r="AW369" s="645"/>
      <c r="AX369" s="645"/>
      <c r="AY369" s="646"/>
      <c r="AZ369" s="646"/>
      <c r="BA369" s="646"/>
      <c r="BB369" s="646"/>
      <c r="BC369" s="646"/>
      <c r="BD369" s="646"/>
      <c r="BE369" s="646"/>
      <c r="BF369" s="646"/>
      <c r="BG369" s="646"/>
      <c r="BH369" s="646"/>
      <c r="BI369" s="647"/>
      <c r="BJ369" s="647"/>
      <c r="BK369" s="647"/>
      <c r="BL369" s="647"/>
      <c r="BM369" s="647"/>
    </row>
    <row r="370" spans="4:65" s="640" customFormat="1" hidden="1">
      <c r="D370" s="641"/>
      <c r="G370" s="642"/>
      <c r="J370" s="642"/>
      <c r="K370" s="643"/>
      <c r="M370" s="644"/>
      <c r="N370" s="642"/>
      <c r="Q370" s="642"/>
      <c r="T370" s="642"/>
      <c r="U370" s="643"/>
      <c r="W370" s="645"/>
      <c r="X370" s="1066"/>
      <c r="Y370" s="646"/>
      <c r="Z370" s="673"/>
      <c r="AA370" s="646"/>
      <c r="AB370" s="646"/>
      <c r="AC370" s="646"/>
      <c r="AD370" s="646"/>
      <c r="AE370" s="646"/>
      <c r="AF370" s="646"/>
      <c r="AG370" s="646"/>
      <c r="AH370" s="646"/>
      <c r="AI370" s="646"/>
      <c r="AJ370" s="646"/>
      <c r="AK370" s="646"/>
      <c r="AL370" s="646"/>
      <c r="AM370" s="646"/>
      <c r="AN370" s="646"/>
      <c r="AO370" s="646"/>
      <c r="AP370" s="646"/>
      <c r="AQ370" s="646"/>
      <c r="AR370" s="646"/>
      <c r="AS370" s="646"/>
      <c r="AT370" s="646"/>
      <c r="AU370" s="645"/>
      <c r="AV370" s="645"/>
      <c r="AW370" s="645"/>
      <c r="AX370" s="645"/>
      <c r="AY370" s="646"/>
      <c r="AZ370" s="646"/>
      <c r="BA370" s="646"/>
      <c r="BB370" s="646"/>
      <c r="BC370" s="646"/>
      <c r="BD370" s="646"/>
      <c r="BE370" s="646"/>
      <c r="BF370" s="646"/>
      <c r="BG370" s="646"/>
      <c r="BH370" s="646"/>
      <c r="BI370" s="647"/>
      <c r="BJ370" s="647"/>
      <c r="BK370" s="647"/>
      <c r="BL370" s="647"/>
      <c r="BM370" s="647"/>
    </row>
    <row r="371" spans="4:65" s="640" customFormat="1" hidden="1">
      <c r="D371" s="641"/>
      <c r="G371" s="642"/>
      <c r="J371" s="642"/>
      <c r="K371" s="643"/>
      <c r="M371" s="644"/>
      <c r="N371" s="642"/>
      <c r="Q371" s="642"/>
      <c r="T371" s="642"/>
      <c r="U371" s="643"/>
      <c r="W371" s="645"/>
      <c r="X371" s="1066"/>
      <c r="Y371" s="646"/>
      <c r="Z371" s="673"/>
      <c r="AA371" s="646"/>
      <c r="AB371" s="646"/>
      <c r="AC371" s="646"/>
      <c r="AD371" s="646"/>
      <c r="AE371" s="646"/>
      <c r="AF371" s="646"/>
      <c r="AG371" s="646"/>
      <c r="AH371" s="646"/>
      <c r="AI371" s="646"/>
      <c r="AJ371" s="646"/>
      <c r="AK371" s="646"/>
      <c r="AL371" s="646"/>
      <c r="AM371" s="646"/>
      <c r="AN371" s="646"/>
      <c r="AO371" s="646"/>
      <c r="AP371" s="646"/>
      <c r="AQ371" s="646"/>
      <c r="AR371" s="646"/>
      <c r="AS371" s="646"/>
      <c r="AT371" s="646"/>
      <c r="AU371" s="645"/>
      <c r="AV371" s="645"/>
      <c r="AW371" s="645"/>
      <c r="AX371" s="645"/>
      <c r="AY371" s="646"/>
      <c r="AZ371" s="646"/>
      <c r="BA371" s="646"/>
      <c r="BB371" s="646"/>
      <c r="BC371" s="646"/>
      <c r="BD371" s="646"/>
      <c r="BE371" s="646"/>
      <c r="BF371" s="646"/>
      <c r="BG371" s="646"/>
      <c r="BH371" s="646"/>
      <c r="BI371" s="647"/>
      <c r="BJ371" s="647"/>
      <c r="BK371" s="647"/>
      <c r="BL371" s="647"/>
      <c r="BM371" s="647"/>
    </row>
    <row r="372" spans="4:65" s="640" customFormat="1" hidden="1">
      <c r="D372" s="641"/>
      <c r="G372" s="642"/>
      <c r="J372" s="642"/>
      <c r="K372" s="643"/>
      <c r="M372" s="644"/>
      <c r="N372" s="642"/>
      <c r="Q372" s="642"/>
      <c r="T372" s="642"/>
      <c r="U372" s="643"/>
      <c r="W372" s="645"/>
      <c r="X372" s="1066"/>
      <c r="Y372" s="646"/>
      <c r="Z372" s="673"/>
      <c r="AA372" s="646"/>
      <c r="AB372" s="646"/>
      <c r="AC372" s="646"/>
      <c r="AD372" s="646"/>
      <c r="AE372" s="646"/>
      <c r="AF372" s="646"/>
      <c r="AG372" s="646"/>
      <c r="AH372" s="646"/>
      <c r="AI372" s="646"/>
      <c r="AJ372" s="646"/>
      <c r="AK372" s="646"/>
      <c r="AL372" s="646"/>
      <c r="AM372" s="646"/>
      <c r="AN372" s="646"/>
      <c r="AO372" s="646"/>
      <c r="AP372" s="646"/>
      <c r="AQ372" s="646"/>
      <c r="AR372" s="646"/>
      <c r="AS372" s="646"/>
      <c r="AT372" s="646"/>
      <c r="AU372" s="645"/>
      <c r="AV372" s="645"/>
      <c r="AW372" s="645"/>
      <c r="AX372" s="645"/>
      <c r="AY372" s="646"/>
      <c r="AZ372" s="646"/>
      <c r="BA372" s="646"/>
      <c r="BB372" s="646"/>
      <c r="BC372" s="646"/>
      <c r="BD372" s="646"/>
      <c r="BE372" s="646"/>
      <c r="BF372" s="646"/>
      <c r="BG372" s="646"/>
      <c r="BH372" s="646"/>
      <c r="BI372" s="647"/>
      <c r="BJ372" s="647"/>
      <c r="BK372" s="647"/>
      <c r="BL372" s="647"/>
      <c r="BM372" s="647"/>
    </row>
    <row r="373" spans="4:65" s="640" customFormat="1" hidden="1">
      <c r="D373" s="641"/>
      <c r="G373" s="642"/>
      <c r="J373" s="642"/>
      <c r="K373" s="643"/>
      <c r="M373" s="644"/>
      <c r="N373" s="642"/>
      <c r="Q373" s="642"/>
      <c r="T373" s="642"/>
      <c r="U373" s="643"/>
      <c r="W373" s="645"/>
      <c r="X373" s="1066"/>
      <c r="Y373" s="646"/>
      <c r="Z373" s="673"/>
      <c r="AA373" s="646"/>
      <c r="AB373" s="646"/>
      <c r="AC373" s="646"/>
      <c r="AD373" s="646"/>
      <c r="AE373" s="646"/>
      <c r="AF373" s="646"/>
      <c r="AG373" s="646"/>
      <c r="AH373" s="646"/>
      <c r="AI373" s="646"/>
      <c r="AJ373" s="646"/>
      <c r="AK373" s="646"/>
      <c r="AL373" s="646"/>
      <c r="AM373" s="646"/>
      <c r="AN373" s="646"/>
      <c r="AO373" s="646"/>
      <c r="AP373" s="646"/>
      <c r="AQ373" s="646"/>
      <c r="AR373" s="646"/>
      <c r="AS373" s="646"/>
      <c r="AT373" s="646"/>
      <c r="AU373" s="645"/>
      <c r="AV373" s="645"/>
      <c r="AW373" s="645"/>
      <c r="AX373" s="645"/>
      <c r="AY373" s="646"/>
      <c r="AZ373" s="646"/>
      <c r="BA373" s="646"/>
      <c r="BB373" s="646"/>
      <c r="BC373" s="646"/>
      <c r="BD373" s="646"/>
      <c r="BE373" s="646"/>
      <c r="BF373" s="646"/>
      <c r="BG373" s="646"/>
      <c r="BH373" s="646"/>
      <c r="BI373" s="647"/>
      <c r="BJ373" s="647"/>
      <c r="BK373" s="647"/>
      <c r="BL373" s="647"/>
      <c r="BM373" s="647"/>
    </row>
    <row r="374" spans="4:65" s="640" customFormat="1" hidden="1">
      <c r="D374" s="641"/>
      <c r="G374" s="642"/>
      <c r="J374" s="642"/>
      <c r="K374" s="643"/>
      <c r="M374" s="644"/>
      <c r="N374" s="642"/>
      <c r="Q374" s="642"/>
      <c r="T374" s="642"/>
      <c r="U374" s="643"/>
      <c r="W374" s="645"/>
      <c r="X374" s="1066"/>
      <c r="Y374" s="646"/>
      <c r="Z374" s="673"/>
      <c r="AA374" s="646"/>
      <c r="AB374" s="646"/>
      <c r="AC374" s="646"/>
      <c r="AD374" s="646"/>
      <c r="AE374" s="646"/>
      <c r="AF374" s="646"/>
      <c r="AG374" s="646"/>
      <c r="AH374" s="646"/>
      <c r="AI374" s="646"/>
      <c r="AJ374" s="646"/>
      <c r="AK374" s="646"/>
      <c r="AL374" s="646"/>
      <c r="AM374" s="646"/>
      <c r="AN374" s="646"/>
      <c r="AO374" s="646"/>
      <c r="AP374" s="646"/>
      <c r="AQ374" s="646"/>
      <c r="AR374" s="646"/>
      <c r="AS374" s="646"/>
      <c r="AT374" s="646"/>
      <c r="AU374" s="645"/>
      <c r="AV374" s="645"/>
      <c r="AW374" s="645"/>
      <c r="AX374" s="645"/>
      <c r="AY374" s="646"/>
      <c r="AZ374" s="646"/>
      <c r="BA374" s="646"/>
      <c r="BB374" s="646"/>
      <c r="BC374" s="646"/>
      <c r="BD374" s="646"/>
      <c r="BE374" s="646"/>
      <c r="BF374" s="646"/>
      <c r="BG374" s="646"/>
      <c r="BH374" s="646"/>
      <c r="BI374" s="647"/>
      <c r="BJ374" s="647"/>
      <c r="BK374" s="647"/>
      <c r="BL374" s="647"/>
      <c r="BM374" s="647"/>
    </row>
    <row r="375" spans="4:65" s="640" customFormat="1" hidden="1">
      <c r="D375" s="641"/>
      <c r="G375" s="642"/>
      <c r="J375" s="642"/>
      <c r="K375" s="643"/>
      <c r="M375" s="644"/>
      <c r="N375" s="642"/>
      <c r="Q375" s="642"/>
      <c r="T375" s="642"/>
      <c r="U375" s="643"/>
      <c r="W375" s="645"/>
      <c r="X375" s="1066"/>
      <c r="Y375" s="646"/>
      <c r="Z375" s="673"/>
      <c r="AA375" s="646"/>
      <c r="AB375" s="646"/>
      <c r="AC375" s="646"/>
      <c r="AD375" s="646"/>
      <c r="AE375" s="646"/>
      <c r="AF375" s="646"/>
      <c r="AG375" s="646"/>
      <c r="AH375" s="646"/>
      <c r="AI375" s="646"/>
      <c r="AJ375" s="646"/>
      <c r="AK375" s="646"/>
      <c r="AL375" s="646"/>
      <c r="AM375" s="646"/>
      <c r="AN375" s="646"/>
      <c r="AO375" s="646"/>
      <c r="AP375" s="646"/>
      <c r="AQ375" s="646"/>
      <c r="AR375" s="646"/>
      <c r="AS375" s="646"/>
      <c r="AT375" s="646"/>
      <c r="AU375" s="645"/>
      <c r="AV375" s="645"/>
      <c r="AW375" s="645"/>
      <c r="AX375" s="645"/>
      <c r="AY375" s="646"/>
      <c r="AZ375" s="646"/>
      <c r="BA375" s="646"/>
      <c r="BB375" s="646"/>
      <c r="BC375" s="646"/>
      <c r="BD375" s="646"/>
      <c r="BE375" s="646"/>
      <c r="BF375" s="646"/>
      <c r="BG375" s="646"/>
      <c r="BH375" s="646"/>
      <c r="BI375" s="647"/>
      <c r="BJ375" s="647"/>
      <c r="BK375" s="647"/>
      <c r="BL375" s="647"/>
      <c r="BM375" s="647"/>
    </row>
    <row r="376" spans="4:65" s="640" customFormat="1" hidden="1">
      <c r="D376" s="641"/>
      <c r="G376" s="642"/>
      <c r="J376" s="642"/>
      <c r="K376" s="643"/>
      <c r="M376" s="644"/>
      <c r="N376" s="642"/>
      <c r="Q376" s="642"/>
      <c r="T376" s="642"/>
      <c r="U376" s="643"/>
      <c r="W376" s="645"/>
      <c r="X376" s="1066"/>
      <c r="Y376" s="646"/>
      <c r="Z376" s="673"/>
      <c r="AA376" s="646"/>
      <c r="AB376" s="646"/>
      <c r="AC376" s="646"/>
      <c r="AD376" s="646"/>
      <c r="AE376" s="646"/>
      <c r="AF376" s="646"/>
      <c r="AG376" s="646"/>
      <c r="AH376" s="646"/>
      <c r="AI376" s="646"/>
      <c r="AJ376" s="646"/>
      <c r="AK376" s="646"/>
      <c r="AL376" s="646"/>
      <c r="AM376" s="646"/>
      <c r="AN376" s="646"/>
      <c r="AO376" s="646"/>
      <c r="AP376" s="646"/>
      <c r="AQ376" s="646"/>
      <c r="AR376" s="646"/>
      <c r="AS376" s="646"/>
      <c r="AT376" s="646"/>
      <c r="AU376" s="645"/>
      <c r="AV376" s="645"/>
      <c r="AW376" s="645"/>
      <c r="AX376" s="645"/>
      <c r="AY376" s="646"/>
      <c r="AZ376" s="646"/>
      <c r="BA376" s="646"/>
      <c r="BB376" s="646"/>
      <c r="BC376" s="646"/>
      <c r="BD376" s="646"/>
      <c r="BE376" s="646"/>
      <c r="BF376" s="646"/>
      <c r="BG376" s="646"/>
      <c r="BH376" s="646"/>
      <c r="BI376" s="647"/>
      <c r="BJ376" s="647"/>
      <c r="BK376" s="647"/>
      <c r="BL376" s="647"/>
      <c r="BM376" s="647"/>
    </row>
    <row r="377" spans="4:65" s="640" customFormat="1" hidden="1">
      <c r="D377" s="641"/>
      <c r="G377" s="642"/>
      <c r="J377" s="642"/>
      <c r="K377" s="643"/>
      <c r="M377" s="644"/>
      <c r="N377" s="642"/>
      <c r="Q377" s="642"/>
      <c r="T377" s="642"/>
      <c r="U377" s="643"/>
      <c r="W377" s="645"/>
      <c r="X377" s="1066"/>
      <c r="Y377" s="646"/>
      <c r="Z377" s="673"/>
      <c r="AA377" s="646"/>
      <c r="AB377" s="646"/>
      <c r="AC377" s="646"/>
      <c r="AD377" s="646"/>
      <c r="AE377" s="646"/>
      <c r="AF377" s="646"/>
      <c r="AG377" s="646"/>
      <c r="AH377" s="646"/>
      <c r="AI377" s="646"/>
      <c r="AJ377" s="646"/>
      <c r="AK377" s="646"/>
      <c r="AL377" s="646"/>
      <c r="AM377" s="646"/>
      <c r="AN377" s="646"/>
      <c r="AO377" s="646"/>
      <c r="AP377" s="646"/>
      <c r="AQ377" s="646"/>
      <c r="AR377" s="646"/>
      <c r="AS377" s="646"/>
      <c r="AT377" s="646"/>
      <c r="AU377" s="645"/>
      <c r="AV377" s="645"/>
      <c r="AW377" s="645"/>
      <c r="AX377" s="645"/>
      <c r="AY377" s="646"/>
      <c r="AZ377" s="646"/>
      <c r="BA377" s="646"/>
      <c r="BB377" s="646"/>
      <c r="BC377" s="646"/>
      <c r="BD377" s="646"/>
      <c r="BE377" s="646"/>
      <c r="BF377" s="646"/>
      <c r="BG377" s="646"/>
      <c r="BH377" s="646"/>
      <c r="BI377" s="647"/>
      <c r="BJ377" s="647"/>
      <c r="BK377" s="647"/>
      <c r="BL377" s="647"/>
      <c r="BM377" s="647"/>
    </row>
    <row r="378" spans="4:65" s="640" customFormat="1" hidden="1">
      <c r="D378" s="641"/>
      <c r="G378" s="642"/>
      <c r="J378" s="642"/>
      <c r="K378" s="643"/>
      <c r="M378" s="644"/>
      <c r="N378" s="642"/>
      <c r="Q378" s="642"/>
      <c r="T378" s="642"/>
      <c r="U378" s="643"/>
      <c r="W378" s="645"/>
      <c r="X378" s="1066"/>
      <c r="Y378" s="646"/>
      <c r="Z378" s="673"/>
      <c r="AA378" s="646"/>
      <c r="AB378" s="646"/>
      <c r="AC378" s="646"/>
      <c r="AD378" s="646"/>
      <c r="AE378" s="646"/>
      <c r="AF378" s="646"/>
      <c r="AG378" s="646"/>
      <c r="AH378" s="646"/>
      <c r="AI378" s="646"/>
      <c r="AJ378" s="646"/>
      <c r="AK378" s="646"/>
      <c r="AL378" s="646"/>
      <c r="AM378" s="646"/>
      <c r="AN378" s="646"/>
      <c r="AO378" s="646"/>
      <c r="AP378" s="646"/>
      <c r="AQ378" s="646"/>
      <c r="AR378" s="646"/>
      <c r="AS378" s="646"/>
      <c r="AT378" s="646"/>
      <c r="AU378" s="645"/>
      <c r="AV378" s="645"/>
      <c r="AW378" s="645"/>
      <c r="AX378" s="645"/>
      <c r="AY378" s="646"/>
      <c r="AZ378" s="646"/>
      <c r="BA378" s="646"/>
      <c r="BB378" s="646"/>
      <c r="BC378" s="646"/>
      <c r="BD378" s="646"/>
      <c r="BE378" s="646"/>
      <c r="BF378" s="646"/>
      <c r="BG378" s="646"/>
      <c r="BH378" s="646"/>
      <c r="BI378" s="647"/>
      <c r="BJ378" s="647"/>
      <c r="BK378" s="647"/>
      <c r="BL378" s="647"/>
      <c r="BM378" s="647"/>
    </row>
    <row r="379" spans="4:65" s="640" customFormat="1" hidden="1">
      <c r="D379" s="641"/>
      <c r="G379" s="642"/>
      <c r="J379" s="642"/>
      <c r="K379" s="643"/>
      <c r="M379" s="644"/>
      <c r="N379" s="642"/>
      <c r="Q379" s="642"/>
      <c r="T379" s="642"/>
      <c r="U379" s="643"/>
      <c r="W379" s="645"/>
      <c r="X379" s="1066"/>
      <c r="Y379" s="646"/>
      <c r="Z379" s="673"/>
      <c r="AA379" s="646"/>
      <c r="AB379" s="646"/>
      <c r="AC379" s="646"/>
      <c r="AD379" s="646"/>
      <c r="AE379" s="646"/>
      <c r="AF379" s="646"/>
      <c r="AG379" s="646"/>
      <c r="AH379" s="646"/>
      <c r="AI379" s="646"/>
      <c r="AJ379" s="646"/>
      <c r="AK379" s="646"/>
      <c r="AL379" s="646"/>
      <c r="AM379" s="646"/>
      <c r="AN379" s="646"/>
      <c r="AO379" s="646"/>
      <c r="AP379" s="646"/>
      <c r="AQ379" s="646"/>
      <c r="AR379" s="646"/>
      <c r="AS379" s="646"/>
      <c r="AT379" s="646"/>
      <c r="AU379" s="645"/>
      <c r="AV379" s="645"/>
      <c r="AW379" s="645"/>
      <c r="AX379" s="645"/>
      <c r="AY379" s="646"/>
      <c r="AZ379" s="646"/>
      <c r="BA379" s="646"/>
      <c r="BB379" s="646"/>
      <c r="BC379" s="646"/>
      <c r="BD379" s="646"/>
      <c r="BE379" s="646"/>
      <c r="BF379" s="646"/>
      <c r="BG379" s="646"/>
      <c r="BH379" s="646"/>
      <c r="BI379" s="647"/>
      <c r="BJ379" s="647"/>
      <c r="BK379" s="647"/>
      <c r="BL379" s="647"/>
      <c r="BM379" s="647"/>
    </row>
    <row r="380" spans="4:65" s="640" customFormat="1" hidden="1">
      <c r="D380" s="641"/>
      <c r="G380" s="642"/>
      <c r="J380" s="642"/>
      <c r="K380" s="643"/>
      <c r="M380" s="644"/>
      <c r="N380" s="642"/>
      <c r="Q380" s="642"/>
      <c r="T380" s="642"/>
      <c r="U380" s="643"/>
      <c r="W380" s="645"/>
      <c r="X380" s="1066"/>
      <c r="Y380" s="646"/>
      <c r="Z380" s="673"/>
      <c r="AA380" s="646"/>
      <c r="AB380" s="646"/>
      <c r="AC380" s="646"/>
      <c r="AD380" s="646"/>
      <c r="AE380" s="646"/>
      <c r="AF380" s="646"/>
      <c r="AG380" s="646"/>
      <c r="AH380" s="646"/>
      <c r="AI380" s="646"/>
      <c r="AJ380" s="646"/>
      <c r="AK380" s="646"/>
      <c r="AL380" s="646"/>
      <c r="AM380" s="646"/>
      <c r="AN380" s="646"/>
      <c r="AO380" s="646"/>
      <c r="AP380" s="646"/>
      <c r="AQ380" s="646"/>
      <c r="AR380" s="646"/>
      <c r="AS380" s="646"/>
      <c r="AT380" s="646"/>
      <c r="AU380" s="645"/>
      <c r="AV380" s="645"/>
      <c r="AW380" s="645"/>
      <c r="AX380" s="645"/>
      <c r="AY380" s="646"/>
      <c r="AZ380" s="646"/>
      <c r="BA380" s="646"/>
      <c r="BB380" s="646"/>
      <c r="BC380" s="646"/>
      <c r="BD380" s="646"/>
      <c r="BE380" s="646"/>
      <c r="BF380" s="646"/>
      <c r="BG380" s="646"/>
      <c r="BH380" s="646"/>
      <c r="BI380" s="647"/>
      <c r="BJ380" s="647"/>
      <c r="BK380" s="647"/>
      <c r="BL380" s="647"/>
      <c r="BM380" s="647"/>
    </row>
    <row r="381" spans="4:65" s="640" customFormat="1" hidden="1">
      <c r="D381" s="641"/>
      <c r="G381" s="642"/>
      <c r="J381" s="642"/>
      <c r="K381" s="643"/>
      <c r="M381" s="644"/>
      <c r="N381" s="642"/>
      <c r="Q381" s="642"/>
      <c r="T381" s="642"/>
      <c r="U381" s="643"/>
      <c r="W381" s="645"/>
      <c r="X381" s="1066"/>
      <c r="Y381" s="646"/>
      <c r="Z381" s="673"/>
      <c r="AA381" s="646"/>
      <c r="AB381" s="646"/>
      <c r="AC381" s="646"/>
      <c r="AD381" s="646"/>
      <c r="AE381" s="646"/>
      <c r="AF381" s="646"/>
      <c r="AG381" s="646"/>
      <c r="AH381" s="646"/>
      <c r="AI381" s="646"/>
      <c r="AJ381" s="646"/>
      <c r="AK381" s="646"/>
      <c r="AL381" s="646"/>
      <c r="AM381" s="646"/>
      <c r="AN381" s="646"/>
      <c r="AO381" s="646"/>
      <c r="AP381" s="646"/>
      <c r="AQ381" s="646"/>
      <c r="AR381" s="646"/>
      <c r="AS381" s="646"/>
      <c r="AT381" s="646"/>
      <c r="AU381" s="645"/>
      <c r="AV381" s="645"/>
      <c r="AW381" s="645"/>
      <c r="AX381" s="645"/>
      <c r="AY381" s="646"/>
      <c r="AZ381" s="646"/>
      <c r="BA381" s="646"/>
      <c r="BB381" s="646"/>
      <c r="BC381" s="646"/>
      <c r="BD381" s="646"/>
      <c r="BE381" s="646"/>
      <c r="BF381" s="646"/>
      <c r="BG381" s="646"/>
      <c r="BH381" s="646"/>
      <c r="BI381" s="647"/>
      <c r="BJ381" s="647"/>
      <c r="BK381" s="647"/>
      <c r="BL381" s="647"/>
      <c r="BM381" s="647"/>
    </row>
    <row r="382" spans="4:65" s="640" customFormat="1" hidden="1">
      <c r="D382" s="641"/>
      <c r="G382" s="642"/>
      <c r="J382" s="642"/>
      <c r="K382" s="643"/>
      <c r="M382" s="644"/>
      <c r="N382" s="642"/>
      <c r="Q382" s="642"/>
      <c r="T382" s="642"/>
      <c r="U382" s="643"/>
      <c r="W382" s="645"/>
      <c r="X382" s="1066"/>
      <c r="Y382" s="646"/>
      <c r="Z382" s="673"/>
      <c r="AA382" s="646"/>
      <c r="AB382" s="646"/>
      <c r="AC382" s="646"/>
      <c r="AD382" s="646"/>
      <c r="AE382" s="646"/>
      <c r="AF382" s="646"/>
      <c r="AG382" s="646"/>
      <c r="AH382" s="646"/>
      <c r="AI382" s="646"/>
      <c r="AJ382" s="646"/>
      <c r="AK382" s="646"/>
      <c r="AL382" s="646"/>
      <c r="AM382" s="646"/>
      <c r="AN382" s="646"/>
      <c r="AO382" s="646"/>
      <c r="AP382" s="646"/>
      <c r="AQ382" s="646"/>
      <c r="AR382" s="646"/>
      <c r="AS382" s="646"/>
      <c r="AT382" s="646"/>
      <c r="AU382" s="645"/>
      <c r="AV382" s="645"/>
      <c r="AW382" s="645"/>
      <c r="AX382" s="645"/>
      <c r="AY382" s="646"/>
      <c r="AZ382" s="646"/>
      <c r="BA382" s="646"/>
      <c r="BB382" s="646"/>
      <c r="BC382" s="646"/>
      <c r="BD382" s="646"/>
      <c r="BE382" s="646"/>
      <c r="BF382" s="646"/>
      <c r="BG382" s="646"/>
      <c r="BH382" s="646"/>
      <c r="BI382" s="647"/>
      <c r="BJ382" s="647"/>
      <c r="BK382" s="647"/>
      <c r="BL382" s="647"/>
      <c r="BM382" s="647"/>
    </row>
    <row r="383" spans="4:65" s="640" customFormat="1" hidden="1">
      <c r="D383" s="641"/>
      <c r="G383" s="642"/>
      <c r="J383" s="642"/>
      <c r="K383" s="643"/>
      <c r="M383" s="644"/>
      <c r="N383" s="642"/>
      <c r="Q383" s="642"/>
      <c r="T383" s="642"/>
      <c r="U383" s="643"/>
      <c r="W383" s="645"/>
      <c r="X383" s="1066"/>
      <c r="Y383" s="646"/>
      <c r="Z383" s="673"/>
      <c r="AA383" s="646"/>
      <c r="AB383" s="646"/>
      <c r="AC383" s="646"/>
      <c r="AD383" s="646"/>
      <c r="AE383" s="646"/>
      <c r="AF383" s="646"/>
      <c r="AG383" s="646"/>
      <c r="AH383" s="646"/>
      <c r="AI383" s="646"/>
      <c r="AJ383" s="646"/>
      <c r="AK383" s="646"/>
      <c r="AL383" s="646"/>
      <c r="AM383" s="646"/>
      <c r="AN383" s="646"/>
      <c r="AO383" s="646"/>
      <c r="AP383" s="646"/>
      <c r="AQ383" s="646"/>
      <c r="AR383" s="646"/>
      <c r="AS383" s="646"/>
      <c r="AT383" s="646"/>
      <c r="AU383" s="645"/>
      <c r="AV383" s="645"/>
      <c r="AW383" s="645"/>
      <c r="AX383" s="645"/>
      <c r="AY383" s="646"/>
      <c r="AZ383" s="646"/>
      <c r="BA383" s="646"/>
      <c r="BB383" s="646"/>
      <c r="BC383" s="646"/>
      <c r="BD383" s="646"/>
      <c r="BE383" s="646"/>
      <c r="BF383" s="646"/>
      <c r="BG383" s="646"/>
      <c r="BH383" s="646"/>
      <c r="BI383" s="647"/>
      <c r="BJ383" s="647"/>
      <c r="BK383" s="647"/>
      <c r="BL383" s="647"/>
      <c r="BM383" s="647"/>
    </row>
    <row r="384" spans="4:65" s="640" customFormat="1" hidden="1">
      <c r="D384" s="641"/>
      <c r="G384" s="642"/>
      <c r="J384" s="642"/>
      <c r="K384" s="643"/>
      <c r="M384" s="644"/>
      <c r="N384" s="642"/>
      <c r="Q384" s="642"/>
      <c r="T384" s="642"/>
      <c r="U384" s="643"/>
      <c r="W384" s="645"/>
      <c r="X384" s="1066"/>
      <c r="Y384" s="646"/>
      <c r="Z384" s="673"/>
      <c r="AA384" s="646"/>
      <c r="AB384" s="646"/>
      <c r="AC384" s="646"/>
      <c r="AD384" s="646"/>
      <c r="AE384" s="646"/>
      <c r="AF384" s="646"/>
      <c r="AG384" s="646"/>
      <c r="AH384" s="646"/>
      <c r="AI384" s="646"/>
      <c r="AJ384" s="646"/>
      <c r="AK384" s="646"/>
      <c r="AL384" s="646"/>
      <c r="AM384" s="646"/>
      <c r="AN384" s="646"/>
      <c r="AO384" s="646"/>
      <c r="AP384" s="646"/>
      <c r="AQ384" s="646"/>
      <c r="AR384" s="646"/>
      <c r="AS384" s="646"/>
      <c r="AT384" s="646"/>
      <c r="AU384" s="645"/>
      <c r="AV384" s="645"/>
      <c r="AW384" s="645"/>
      <c r="AX384" s="645"/>
      <c r="AY384" s="646"/>
      <c r="AZ384" s="646"/>
      <c r="BA384" s="646"/>
      <c r="BB384" s="646"/>
      <c r="BC384" s="646"/>
      <c r="BD384" s="646"/>
      <c r="BE384" s="646"/>
      <c r="BF384" s="646"/>
      <c r="BG384" s="646"/>
      <c r="BH384" s="646"/>
      <c r="BI384" s="647"/>
      <c r="BJ384" s="647"/>
      <c r="BK384" s="647"/>
      <c r="BL384" s="647"/>
      <c r="BM384" s="647"/>
    </row>
    <row r="385" spans="4:65" s="640" customFormat="1" hidden="1">
      <c r="D385" s="641"/>
      <c r="G385" s="642"/>
      <c r="J385" s="642"/>
      <c r="K385" s="643"/>
      <c r="M385" s="644"/>
      <c r="N385" s="642"/>
      <c r="Q385" s="642"/>
      <c r="T385" s="642"/>
      <c r="U385" s="643"/>
      <c r="W385" s="645"/>
      <c r="X385" s="1066"/>
      <c r="Y385" s="646"/>
      <c r="Z385" s="673"/>
      <c r="AA385" s="646"/>
      <c r="AB385" s="646"/>
      <c r="AC385" s="646"/>
      <c r="AD385" s="646"/>
      <c r="AE385" s="646"/>
      <c r="AF385" s="646"/>
      <c r="AG385" s="646"/>
      <c r="AH385" s="646"/>
      <c r="AI385" s="646"/>
      <c r="AJ385" s="646"/>
      <c r="AK385" s="646"/>
      <c r="AL385" s="646"/>
      <c r="AM385" s="646"/>
      <c r="AN385" s="646"/>
      <c r="AO385" s="646"/>
      <c r="AP385" s="646"/>
      <c r="AQ385" s="646"/>
      <c r="AR385" s="646"/>
      <c r="AS385" s="646"/>
      <c r="AT385" s="646"/>
      <c r="AU385" s="645"/>
      <c r="AV385" s="645"/>
      <c r="AW385" s="645"/>
      <c r="AX385" s="645"/>
      <c r="AY385" s="646"/>
      <c r="AZ385" s="646"/>
      <c r="BA385" s="646"/>
      <c r="BB385" s="646"/>
      <c r="BC385" s="646"/>
      <c r="BD385" s="646"/>
      <c r="BE385" s="646"/>
      <c r="BF385" s="646"/>
      <c r="BG385" s="646"/>
      <c r="BH385" s="646"/>
      <c r="BI385" s="647"/>
      <c r="BJ385" s="647"/>
      <c r="BK385" s="647"/>
      <c r="BL385" s="647"/>
      <c r="BM385" s="647"/>
    </row>
    <row r="386" spans="4:65" s="640" customFormat="1" hidden="1">
      <c r="D386" s="641"/>
      <c r="G386" s="642"/>
      <c r="J386" s="642"/>
      <c r="K386" s="643"/>
      <c r="M386" s="644"/>
      <c r="N386" s="642"/>
      <c r="Q386" s="642"/>
      <c r="T386" s="642"/>
      <c r="U386" s="643"/>
      <c r="W386" s="645"/>
      <c r="X386" s="1066"/>
      <c r="Y386" s="646"/>
      <c r="Z386" s="673"/>
      <c r="AA386" s="646"/>
      <c r="AB386" s="646"/>
      <c r="AC386" s="646"/>
      <c r="AD386" s="646"/>
      <c r="AE386" s="646"/>
      <c r="AF386" s="646"/>
      <c r="AG386" s="646"/>
      <c r="AH386" s="646"/>
      <c r="AI386" s="646"/>
      <c r="AJ386" s="646"/>
      <c r="AK386" s="646"/>
      <c r="AL386" s="646"/>
      <c r="AM386" s="646"/>
      <c r="AN386" s="646"/>
      <c r="AO386" s="646"/>
      <c r="AP386" s="646"/>
      <c r="AQ386" s="646"/>
      <c r="AR386" s="646"/>
      <c r="AS386" s="646"/>
      <c r="AT386" s="646"/>
      <c r="AU386" s="645"/>
      <c r="AV386" s="645"/>
      <c r="AW386" s="645"/>
      <c r="AX386" s="645"/>
      <c r="AY386" s="646"/>
      <c r="AZ386" s="646"/>
      <c r="BA386" s="646"/>
      <c r="BB386" s="646"/>
      <c r="BC386" s="646"/>
      <c r="BD386" s="646"/>
      <c r="BE386" s="646"/>
      <c r="BF386" s="646"/>
      <c r="BG386" s="646"/>
      <c r="BH386" s="646"/>
      <c r="BI386" s="647"/>
      <c r="BJ386" s="647"/>
      <c r="BK386" s="647"/>
      <c r="BL386" s="647"/>
      <c r="BM386" s="647"/>
    </row>
    <row r="387" spans="4:65" s="640" customFormat="1" hidden="1">
      <c r="D387" s="641"/>
      <c r="G387" s="642"/>
      <c r="J387" s="642"/>
      <c r="K387" s="643"/>
      <c r="M387" s="644"/>
      <c r="N387" s="642"/>
      <c r="Q387" s="642"/>
      <c r="T387" s="642"/>
      <c r="U387" s="643"/>
      <c r="W387" s="645"/>
      <c r="X387" s="1066"/>
      <c r="Y387" s="646"/>
      <c r="Z387" s="673"/>
      <c r="AA387" s="646"/>
      <c r="AB387" s="646"/>
      <c r="AC387" s="646"/>
      <c r="AD387" s="646"/>
      <c r="AE387" s="646"/>
      <c r="AF387" s="646"/>
      <c r="AG387" s="646"/>
      <c r="AH387" s="646"/>
      <c r="AI387" s="646"/>
      <c r="AJ387" s="646"/>
      <c r="AK387" s="646"/>
      <c r="AL387" s="646"/>
      <c r="AM387" s="646"/>
      <c r="AN387" s="646"/>
      <c r="AO387" s="646"/>
      <c r="AP387" s="646"/>
      <c r="AQ387" s="646"/>
      <c r="AR387" s="646"/>
      <c r="AS387" s="646"/>
      <c r="AT387" s="646"/>
      <c r="AU387" s="645"/>
      <c r="AV387" s="645"/>
      <c r="AW387" s="645"/>
      <c r="AX387" s="645"/>
      <c r="AY387" s="646"/>
      <c r="AZ387" s="646"/>
      <c r="BA387" s="646"/>
      <c r="BB387" s="646"/>
      <c r="BC387" s="646"/>
      <c r="BD387" s="646"/>
      <c r="BE387" s="646"/>
      <c r="BF387" s="646"/>
      <c r="BG387" s="646"/>
      <c r="BH387" s="646"/>
      <c r="BI387" s="647"/>
      <c r="BJ387" s="647"/>
      <c r="BK387" s="647"/>
      <c r="BL387" s="647"/>
      <c r="BM387" s="647"/>
    </row>
    <row r="388" spans="4:65" s="640" customFormat="1" hidden="1">
      <c r="D388" s="641"/>
      <c r="G388" s="642"/>
      <c r="J388" s="642"/>
      <c r="K388" s="643"/>
      <c r="M388" s="644"/>
      <c r="N388" s="642"/>
      <c r="Q388" s="642"/>
      <c r="T388" s="642"/>
      <c r="U388" s="643"/>
      <c r="W388" s="645"/>
      <c r="X388" s="1066"/>
      <c r="Y388" s="646"/>
      <c r="Z388" s="673"/>
      <c r="AA388" s="646"/>
      <c r="AB388" s="646"/>
      <c r="AC388" s="646"/>
      <c r="AD388" s="646"/>
      <c r="AE388" s="646"/>
      <c r="AF388" s="646"/>
      <c r="AG388" s="646"/>
      <c r="AH388" s="646"/>
      <c r="AI388" s="646"/>
      <c r="AJ388" s="646"/>
      <c r="AK388" s="646"/>
      <c r="AL388" s="646"/>
      <c r="AM388" s="646"/>
      <c r="AN388" s="646"/>
      <c r="AO388" s="646"/>
      <c r="AP388" s="646"/>
      <c r="AQ388" s="646"/>
      <c r="AR388" s="646"/>
      <c r="AS388" s="646"/>
      <c r="AT388" s="646"/>
      <c r="AU388" s="645"/>
      <c r="AV388" s="645"/>
      <c r="AW388" s="645"/>
      <c r="AX388" s="645"/>
      <c r="AY388" s="646"/>
      <c r="AZ388" s="646"/>
      <c r="BA388" s="646"/>
      <c r="BB388" s="646"/>
      <c r="BC388" s="646"/>
      <c r="BD388" s="646"/>
      <c r="BE388" s="646"/>
      <c r="BF388" s="646"/>
      <c r="BG388" s="646"/>
      <c r="BH388" s="646"/>
      <c r="BI388" s="647"/>
      <c r="BJ388" s="647"/>
      <c r="BK388" s="647"/>
      <c r="BL388" s="647"/>
      <c r="BM388" s="647"/>
    </row>
    <row r="389" spans="4:65" s="640" customFormat="1" hidden="1">
      <c r="D389" s="641"/>
      <c r="G389" s="642"/>
      <c r="J389" s="642"/>
      <c r="K389" s="643"/>
      <c r="M389" s="644"/>
      <c r="N389" s="642"/>
      <c r="Q389" s="642"/>
      <c r="T389" s="642"/>
      <c r="U389" s="643"/>
      <c r="W389" s="645"/>
      <c r="X389" s="1066"/>
      <c r="Y389" s="646"/>
      <c r="Z389" s="673"/>
      <c r="AA389" s="646"/>
      <c r="AB389" s="646"/>
      <c r="AC389" s="646"/>
      <c r="AD389" s="646"/>
      <c r="AE389" s="646"/>
      <c r="AF389" s="646"/>
      <c r="AG389" s="646"/>
      <c r="AH389" s="646"/>
      <c r="AI389" s="646"/>
      <c r="AJ389" s="646"/>
      <c r="AK389" s="646"/>
      <c r="AL389" s="646"/>
      <c r="AM389" s="646"/>
      <c r="AN389" s="646"/>
      <c r="AO389" s="646"/>
      <c r="AP389" s="646"/>
      <c r="AQ389" s="646"/>
      <c r="AR389" s="646"/>
      <c r="AS389" s="646"/>
      <c r="AT389" s="646"/>
      <c r="AU389" s="645"/>
      <c r="AV389" s="645"/>
      <c r="AW389" s="645"/>
      <c r="AX389" s="645"/>
      <c r="AY389" s="646"/>
      <c r="AZ389" s="646"/>
      <c r="BA389" s="646"/>
      <c r="BB389" s="646"/>
      <c r="BC389" s="646"/>
      <c r="BD389" s="646"/>
      <c r="BE389" s="646"/>
      <c r="BF389" s="646"/>
      <c r="BG389" s="646"/>
      <c r="BH389" s="646"/>
      <c r="BI389" s="647"/>
      <c r="BJ389" s="647"/>
      <c r="BK389" s="647"/>
      <c r="BL389" s="647"/>
      <c r="BM389" s="647"/>
    </row>
    <row r="390" spans="4:65" s="640" customFormat="1" hidden="1">
      <c r="D390" s="641"/>
      <c r="G390" s="642"/>
      <c r="J390" s="642"/>
      <c r="K390" s="643"/>
      <c r="M390" s="644"/>
      <c r="N390" s="642"/>
      <c r="Q390" s="642"/>
      <c r="T390" s="642"/>
      <c r="U390" s="643"/>
      <c r="W390" s="645"/>
      <c r="X390" s="1066"/>
      <c r="Y390" s="646"/>
      <c r="Z390" s="673"/>
      <c r="AA390" s="646"/>
      <c r="AB390" s="646"/>
      <c r="AC390" s="646"/>
      <c r="AD390" s="646"/>
      <c r="AE390" s="646"/>
      <c r="AF390" s="646"/>
      <c r="AG390" s="646"/>
      <c r="AH390" s="646"/>
      <c r="AI390" s="646"/>
      <c r="AJ390" s="646"/>
      <c r="AK390" s="646"/>
      <c r="AL390" s="646"/>
      <c r="AM390" s="646"/>
      <c r="AN390" s="646"/>
      <c r="AO390" s="646"/>
      <c r="AP390" s="646"/>
      <c r="AQ390" s="646"/>
      <c r="AR390" s="646"/>
      <c r="AS390" s="646"/>
      <c r="AT390" s="646"/>
      <c r="AU390" s="645"/>
      <c r="AV390" s="645"/>
      <c r="AW390" s="645"/>
      <c r="AX390" s="645"/>
      <c r="AY390" s="646"/>
      <c r="AZ390" s="646"/>
      <c r="BA390" s="646"/>
      <c r="BB390" s="646"/>
      <c r="BC390" s="646"/>
      <c r="BD390" s="646"/>
      <c r="BE390" s="646"/>
      <c r="BF390" s="646"/>
      <c r="BG390" s="646"/>
      <c r="BH390" s="646"/>
      <c r="BI390" s="647"/>
      <c r="BJ390" s="647"/>
      <c r="BK390" s="647"/>
      <c r="BL390" s="647"/>
      <c r="BM390" s="647"/>
    </row>
    <row r="391" spans="4:65" s="640" customFormat="1" hidden="1">
      <c r="D391" s="641"/>
      <c r="G391" s="642"/>
      <c r="J391" s="642"/>
      <c r="K391" s="643"/>
      <c r="M391" s="644"/>
      <c r="N391" s="642"/>
      <c r="Q391" s="642"/>
      <c r="T391" s="642"/>
      <c r="U391" s="643"/>
      <c r="W391" s="645"/>
      <c r="X391" s="1066"/>
      <c r="Y391" s="646"/>
      <c r="Z391" s="673"/>
      <c r="AA391" s="646"/>
      <c r="AB391" s="646"/>
      <c r="AC391" s="646"/>
      <c r="AD391" s="646"/>
      <c r="AE391" s="646"/>
      <c r="AF391" s="646"/>
      <c r="AG391" s="646"/>
      <c r="AH391" s="646"/>
      <c r="AI391" s="646"/>
      <c r="AJ391" s="646"/>
      <c r="AK391" s="646"/>
      <c r="AL391" s="646"/>
      <c r="AM391" s="646"/>
      <c r="AN391" s="646"/>
      <c r="AO391" s="646"/>
      <c r="AP391" s="646"/>
      <c r="AQ391" s="646"/>
      <c r="AR391" s="646"/>
      <c r="AS391" s="646"/>
      <c r="AT391" s="646"/>
      <c r="AU391" s="645"/>
      <c r="AV391" s="645"/>
      <c r="AW391" s="645"/>
      <c r="AX391" s="645"/>
      <c r="AY391" s="646"/>
      <c r="AZ391" s="646"/>
      <c r="BA391" s="646"/>
      <c r="BB391" s="646"/>
      <c r="BC391" s="646"/>
      <c r="BD391" s="646"/>
      <c r="BE391" s="646"/>
      <c r="BF391" s="646"/>
      <c r="BG391" s="646"/>
      <c r="BH391" s="646"/>
      <c r="BI391" s="647"/>
      <c r="BJ391" s="647"/>
      <c r="BK391" s="647"/>
      <c r="BL391" s="647"/>
      <c r="BM391" s="647"/>
    </row>
    <row r="392" spans="4:65" s="640" customFormat="1" hidden="1">
      <c r="D392" s="641"/>
      <c r="G392" s="642"/>
      <c r="J392" s="642"/>
      <c r="K392" s="643"/>
      <c r="M392" s="644"/>
      <c r="N392" s="642"/>
      <c r="Q392" s="642"/>
      <c r="T392" s="642"/>
      <c r="U392" s="643"/>
      <c r="W392" s="645"/>
      <c r="X392" s="1066"/>
      <c r="Y392" s="646"/>
      <c r="Z392" s="673"/>
      <c r="AA392" s="646"/>
      <c r="AB392" s="646"/>
      <c r="AC392" s="646"/>
      <c r="AD392" s="646"/>
      <c r="AE392" s="646"/>
      <c r="AF392" s="646"/>
      <c r="AG392" s="646"/>
      <c r="AH392" s="646"/>
      <c r="AI392" s="646"/>
      <c r="AJ392" s="646"/>
      <c r="AK392" s="646"/>
      <c r="AL392" s="646"/>
      <c r="AM392" s="646"/>
      <c r="AN392" s="646"/>
      <c r="AO392" s="646"/>
      <c r="AP392" s="646"/>
      <c r="AQ392" s="646"/>
      <c r="AR392" s="646"/>
      <c r="AS392" s="646"/>
      <c r="AT392" s="646"/>
      <c r="AU392" s="645"/>
      <c r="AV392" s="645"/>
      <c r="AW392" s="645"/>
      <c r="AX392" s="645"/>
      <c r="AY392" s="646"/>
      <c r="AZ392" s="646"/>
      <c r="BA392" s="646"/>
      <c r="BB392" s="646"/>
      <c r="BC392" s="646"/>
      <c r="BD392" s="646"/>
      <c r="BE392" s="646"/>
      <c r="BF392" s="646"/>
      <c r="BG392" s="646"/>
      <c r="BH392" s="646"/>
      <c r="BI392" s="647"/>
      <c r="BJ392" s="647"/>
      <c r="BK392" s="647"/>
      <c r="BL392" s="647"/>
      <c r="BM392" s="647"/>
    </row>
    <row r="393" spans="4:65" s="640" customFormat="1" hidden="1">
      <c r="D393" s="641"/>
      <c r="G393" s="642"/>
      <c r="J393" s="642"/>
      <c r="K393" s="643"/>
      <c r="M393" s="644"/>
      <c r="N393" s="642"/>
      <c r="Q393" s="642"/>
      <c r="T393" s="642"/>
      <c r="U393" s="643"/>
      <c r="W393" s="645"/>
      <c r="X393" s="1066"/>
      <c r="Y393" s="646"/>
      <c r="Z393" s="673"/>
      <c r="AA393" s="646"/>
      <c r="AB393" s="646"/>
      <c r="AC393" s="646"/>
      <c r="AD393" s="646"/>
      <c r="AE393" s="646"/>
      <c r="AF393" s="646"/>
      <c r="AG393" s="646"/>
      <c r="AH393" s="646"/>
      <c r="AI393" s="646"/>
      <c r="AJ393" s="646"/>
      <c r="AK393" s="646"/>
      <c r="AL393" s="646"/>
      <c r="AM393" s="646"/>
      <c r="AN393" s="646"/>
      <c r="AO393" s="646"/>
      <c r="AP393" s="646"/>
      <c r="AQ393" s="646"/>
      <c r="AR393" s="646"/>
      <c r="AS393" s="646"/>
      <c r="AT393" s="646"/>
      <c r="AU393" s="645"/>
      <c r="AV393" s="645"/>
      <c r="AW393" s="645"/>
      <c r="AX393" s="645"/>
      <c r="AY393" s="646"/>
      <c r="AZ393" s="646"/>
      <c r="BA393" s="646"/>
      <c r="BB393" s="646"/>
      <c r="BC393" s="646"/>
      <c r="BD393" s="646"/>
      <c r="BE393" s="646"/>
      <c r="BF393" s="646"/>
      <c r="BG393" s="646"/>
      <c r="BH393" s="646"/>
      <c r="BI393" s="647"/>
      <c r="BJ393" s="647"/>
      <c r="BK393" s="647"/>
      <c r="BL393" s="647"/>
      <c r="BM393" s="647"/>
    </row>
    <row r="394" spans="4:65" s="640" customFormat="1" hidden="1">
      <c r="D394" s="641"/>
      <c r="G394" s="642"/>
      <c r="J394" s="642"/>
      <c r="K394" s="643"/>
      <c r="M394" s="644"/>
      <c r="N394" s="642"/>
      <c r="Q394" s="642"/>
      <c r="T394" s="642"/>
      <c r="U394" s="643"/>
      <c r="W394" s="645"/>
      <c r="X394" s="1066"/>
      <c r="Y394" s="646"/>
      <c r="Z394" s="673"/>
      <c r="AA394" s="646"/>
      <c r="AB394" s="646"/>
      <c r="AC394" s="646"/>
      <c r="AD394" s="646"/>
      <c r="AE394" s="646"/>
      <c r="AF394" s="646"/>
      <c r="AG394" s="646"/>
      <c r="AH394" s="646"/>
      <c r="AI394" s="646"/>
      <c r="AJ394" s="646"/>
      <c r="AK394" s="646"/>
      <c r="AL394" s="646"/>
      <c r="AM394" s="646"/>
      <c r="AN394" s="646"/>
      <c r="AO394" s="646"/>
      <c r="AP394" s="646"/>
      <c r="AQ394" s="646"/>
      <c r="AR394" s="646"/>
      <c r="AS394" s="646"/>
      <c r="AT394" s="646"/>
      <c r="AU394" s="645"/>
      <c r="AV394" s="645"/>
      <c r="AW394" s="645"/>
      <c r="AX394" s="645"/>
      <c r="AY394" s="646"/>
      <c r="AZ394" s="646"/>
      <c r="BA394" s="646"/>
      <c r="BB394" s="646"/>
      <c r="BC394" s="646"/>
      <c r="BD394" s="646"/>
      <c r="BE394" s="646"/>
      <c r="BF394" s="646"/>
      <c r="BG394" s="646"/>
      <c r="BH394" s="646"/>
      <c r="BI394" s="647"/>
      <c r="BJ394" s="647"/>
      <c r="BK394" s="647"/>
      <c r="BL394" s="647"/>
      <c r="BM394" s="647"/>
    </row>
    <row r="395" spans="4:65" s="640" customFormat="1" hidden="1">
      <c r="D395" s="641"/>
      <c r="G395" s="642"/>
      <c r="J395" s="642"/>
      <c r="K395" s="643"/>
      <c r="M395" s="644"/>
      <c r="N395" s="642"/>
      <c r="Q395" s="642"/>
      <c r="T395" s="642"/>
      <c r="U395" s="643"/>
      <c r="W395" s="645"/>
      <c r="X395" s="1066"/>
      <c r="Y395" s="646"/>
      <c r="Z395" s="673"/>
      <c r="AA395" s="646"/>
      <c r="AB395" s="646"/>
      <c r="AC395" s="646"/>
      <c r="AD395" s="646"/>
      <c r="AE395" s="646"/>
      <c r="AF395" s="646"/>
      <c r="AG395" s="646"/>
      <c r="AH395" s="646"/>
      <c r="AI395" s="646"/>
      <c r="AJ395" s="646"/>
      <c r="AK395" s="646"/>
      <c r="AL395" s="646"/>
      <c r="AM395" s="646"/>
      <c r="AN395" s="646"/>
      <c r="AO395" s="646"/>
      <c r="AP395" s="646"/>
      <c r="AQ395" s="646"/>
      <c r="AR395" s="646"/>
      <c r="AS395" s="646"/>
      <c r="AT395" s="646"/>
      <c r="AU395" s="645"/>
      <c r="AV395" s="645"/>
      <c r="AW395" s="645"/>
      <c r="AX395" s="645"/>
      <c r="AY395" s="646"/>
      <c r="AZ395" s="646"/>
      <c r="BA395" s="646"/>
      <c r="BB395" s="646"/>
      <c r="BC395" s="646"/>
      <c r="BD395" s="646"/>
      <c r="BE395" s="646"/>
      <c r="BF395" s="646"/>
      <c r="BG395" s="646"/>
      <c r="BH395" s="646"/>
      <c r="BI395" s="647"/>
      <c r="BJ395" s="647"/>
      <c r="BK395" s="647"/>
      <c r="BL395" s="647"/>
      <c r="BM395" s="647"/>
    </row>
    <row r="396" spans="4:65" s="640" customFormat="1" hidden="1">
      <c r="D396" s="641"/>
      <c r="G396" s="642"/>
      <c r="J396" s="642"/>
      <c r="K396" s="643"/>
      <c r="M396" s="644"/>
      <c r="N396" s="642"/>
      <c r="Q396" s="642"/>
      <c r="T396" s="642"/>
      <c r="U396" s="643"/>
      <c r="W396" s="645"/>
      <c r="X396" s="1066"/>
      <c r="Y396" s="646"/>
      <c r="Z396" s="673"/>
      <c r="AA396" s="646"/>
      <c r="AB396" s="646"/>
      <c r="AC396" s="646"/>
      <c r="AD396" s="646"/>
      <c r="AE396" s="646"/>
      <c r="AF396" s="646"/>
      <c r="AG396" s="646"/>
      <c r="AH396" s="646"/>
      <c r="AI396" s="646"/>
      <c r="AJ396" s="646"/>
      <c r="AK396" s="646"/>
      <c r="AL396" s="646"/>
      <c r="AM396" s="646"/>
      <c r="AN396" s="646"/>
      <c r="AO396" s="646"/>
      <c r="AP396" s="646"/>
      <c r="AQ396" s="646"/>
      <c r="AR396" s="646"/>
      <c r="AS396" s="646"/>
      <c r="AT396" s="646"/>
      <c r="AU396" s="645"/>
      <c r="AV396" s="645"/>
      <c r="AW396" s="645"/>
      <c r="AX396" s="645"/>
      <c r="AY396" s="646"/>
      <c r="AZ396" s="646"/>
      <c r="BA396" s="646"/>
      <c r="BB396" s="646"/>
      <c r="BC396" s="646"/>
      <c r="BD396" s="646"/>
      <c r="BE396" s="646"/>
      <c r="BF396" s="646"/>
      <c r="BG396" s="646"/>
      <c r="BH396" s="646"/>
      <c r="BI396" s="647"/>
      <c r="BJ396" s="647"/>
      <c r="BK396" s="647"/>
      <c r="BL396" s="647"/>
      <c r="BM396" s="647"/>
    </row>
    <row r="397" spans="4:65" s="640" customFormat="1" hidden="1">
      <c r="D397" s="641"/>
      <c r="G397" s="642"/>
      <c r="J397" s="642"/>
      <c r="K397" s="643"/>
      <c r="M397" s="644"/>
      <c r="N397" s="642"/>
      <c r="Q397" s="642"/>
      <c r="T397" s="642"/>
      <c r="U397" s="643"/>
      <c r="W397" s="645"/>
      <c r="X397" s="1066"/>
      <c r="Y397" s="646"/>
      <c r="Z397" s="673"/>
      <c r="AA397" s="646"/>
      <c r="AB397" s="646"/>
      <c r="AC397" s="646"/>
      <c r="AD397" s="646"/>
      <c r="AE397" s="646"/>
      <c r="AF397" s="646"/>
      <c r="AG397" s="646"/>
      <c r="AH397" s="646"/>
      <c r="AI397" s="646"/>
      <c r="AJ397" s="646"/>
      <c r="AK397" s="646"/>
      <c r="AL397" s="646"/>
      <c r="AM397" s="646"/>
      <c r="AN397" s="646"/>
      <c r="AO397" s="646"/>
      <c r="AP397" s="646"/>
      <c r="AQ397" s="646"/>
      <c r="AR397" s="646"/>
      <c r="AS397" s="646"/>
      <c r="AT397" s="646"/>
      <c r="AU397" s="645"/>
      <c r="AV397" s="645"/>
      <c r="AW397" s="645"/>
      <c r="AX397" s="645"/>
      <c r="AY397" s="646"/>
      <c r="AZ397" s="646"/>
      <c r="BA397" s="646"/>
      <c r="BB397" s="646"/>
      <c r="BC397" s="646"/>
      <c r="BD397" s="646"/>
      <c r="BE397" s="646"/>
      <c r="BF397" s="646"/>
      <c r="BG397" s="646"/>
      <c r="BH397" s="646"/>
      <c r="BI397" s="647"/>
      <c r="BJ397" s="647"/>
      <c r="BK397" s="647"/>
      <c r="BL397" s="647"/>
      <c r="BM397" s="647"/>
    </row>
    <row r="398" spans="4:65" s="640" customFormat="1" hidden="1">
      <c r="D398" s="641"/>
      <c r="G398" s="642"/>
      <c r="J398" s="642"/>
      <c r="K398" s="643"/>
      <c r="M398" s="644"/>
      <c r="N398" s="642"/>
      <c r="Q398" s="642"/>
      <c r="T398" s="642"/>
      <c r="U398" s="643"/>
      <c r="W398" s="645"/>
      <c r="X398" s="1066"/>
      <c r="Y398" s="646"/>
      <c r="Z398" s="673"/>
      <c r="AA398" s="646"/>
      <c r="AB398" s="646"/>
      <c r="AC398" s="646"/>
      <c r="AD398" s="646"/>
      <c r="AE398" s="646"/>
      <c r="AF398" s="646"/>
      <c r="AG398" s="646"/>
      <c r="AH398" s="646"/>
      <c r="AI398" s="646"/>
      <c r="AJ398" s="646"/>
      <c r="AK398" s="646"/>
      <c r="AL398" s="646"/>
      <c r="AM398" s="646"/>
      <c r="AN398" s="646"/>
      <c r="AO398" s="646"/>
      <c r="AP398" s="646"/>
      <c r="AQ398" s="646"/>
      <c r="AR398" s="646"/>
      <c r="AS398" s="646"/>
      <c r="AT398" s="646"/>
      <c r="AU398" s="645"/>
      <c r="AV398" s="645"/>
      <c r="AW398" s="645"/>
      <c r="AX398" s="645"/>
      <c r="AY398" s="646"/>
      <c r="AZ398" s="646"/>
      <c r="BA398" s="646"/>
      <c r="BB398" s="646"/>
      <c r="BC398" s="646"/>
      <c r="BD398" s="646"/>
      <c r="BE398" s="646"/>
      <c r="BF398" s="646"/>
      <c r="BG398" s="646"/>
      <c r="BH398" s="646"/>
      <c r="BI398" s="647"/>
      <c r="BJ398" s="647"/>
      <c r="BK398" s="647"/>
      <c r="BL398" s="647"/>
      <c r="BM398" s="647"/>
    </row>
    <row r="399" spans="4:65" s="640" customFormat="1" hidden="1">
      <c r="D399" s="641"/>
      <c r="G399" s="642"/>
      <c r="J399" s="642"/>
      <c r="K399" s="643"/>
      <c r="M399" s="644"/>
      <c r="N399" s="642"/>
      <c r="Q399" s="642"/>
      <c r="T399" s="642"/>
      <c r="U399" s="643"/>
      <c r="W399" s="645"/>
      <c r="X399" s="1066"/>
      <c r="Y399" s="646"/>
      <c r="Z399" s="673"/>
      <c r="AA399" s="646"/>
      <c r="AB399" s="646"/>
      <c r="AC399" s="646"/>
      <c r="AD399" s="646"/>
      <c r="AE399" s="646"/>
      <c r="AF399" s="646"/>
      <c r="AG399" s="646"/>
      <c r="AH399" s="646"/>
      <c r="AI399" s="646"/>
      <c r="AJ399" s="646"/>
      <c r="AK399" s="646"/>
      <c r="AL399" s="646"/>
      <c r="AM399" s="646"/>
      <c r="AN399" s="646"/>
      <c r="AO399" s="646"/>
      <c r="AP399" s="646"/>
      <c r="AQ399" s="646"/>
      <c r="AR399" s="646"/>
      <c r="AS399" s="646"/>
      <c r="AT399" s="646"/>
      <c r="AU399" s="645"/>
      <c r="AV399" s="645"/>
      <c r="AW399" s="645"/>
      <c r="AX399" s="645"/>
      <c r="AY399" s="646"/>
      <c r="AZ399" s="646"/>
      <c r="BA399" s="646"/>
      <c r="BB399" s="646"/>
      <c r="BC399" s="646"/>
      <c r="BD399" s="646"/>
      <c r="BE399" s="646"/>
      <c r="BF399" s="646"/>
      <c r="BG399" s="646"/>
      <c r="BH399" s="646"/>
      <c r="BI399" s="647"/>
      <c r="BJ399" s="647"/>
      <c r="BK399" s="647"/>
      <c r="BL399" s="647"/>
      <c r="BM399" s="647"/>
    </row>
    <row r="400" spans="4:65" s="640" customFormat="1" hidden="1">
      <c r="D400" s="641"/>
      <c r="G400" s="642"/>
      <c r="J400" s="642"/>
      <c r="K400" s="643"/>
      <c r="M400" s="644"/>
      <c r="N400" s="642"/>
      <c r="Q400" s="642"/>
      <c r="T400" s="642"/>
      <c r="U400" s="643"/>
      <c r="W400" s="645"/>
      <c r="X400" s="1066"/>
      <c r="Y400" s="646"/>
      <c r="Z400" s="673"/>
      <c r="AA400" s="646"/>
      <c r="AB400" s="646"/>
      <c r="AC400" s="646"/>
      <c r="AD400" s="646"/>
      <c r="AE400" s="646"/>
      <c r="AF400" s="646"/>
      <c r="AG400" s="646"/>
      <c r="AH400" s="646"/>
      <c r="AI400" s="646"/>
      <c r="AJ400" s="646"/>
      <c r="AK400" s="646"/>
      <c r="AL400" s="646"/>
      <c r="AM400" s="646"/>
      <c r="AN400" s="646"/>
      <c r="AO400" s="646"/>
      <c r="AP400" s="646"/>
      <c r="AQ400" s="646"/>
      <c r="AR400" s="646"/>
      <c r="AS400" s="646"/>
      <c r="AT400" s="646"/>
      <c r="AU400" s="645"/>
      <c r="AV400" s="645"/>
      <c r="AW400" s="645"/>
      <c r="AX400" s="645"/>
      <c r="AY400" s="646"/>
      <c r="AZ400" s="646"/>
      <c r="BA400" s="646"/>
      <c r="BB400" s="646"/>
      <c r="BC400" s="646"/>
      <c r="BD400" s="646"/>
      <c r="BE400" s="646"/>
      <c r="BF400" s="646"/>
      <c r="BG400" s="646"/>
      <c r="BH400" s="646"/>
      <c r="BI400" s="647"/>
      <c r="BJ400" s="647"/>
      <c r="BK400" s="647"/>
      <c r="BL400" s="647"/>
      <c r="BM400" s="647"/>
    </row>
    <row r="401" spans="4:65" s="640" customFormat="1" hidden="1">
      <c r="D401" s="641"/>
      <c r="G401" s="642"/>
      <c r="J401" s="642"/>
      <c r="K401" s="643"/>
      <c r="M401" s="644"/>
      <c r="N401" s="642"/>
      <c r="Q401" s="642"/>
      <c r="T401" s="642"/>
      <c r="U401" s="643"/>
      <c r="W401" s="645"/>
      <c r="X401" s="1066"/>
      <c r="Y401" s="646"/>
      <c r="Z401" s="673"/>
      <c r="AA401" s="646"/>
      <c r="AB401" s="646"/>
      <c r="AC401" s="646"/>
      <c r="AD401" s="646"/>
      <c r="AE401" s="646"/>
      <c r="AF401" s="646"/>
      <c r="AG401" s="646"/>
      <c r="AH401" s="646"/>
      <c r="AI401" s="646"/>
      <c r="AJ401" s="646"/>
      <c r="AK401" s="646"/>
      <c r="AL401" s="646"/>
      <c r="AM401" s="646"/>
      <c r="AN401" s="646"/>
      <c r="AO401" s="646"/>
      <c r="AP401" s="646"/>
      <c r="AQ401" s="646"/>
      <c r="AR401" s="646"/>
      <c r="AS401" s="646"/>
      <c r="AT401" s="646"/>
      <c r="AU401" s="645"/>
      <c r="AV401" s="645"/>
      <c r="AW401" s="645"/>
      <c r="AX401" s="645"/>
      <c r="AY401" s="646"/>
      <c r="AZ401" s="646"/>
      <c r="BA401" s="646"/>
      <c r="BB401" s="646"/>
      <c r="BC401" s="646"/>
      <c r="BD401" s="646"/>
      <c r="BE401" s="646"/>
      <c r="BF401" s="646"/>
      <c r="BG401" s="646"/>
      <c r="BH401" s="646"/>
      <c r="BI401" s="647"/>
      <c r="BJ401" s="647"/>
      <c r="BK401" s="647"/>
      <c r="BL401" s="647"/>
      <c r="BM401" s="647"/>
    </row>
    <row r="402" spans="4:65" s="640" customFormat="1" hidden="1">
      <c r="D402" s="641"/>
      <c r="G402" s="642"/>
      <c r="J402" s="642"/>
      <c r="K402" s="643"/>
      <c r="M402" s="644"/>
      <c r="N402" s="642"/>
      <c r="Q402" s="642"/>
      <c r="T402" s="642"/>
      <c r="U402" s="643"/>
      <c r="W402" s="645"/>
      <c r="X402" s="1066"/>
      <c r="Y402" s="646"/>
      <c r="Z402" s="673"/>
      <c r="AA402" s="646"/>
      <c r="AB402" s="646"/>
      <c r="AC402" s="646"/>
      <c r="AD402" s="646"/>
      <c r="AE402" s="646"/>
      <c r="AF402" s="646"/>
      <c r="AG402" s="646"/>
      <c r="AH402" s="646"/>
      <c r="AI402" s="646"/>
      <c r="AJ402" s="646"/>
      <c r="AK402" s="646"/>
      <c r="AL402" s="646"/>
      <c r="AM402" s="646"/>
      <c r="AN402" s="646"/>
      <c r="AO402" s="646"/>
      <c r="AP402" s="646"/>
      <c r="AQ402" s="646"/>
      <c r="AR402" s="646"/>
      <c r="AS402" s="646"/>
      <c r="AT402" s="646"/>
      <c r="AU402" s="645"/>
      <c r="AV402" s="645"/>
      <c r="AW402" s="645"/>
      <c r="AX402" s="645"/>
      <c r="AY402" s="646"/>
      <c r="AZ402" s="646"/>
      <c r="BA402" s="646"/>
      <c r="BB402" s="646"/>
      <c r="BC402" s="646"/>
      <c r="BD402" s="646"/>
      <c r="BE402" s="646"/>
      <c r="BF402" s="646"/>
      <c r="BG402" s="646"/>
      <c r="BH402" s="646"/>
      <c r="BI402" s="647"/>
      <c r="BJ402" s="647"/>
      <c r="BK402" s="647"/>
      <c r="BL402" s="647"/>
      <c r="BM402" s="647"/>
    </row>
    <row r="403" spans="4:65" s="640" customFormat="1" hidden="1">
      <c r="D403" s="641"/>
      <c r="G403" s="642"/>
      <c r="J403" s="642"/>
      <c r="K403" s="643"/>
      <c r="M403" s="644"/>
      <c r="N403" s="642"/>
      <c r="Q403" s="642"/>
      <c r="T403" s="642"/>
      <c r="U403" s="643"/>
      <c r="W403" s="645"/>
      <c r="X403" s="1066"/>
      <c r="Y403" s="646"/>
      <c r="Z403" s="673"/>
      <c r="AA403" s="646"/>
      <c r="AB403" s="646"/>
      <c r="AC403" s="646"/>
      <c r="AD403" s="646"/>
      <c r="AE403" s="646"/>
      <c r="AF403" s="646"/>
      <c r="AG403" s="646"/>
      <c r="AH403" s="646"/>
      <c r="AI403" s="646"/>
      <c r="AJ403" s="646"/>
      <c r="AK403" s="646"/>
      <c r="AL403" s="646"/>
      <c r="AM403" s="646"/>
      <c r="AN403" s="646"/>
      <c r="AO403" s="646"/>
      <c r="AP403" s="646"/>
      <c r="AQ403" s="646"/>
      <c r="AR403" s="646"/>
      <c r="AS403" s="646"/>
      <c r="AT403" s="646"/>
      <c r="AU403" s="645"/>
      <c r="AV403" s="645"/>
      <c r="AW403" s="645"/>
      <c r="AX403" s="645"/>
      <c r="AY403" s="646"/>
      <c r="AZ403" s="646"/>
      <c r="BA403" s="646"/>
      <c r="BB403" s="646"/>
      <c r="BC403" s="646"/>
      <c r="BD403" s="646"/>
      <c r="BE403" s="646"/>
      <c r="BF403" s="646"/>
      <c r="BG403" s="646"/>
      <c r="BH403" s="646"/>
      <c r="BI403" s="647"/>
      <c r="BJ403" s="647"/>
      <c r="BK403" s="647"/>
      <c r="BL403" s="647"/>
      <c r="BM403" s="647"/>
    </row>
    <row r="404" spans="4:65" s="640" customFormat="1" hidden="1">
      <c r="D404" s="641"/>
      <c r="G404" s="642"/>
      <c r="J404" s="642"/>
      <c r="K404" s="643"/>
      <c r="M404" s="644"/>
      <c r="N404" s="642"/>
      <c r="Q404" s="642"/>
      <c r="T404" s="642"/>
      <c r="U404" s="643"/>
      <c r="W404" s="645"/>
      <c r="X404" s="1066"/>
      <c r="Y404" s="646"/>
      <c r="Z404" s="673"/>
      <c r="AA404" s="646"/>
      <c r="AB404" s="646"/>
      <c r="AC404" s="646"/>
      <c r="AD404" s="646"/>
      <c r="AE404" s="646"/>
      <c r="AF404" s="646"/>
      <c r="AG404" s="646"/>
      <c r="AH404" s="646"/>
      <c r="AI404" s="646"/>
      <c r="AJ404" s="646"/>
      <c r="AK404" s="646"/>
      <c r="AL404" s="646"/>
      <c r="AM404" s="646"/>
      <c r="AN404" s="646"/>
      <c r="AO404" s="646"/>
      <c r="AP404" s="646"/>
      <c r="AQ404" s="646"/>
      <c r="AR404" s="646"/>
      <c r="AS404" s="646"/>
      <c r="AT404" s="646"/>
      <c r="AU404" s="645"/>
      <c r="AV404" s="645"/>
      <c r="AW404" s="645"/>
      <c r="AX404" s="645"/>
      <c r="AY404" s="646"/>
      <c r="AZ404" s="646"/>
      <c r="BA404" s="646"/>
      <c r="BB404" s="646"/>
      <c r="BC404" s="646"/>
      <c r="BD404" s="646"/>
      <c r="BE404" s="646"/>
      <c r="BF404" s="646"/>
      <c r="BG404" s="646"/>
      <c r="BH404" s="646"/>
      <c r="BI404" s="647"/>
      <c r="BJ404" s="647"/>
      <c r="BK404" s="647"/>
      <c r="BL404" s="647"/>
      <c r="BM404" s="647"/>
    </row>
    <row r="405" spans="4:65" s="640" customFormat="1" hidden="1">
      <c r="D405" s="641"/>
      <c r="G405" s="642"/>
      <c r="J405" s="642"/>
      <c r="K405" s="643"/>
      <c r="M405" s="644"/>
      <c r="N405" s="642"/>
      <c r="Q405" s="642"/>
      <c r="T405" s="642"/>
      <c r="U405" s="643"/>
      <c r="W405" s="645"/>
      <c r="X405" s="1066"/>
      <c r="Y405" s="646"/>
      <c r="Z405" s="673"/>
      <c r="AA405" s="646"/>
      <c r="AB405" s="646"/>
      <c r="AC405" s="646"/>
      <c r="AD405" s="646"/>
      <c r="AE405" s="646"/>
      <c r="AF405" s="646"/>
      <c r="AG405" s="646"/>
      <c r="AH405" s="646"/>
      <c r="AI405" s="646"/>
      <c r="AJ405" s="646"/>
      <c r="AK405" s="646"/>
      <c r="AL405" s="646"/>
      <c r="AM405" s="646"/>
      <c r="AN405" s="646"/>
      <c r="AO405" s="646"/>
      <c r="AP405" s="646"/>
      <c r="AQ405" s="646"/>
      <c r="AR405" s="646"/>
      <c r="AS405" s="646"/>
      <c r="AT405" s="646"/>
      <c r="AU405" s="645"/>
      <c r="AV405" s="645"/>
      <c r="AW405" s="645"/>
      <c r="AX405" s="645"/>
      <c r="AY405" s="646"/>
      <c r="AZ405" s="646"/>
      <c r="BA405" s="646"/>
      <c r="BB405" s="646"/>
      <c r="BC405" s="646"/>
      <c r="BD405" s="646"/>
      <c r="BE405" s="646"/>
      <c r="BF405" s="646"/>
      <c r="BG405" s="646"/>
      <c r="BH405" s="646"/>
      <c r="BI405" s="647"/>
      <c r="BJ405" s="647"/>
      <c r="BK405" s="647"/>
      <c r="BL405" s="647"/>
      <c r="BM405" s="647"/>
    </row>
    <row r="406" spans="4:65" s="640" customFormat="1" hidden="1">
      <c r="D406" s="641"/>
      <c r="G406" s="642"/>
      <c r="J406" s="642"/>
      <c r="K406" s="643"/>
      <c r="M406" s="644"/>
      <c r="N406" s="642"/>
      <c r="Q406" s="642"/>
      <c r="T406" s="642"/>
      <c r="U406" s="643"/>
      <c r="W406" s="645"/>
      <c r="X406" s="1066"/>
      <c r="Y406" s="646"/>
      <c r="Z406" s="673"/>
      <c r="AA406" s="646"/>
      <c r="AB406" s="646"/>
      <c r="AC406" s="646"/>
      <c r="AD406" s="646"/>
      <c r="AE406" s="646"/>
      <c r="AF406" s="646"/>
      <c r="AG406" s="646"/>
      <c r="AH406" s="646"/>
      <c r="AI406" s="646"/>
      <c r="AJ406" s="646"/>
      <c r="AK406" s="646"/>
      <c r="AL406" s="646"/>
      <c r="AM406" s="646"/>
      <c r="AN406" s="646"/>
      <c r="AO406" s="646"/>
      <c r="AP406" s="646"/>
      <c r="AQ406" s="646"/>
      <c r="AR406" s="646"/>
      <c r="AS406" s="646"/>
      <c r="AT406" s="646"/>
      <c r="AU406" s="645"/>
      <c r="AV406" s="645"/>
      <c r="AW406" s="645"/>
      <c r="AX406" s="645"/>
      <c r="AY406" s="646"/>
      <c r="AZ406" s="646"/>
      <c r="BA406" s="646"/>
      <c r="BB406" s="646"/>
      <c r="BC406" s="646"/>
      <c r="BD406" s="646"/>
      <c r="BE406" s="646"/>
      <c r="BF406" s="646"/>
      <c r="BG406" s="646"/>
      <c r="BH406" s="646"/>
      <c r="BI406" s="647"/>
      <c r="BJ406" s="647"/>
      <c r="BK406" s="647"/>
      <c r="BL406" s="647"/>
      <c r="BM406" s="647"/>
    </row>
    <row r="407" spans="4:65" s="640" customFormat="1" hidden="1">
      <c r="D407" s="641"/>
      <c r="G407" s="642"/>
      <c r="J407" s="642"/>
      <c r="K407" s="643"/>
      <c r="M407" s="644"/>
      <c r="N407" s="642"/>
      <c r="Q407" s="642"/>
      <c r="T407" s="642"/>
      <c r="U407" s="643"/>
      <c r="W407" s="645"/>
      <c r="X407" s="1066"/>
      <c r="Y407" s="646"/>
      <c r="Z407" s="673"/>
      <c r="AA407" s="646"/>
      <c r="AB407" s="646"/>
      <c r="AC407" s="646"/>
      <c r="AD407" s="646"/>
      <c r="AE407" s="646"/>
      <c r="AF407" s="646"/>
      <c r="AG407" s="646"/>
      <c r="AH407" s="646"/>
      <c r="AI407" s="646"/>
      <c r="AJ407" s="646"/>
      <c r="AK407" s="646"/>
      <c r="AL407" s="646"/>
      <c r="AM407" s="646"/>
      <c r="AN407" s="646"/>
      <c r="AO407" s="646"/>
      <c r="AP407" s="646"/>
      <c r="AQ407" s="646"/>
      <c r="AR407" s="646"/>
      <c r="AS407" s="646"/>
      <c r="AT407" s="646"/>
      <c r="AU407" s="645"/>
      <c r="AV407" s="645"/>
      <c r="AW407" s="645"/>
      <c r="AX407" s="645"/>
      <c r="AY407" s="646"/>
      <c r="AZ407" s="646"/>
      <c r="BA407" s="646"/>
      <c r="BB407" s="646"/>
      <c r="BC407" s="646"/>
      <c r="BD407" s="646"/>
      <c r="BE407" s="646"/>
      <c r="BF407" s="646"/>
      <c r="BG407" s="646"/>
      <c r="BH407" s="646"/>
      <c r="BI407" s="647"/>
      <c r="BJ407" s="647"/>
      <c r="BK407" s="647"/>
      <c r="BL407" s="647"/>
      <c r="BM407" s="647"/>
    </row>
    <row r="408" spans="4:65" s="640" customFormat="1" hidden="1">
      <c r="D408" s="641"/>
      <c r="G408" s="642"/>
      <c r="J408" s="642"/>
      <c r="K408" s="643"/>
      <c r="M408" s="644"/>
      <c r="N408" s="642"/>
      <c r="Q408" s="642"/>
      <c r="T408" s="642"/>
      <c r="U408" s="643"/>
      <c r="W408" s="645"/>
      <c r="X408" s="1066"/>
      <c r="Y408" s="646"/>
      <c r="Z408" s="673"/>
      <c r="AA408" s="646"/>
      <c r="AB408" s="646"/>
      <c r="AC408" s="646"/>
      <c r="AD408" s="646"/>
      <c r="AE408" s="646"/>
      <c r="AF408" s="646"/>
      <c r="AG408" s="646"/>
      <c r="AH408" s="646"/>
      <c r="AI408" s="646"/>
      <c r="AJ408" s="646"/>
      <c r="AK408" s="646"/>
      <c r="AL408" s="646"/>
      <c r="AM408" s="646"/>
      <c r="AN408" s="646"/>
      <c r="AO408" s="646"/>
      <c r="AP408" s="646"/>
      <c r="AQ408" s="646"/>
      <c r="AR408" s="646"/>
      <c r="AS408" s="646"/>
      <c r="AT408" s="646"/>
      <c r="AU408" s="645"/>
      <c r="AV408" s="645"/>
      <c r="AW408" s="645"/>
      <c r="AX408" s="645"/>
      <c r="AY408" s="646"/>
      <c r="AZ408" s="646"/>
      <c r="BA408" s="646"/>
      <c r="BB408" s="646"/>
      <c r="BC408" s="646"/>
      <c r="BD408" s="646"/>
      <c r="BE408" s="646"/>
      <c r="BF408" s="646"/>
      <c r="BG408" s="646"/>
      <c r="BH408" s="646"/>
      <c r="BI408" s="647"/>
      <c r="BJ408" s="647"/>
      <c r="BK408" s="647"/>
      <c r="BL408" s="647"/>
      <c r="BM408" s="647"/>
    </row>
    <row r="409" spans="4:65" s="640" customFormat="1" hidden="1">
      <c r="D409" s="641"/>
      <c r="G409" s="642"/>
      <c r="J409" s="642"/>
      <c r="K409" s="643"/>
      <c r="M409" s="644"/>
      <c r="N409" s="642"/>
      <c r="Q409" s="642"/>
      <c r="T409" s="642"/>
      <c r="U409" s="643"/>
      <c r="W409" s="645"/>
      <c r="X409" s="1066"/>
      <c r="Y409" s="646"/>
      <c r="Z409" s="673"/>
      <c r="AA409" s="646"/>
      <c r="AB409" s="646"/>
      <c r="AC409" s="646"/>
      <c r="AD409" s="646"/>
      <c r="AE409" s="646"/>
      <c r="AF409" s="646"/>
      <c r="AG409" s="646"/>
      <c r="AH409" s="646"/>
      <c r="AI409" s="646"/>
      <c r="AJ409" s="646"/>
      <c r="AK409" s="646"/>
      <c r="AL409" s="646"/>
      <c r="AM409" s="646"/>
      <c r="AN409" s="646"/>
      <c r="AO409" s="646"/>
      <c r="AP409" s="646"/>
      <c r="AQ409" s="646"/>
      <c r="AR409" s="646"/>
      <c r="AS409" s="646"/>
      <c r="AT409" s="646"/>
      <c r="AU409" s="645"/>
      <c r="AV409" s="645"/>
      <c r="AW409" s="645"/>
      <c r="AX409" s="645"/>
      <c r="AY409" s="646"/>
      <c r="AZ409" s="646"/>
      <c r="BA409" s="646"/>
      <c r="BB409" s="646"/>
      <c r="BC409" s="646"/>
      <c r="BD409" s="646"/>
      <c r="BE409" s="646"/>
      <c r="BF409" s="646"/>
      <c r="BG409" s="646"/>
      <c r="BH409" s="646"/>
      <c r="BI409" s="647"/>
      <c r="BJ409" s="647"/>
      <c r="BK409" s="647"/>
      <c r="BL409" s="647"/>
      <c r="BM409" s="647"/>
    </row>
    <row r="410" spans="4:65" s="640" customFormat="1" hidden="1">
      <c r="D410" s="641"/>
      <c r="G410" s="642"/>
      <c r="J410" s="642"/>
      <c r="K410" s="643"/>
      <c r="M410" s="644"/>
      <c r="N410" s="642"/>
      <c r="Q410" s="642"/>
      <c r="T410" s="642"/>
      <c r="U410" s="643"/>
      <c r="W410" s="645"/>
      <c r="X410" s="1066"/>
      <c r="Y410" s="646"/>
      <c r="Z410" s="673"/>
      <c r="AA410" s="646"/>
      <c r="AB410" s="646"/>
      <c r="AC410" s="646"/>
      <c r="AD410" s="646"/>
      <c r="AE410" s="646"/>
      <c r="AF410" s="646"/>
      <c r="AG410" s="646"/>
      <c r="AH410" s="646"/>
      <c r="AI410" s="646"/>
      <c r="AJ410" s="646"/>
      <c r="AK410" s="646"/>
      <c r="AL410" s="646"/>
      <c r="AM410" s="646"/>
      <c r="AN410" s="646"/>
      <c r="AO410" s="646"/>
      <c r="AP410" s="646"/>
      <c r="AQ410" s="646"/>
      <c r="AR410" s="646"/>
      <c r="AS410" s="646"/>
      <c r="AT410" s="646"/>
      <c r="AU410" s="645"/>
      <c r="AV410" s="645"/>
      <c r="AW410" s="645"/>
      <c r="AX410" s="645"/>
      <c r="AY410" s="646"/>
      <c r="AZ410" s="646"/>
      <c r="BA410" s="646"/>
      <c r="BB410" s="646"/>
      <c r="BC410" s="646"/>
      <c r="BD410" s="646"/>
      <c r="BE410" s="646"/>
      <c r="BF410" s="646"/>
      <c r="BG410" s="646"/>
      <c r="BH410" s="646"/>
      <c r="BI410" s="647"/>
      <c r="BJ410" s="647"/>
      <c r="BK410" s="647"/>
      <c r="BL410" s="647"/>
      <c r="BM410" s="647"/>
    </row>
    <row r="411" spans="4:65" s="640" customFormat="1" hidden="1">
      <c r="D411" s="641"/>
      <c r="G411" s="642"/>
      <c r="J411" s="642"/>
      <c r="K411" s="643"/>
      <c r="M411" s="644"/>
      <c r="N411" s="642"/>
      <c r="Q411" s="642"/>
      <c r="T411" s="642"/>
      <c r="U411" s="643"/>
      <c r="W411" s="645"/>
      <c r="X411" s="1066"/>
      <c r="Y411" s="646"/>
      <c r="Z411" s="673"/>
      <c r="AA411" s="646"/>
      <c r="AB411" s="646"/>
      <c r="AC411" s="646"/>
      <c r="AD411" s="646"/>
      <c r="AE411" s="646"/>
      <c r="AF411" s="646"/>
      <c r="AG411" s="646"/>
      <c r="AH411" s="646"/>
      <c r="AI411" s="646"/>
      <c r="AJ411" s="646"/>
      <c r="AK411" s="646"/>
      <c r="AL411" s="646"/>
      <c r="AM411" s="646"/>
      <c r="AN411" s="646"/>
      <c r="AO411" s="646"/>
      <c r="AP411" s="646"/>
      <c r="AQ411" s="646"/>
      <c r="AR411" s="646"/>
      <c r="AS411" s="646"/>
      <c r="AT411" s="646"/>
      <c r="AU411" s="645"/>
      <c r="AV411" s="645"/>
      <c r="AW411" s="645"/>
      <c r="AX411" s="645"/>
      <c r="AY411" s="646"/>
      <c r="AZ411" s="646"/>
      <c r="BA411" s="646"/>
      <c r="BB411" s="646"/>
      <c r="BC411" s="646"/>
      <c r="BD411" s="646"/>
      <c r="BE411" s="646"/>
      <c r="BF411" s="646"/>
      <c r="BG411" s="646"/>
      <c r="BH411" s="646"/>
      <c r="BI411" s="647"/>
      <c r="BJ411" s="647"/>
      <c r="BK411" s="647"/>
      <c r="BL411" s="647"/>
      <c r="BM411" s="647"/>
    </row>
    <row r="412" spans="4:65" s="640" customFormat="1" hidden="1">
      <c r="D412" s="641"/>
      <c r="G412" s="642"/>
      <c r="J412" s="642"/>
      <c r="K412" s="643"/>
      <c r="M412" s="644"/>
      <c r="N412" s="642"/>
      <c r="Q412" s="642"/>
      <c r="T412" s="642"/>
      <c r="U412" s="643"/>
      <c r="W412" s="645"/>
      <c r="X412" s="1066"/>
      <c r="Y412" s="646"/>
      <c r="Z412" s="673"/>
      <c r="AA412" s="646"/>
      <c r="AB412" s="646"/>
      <c r="AC412" s="646"/>
      <c r="AD412" s="646"/>
      <c r="AE412" s="646"/>
      <c r="AF412" s="646"/>
      <c r="AG412" s="646"/>
      <c r="AH412" s="646"/>
      <c r="AI412" s="646"/>
      <c r="AJ412" s="646"/>
      <c r="AK412" s="646"/>
      <c r="AL412" s="646"/>
      <c r="AM412" s="646"/>
      <c r="AN412" s="646"/>
      <c r="AO412" s="646"/>
      <c r="AP412" s="646"/>
      <c r="AQ412" s="646"/>
      <c r="AR412" s="646"/>
      <c r="AS412" s="646"/>
      <c r="AT412" s="646"/>
      <c r="AU412" s="645"/>
      <c r="AV412" s="645"/>
      <c r="AW412" s="645"/>
      <c r="AX412" s="645"/>
      <c r="AY412" s="646"/>
      <c r="AZ412" s="646"/>
      <c r="BA412" s="646"/>
      <c r="BB412" s="646"/>
      <c r="BC412" s="646"/>
      <c r="BD412" s="646"/>
      <c r="BE412" s="646"/>
      <c r="BF412" s="646"/>
      <c r="BG412" s="646"/>
      <c r="BH412" s="646"/>
      <c r="BI412" s="647"/>
      <c r="BJ412" s="647"/>
      <c r="BK412" s="647"/>
      <c r="BL412" s="647"/>
      <c r="BM412" s="647"/>
    </row>
    <row r="413" spans="4:65" s="640" customFormat="1" hidden="1">
      <c r="D413" s="641"/>
      <c r="G413" s="642"/>
      <c r="J413" s="642"/>
      <c r="K413" s="643"/>
      <c r="M413" s="644"/>
      <c r="N413" s="642"/>
      <c r="Q413" s="642"/>
      <c r="T413" s="642"/>
      <c r="U413" s="643"/>
      <c r="W413" s="645"/>
      <c r="X413" s="1066"/>
      <c r="Y413" s="646"/>
      <c r="Z413" s="673"/>
      <c r="AA413" s="646"/>
      <c r="AB413" s="646"/>
      <c r="AC413" s="646"/>
      <c r="AD413" s="646"/>
      <c r="AE413" s="646"/>
      <c r="AF413" s="646"/>
      <c r="AG413" s="646"/>
      <c r="AH413" s="646"/>
      <c r="AI413" s="646"/>
      <c r="AJ413" s="646"/>
      <c r="AK413" s="646"/>
      <c r="AL413" s="646"/>
      <c r="AM413" s="646"/>
      <c r="AN413" s="646"/>
      <c r="AO413" s="646"/>
      <c r="AP413" s="646"/>
      <c r="AQ413" s="646"/>
      <c r="AR413" s="646"/>
      <c r="AS413" s="646"/>
      <c r="AT413" s="646"/>
      <c r="AU413" s="645"/>
      <c r="AV413" s="645"/>
      <c r="AW413" s="645"/>
      <c r="AX413" s="645"/>
      <c r="AY413" s="646"/>
      <c r="AZ413" s="646"/>
      <c r="BA413" s="646"/>
      <c r="BB413" s="646"/>
      <c r="BC413" s="646"/>
      <c r="BD413" s="646"/>
      <c r="BE413" s="646"/>
      <c r="BF413" s="646"/>
      <c r="BG413" s="646"/>
      <c r="BH413" s="646"/>
      <c r="BI413" s="647"/>
      <c r="BJ413" s="647"/>
      <c r="BK413" s="647"/>
      <c r="BL413" s="647"/>
      <c r="BM413" s="647"/>
    </row>
    <row r="414" spans="4:65" s="640" customFormat="1" hidden="1">
      <c r="D414" s="641"/>
      <c r="G414" s="642"/>
      <c r="J414" s="642"/>
      <c r="K414" s="643"/>
      <c r="M414" s="644"/>
      <c r="N414" s="642"/>
      <c r="Q414" s="642"/>
      <c r="T414" s="642"/>
      <c r="U414" s="643"/>
      <c r="W414" s="645"/>
      <c r="X414" s="1066"/>
      <c r="Y414" s="646"/>
      <c r="Z414" s="673"/>
      <c r="AA414" s="646"/>
      <c r="AB414" s="646"/>
      <c r="AC414" s="646"/>
      <c r="AD414" s="646"/>
      <c r="AE414" s="646"/>
      <c r="AF414" s="646"/>
      <c r="AG414" s="646"/>
      <c r="AH414" s="646"/>
      <c r="AI414" s="646"/>
      <c r="AJ414" s="646"/>
      <c r="AK414" s="646"/>
      <c r="AL414" s="646"/>
      <c r="AM414" s="646"/>
      <c r="AN414" s="646"/>
      <c r="AO414" s="646"/>
      <c r="AP414" s="646"/>
      <c r="AQ414" s="646"/>
      <c r="AR414" s="646"/>
      <c r="AS414" s="646"/>
      <c r="AT414" s="646"/>
      <c r="AU414" s="645"/>
      <c r="AV414" s="645"/>
      <c r="AW414" s="645"/>
      <c r="AX414" s="645"/>
      <c r="AY414" s="646"/>
      <c r="AZ414" s="646"/>
      <c r="BA414" s="646"/>
      <c r="BB414" s="646"/>
      <c r="BC414" s="646"/>
      <c r="BD414" s="646"/>
      <c r="BE414" s="646"/>
      <c r="BF414" s="646"/>
      <c r="BG414" s="646"/>
      <c r="BH414" s="646"/>
      <c r="BI414" s="647"/>
      <c r="BJ414" s="647"/>
      <c r="BK414" s="647"/>
      <c r="BL414" s="647"/>
      <c r="BM414" s="647"/>
    </row>
    <row r="415" spans="4:65" s="640" customFormat="1" hidden="1">
      <c r="D415" s="641"/>
      <c r="G415" s="642"/>
      <c r="J415" s="642"/>
      <c r="K415" s="643"/>
      <c r="M415" s="644"/>
      <c r="N415" s="642"/>
      <c r="Q415" s="642"/>
      <c r="T415" s="642"/>
      <c r="U415" s="643"/>
      <c r="W415" s="645"/>
      <c r="X415" s="1066"/>
      <c r="Y415" s="646"/>
      <c r="Z415" s="673"/>
      <c r="AA415" s="646"/>
      <c r="AB415" s="646"/>
      <c r="AC415" s="646"/>
      <c r="AD415" s="646"/>
      <c r="AE415" s="646"/>
      <c r="AF415" s="646"/>
      <c r="AG415" s="646"/>
      <c r="AH415" s="646"/>
      <c r="AI415" s="646"/>
      <c r="AJ415" s="646"/>
      <c r="AK415" s="646"/>
      <c r="AL415" s="646"/>
      <c r="AM415" s="646"/>
      <c r="AN415" s="646"/>
      <c r="AO415" s="646"/>
      <c r="AP415" s="646"/>
      <c r="AQ415" s="646"/>
      <c r="AR415" s="646"/>
      <c r="AS415" s="646"/>
      <c r="AT415" s="646"/>
      <c r="AU415" s="645"/>
      <c r="AV415" s="645"/>
      <c r="AW415" s="645"/>
      <c r="AX415" s="645"/>
      <c r="AY415" s="646"/>
      <c r="AZ415" s="646"/>
      <c r="BA415" s="646"/>
      <c r="BB415" s="646"/>
      <c r="BC415" s="646"/>
      <c r="BD415" s="646"/>
      <c r="BE415" s="646"/>
      <c r="BF415" s="646"/>
      <c r="BG415" s="646"/>
      <c r="BH415" s="646"/>
      <c r="BI415" s="647"/>
      <c r="BJ415" s="647"/>
      <c r="BK415" s="647"/>
      <c r="BL415" s="647"/>
      <c r="BM415" s="647"/>
    </row>
    <row r="416" spans="4:65" s="640" customFormat="1" hidden="1">
      <c r="D416" s="641"/>
      <c r="G416" s="642"/>
      <c r="J416" s="642"/>
      <c r="K416" s="643"/>
      <c r="M416" s="644"/>
      <c r="N416" s="642"/>
      <c r="Q416" s="642"/>
      <c r="T416" s="642"/>
      <c r="U416" s="643"/>
      <c r="W416" s="645"/>
      <c r="X416" s="1066"/>
      <c r="Y416" s="646"/>
      <c r="Z416" s="673"/>
      <c r="AA416" s="646"/>
      <c r="AB416" s="646"/>
      <c r="AC416" s="646"/>
      <c r="AD416" s="646"/>
      <c r="AE416" s="646"/>
      <c r="AF416" s="646"/>
      <c r="AG416" s="646"/>
      <c r="AH416" s="646"/>
      <c r="AI416" s="646"/>
      <c r="AJ416" s="646"/>
      <c r="AK416" s="646"/>
      <c r="AL416" s="646"/>
      <c r="AM416" s="646"/>
      <c r="AN416" s="646"/>
      <c r="AO416" s="646"/>
      <c r="AP416" s="646"/>
      <c r="AQ416" s="646"/>
      <c r="AR416" s="646"/>
      <c r="AS416" s="646"/>
      <c r="AT416" s="646"/>
      <c r="AU416" s="645"/>
      <c r="AV416" s="645"/>
      <c r="AW416" s="645"/>
      <c r="AX416" s="645"/>
      <c r="AY416" s="646"/>
      <c r="AZ416" s="646"/>
      <c r="BA416" s="646"/>
      <c r="BB416" s="646"/>
      <c r="BC416" s="646"/>
      <c r="BD416" s="646"/>
      <c r="BE416" s="646"/>
      <c r="BF416" s="646"/>
      <c r="BG416" s="646"/>
      <c r="BH416" s="646"/>
      <c r="BI416" s="647"/>
      <c r="BJ416" s="647"/>
      <c r="BK416" s="647"/>
      <c r="BL416" s="647"/>
      <c r="BM416" s="647"/>
    </row>
    <row r="417" spans="4:65" s="640" customFormat="1" hidden="1">
      <c r="D417" s="641"/>
      <c r="G417" s="642"/>
      <c r="J417" s="642"/>
      <c r="K417" s="643"/>
      <c r="M417" s="644"/>
      <c r="N417" s="642"/>
      <c r="Q417" s="642"/>
      <c r="T417" s="642"/>
      <c r="U417" s="643"/>
      <c r="W417" s="645"/>
      <c r="X417" s="1066"/>
      <c r="Y417" s="646"/>
      <c r="Z417" s="673"/>
      <c r="AA417" s="646"/>
      <c r="AB417" s="646"/>
      <c r="AC417" s="646"/>
      <c r="AD417" s="646"/>
      <c r="AE417" s="646"/>
      <c r="AF417" s="646"/>
      <c r="AG417" s="646"/>
      <c r="AH417" s="646"/>
      <c r="AI417" s="646"/>
      <c r="AJ417" s="646"/>
      <c r="AK417" s="646"/>
      <c r="AL417" s="646"/>
      <c r="AM417" s="646"/>
      <c r="AN417" s="646"/>
      <c r="AO417" s="646"/>
      <c r="AP417" s="646"/>
      <c r="AQ417" s="646"/>
      <c r="AR417" s="646"/>
      <c r="AS417" s="646"/>
      <c r="AT417" s="646"/>
      <c r="AU417" s="645"/>
      <c r="AV417" s="645"/>
      <c r="AW417" s="645"/>
      <c r="AX417" s="645"/>
      <c r="AY417" s="646"/>
      <c r="AZ417" s="646"/>
      <c r="BA417" s="646"/>
      <c r="BB417" s="646"/>
      <c r="BC417" s="646"/>
      <c r="BD417" s="646"/>
      <c r="BE417" s="646"/>
      <c r="BF417" s="646"/>
      <c r="BG417" s="646"/>
      <c r="BH417" s="646"/>
      <c r="BI417" s="647"/>
      <c r="BJ417" s="647"/>
      <c r="BK417" s="647"/>
      <c r="BL417" s="647"/>
      <c r="BM417" s="647"/>
    </row>
    <row r="418" spans="4:65" s="640" customFormat="1" hidden="1">
      <c r="D418" s="641"/>
      <c r="G418" s="642"/>
      <c r="J418" s="642"/>
      <c r="K418" s="643"/>
      <c r="M418" s="644"/>
      <c r="N418" s="642"/>
      <c r="Q418" s="642"/>
      <c r="T418" s="642"/>
      <c r="U418" s="643"/>
      <c r="W418" s="645"/>
      <c r="X418" s="1066"/>
      <c r="Y418" s="646"/>
      <c r="Z418" s="673"/>
      <c r="AA418" s="646"/>
      <c r="AB418" s="646"/>
      <c r="AC418" s="646"/>
      <c r="AD418" s="646"/>
      <c r="AE418" s="646"/>
      <c r="AF418" s="646"/>
      <c r="AG418" s="646"/>
      <c r="AH418" s="646"/>
      <c r="AI418" s="646"/>
      <c r="AJ418" s="646"/>
      <c r="AK418" s="646"/>
      <c r="AL418" s="646"/>
      <c r="AM418" s="646"/>
      <c r="AN418" s="646"/>
      <c r="AO418" s="646"/>
      <c r="AP418" s="646"/>
      <c r="AQ418" s="646"/>
      <c r="AR418" s="646"/>
      <c r="AS418" s="646"/>
      <c r="AT418" s="646"/>
      <c r="AU418" s="645"/>
      <c r="AV418" s="645"/>
      <c r="AW418" s="645"/>
      <c r="AX418" s="645"/>
      <c r="AY418" s="646"/>
      <c r="AZ418" s="646"/>
      <c r="BA418" s="646"/>
      <c r="BB418" s="646"/>
      <c r="BC418" s="646"/>
      <c r="BD418" s="646"/>
      <c r="BE418" s="646"/>
      <c r="BF418" s="646"/>
      <c r="BG418" s="646"/>
      <c r="BH418" s="646"/>
      <c r="BI418" s="647"/>
      <c r="BJ418" s="647"/>
      <c r="BK418" s="647"/>
      <c r="BL418" s="647"/>
      <c r="BM418" s="647"/>
    </row>
    <row r="419" spans="4:65" s="640" customFormat="1" hidden="1">
      <c r="D419" s="641"/>
      <c r="G419" s="642"/>
      <c r="J419" s="642"/>
      <c r="K419" s="643"/>
      <c r="M419" s="644"/>
      <c r="N419" s="642"/>
      <c r="Q419" s="642"/>
      <c r="T419" s="642"/>
      <c r="U419" s="643"/>
      <c r="W419" s="645"/>
      <c r="X419" s="1066"/>
      <c r="Y419" s="646"/>
      <c r="Z419" s="673"/>
      <c r="AA419" s="646"/>
      <c r="AB419" s="646"/>
      <c r="AC419" s="646"/>
      <c r="AD419" s="646"/>
      <c r="AE419" s="646"/>
      <c r="AF419" s="646"/>
      <c r="AG419" s="646"/>
      <c r="AH419" s="646"/>
      <c r="AI419" s="646"/>
      <c r="AJ419" s="646"/>
      <c r="AK419" s="646"/>
      <c r="AL419" s="646"/>
      <c r="AM419" s="646"/>
      <c r="AN419" s="646"/>
      <c r="AO419" s="646"/>
      <c r="AP419" s="646"/>
      <c r="AQ419" s="646"/>
      <c r="AR419" s="646"/>
      <c r="AS419" s="646"/>
      <c r="AT419" s="646"/>
      <c r="AU419" s="645"/>
      <c r="AV419" s="645"/>
      <c r="AW419" s="645"/>
      <c r="AX419" s="645"/>
      <c r="AY419" s="646"/>
      <c r="AZ419" s="646"/>
      <c r="BA419" s="646"/>
      <c r="BB419" s="646"/>
      <c r="BC419" s="646"/>
      <c r="BD419" s="646"/>
      <c r="BE419" s="646"/>
      <c r="BF419" s="646"/>
      <c r="BG419" s="646"/>
      <c r="BH419" s="646"/>
      <c r="BI419" s="647"/>
      <c r="BJ419" s="647"/>
      <c r="BK419" s="647"/>
      <c r="BL419" s="647"/>
      <c r="BM419" s="647"/>
    </row>
    <row r="420" spans="4:65" s="640" customFormat="1" hidden="1">
      <c r="D420" s="641"/>
      <c r="G420" s="642"/>
      <c r="J420" s="642"/>
      <c r="K420" s="643"/>
      <c r="M420" s="644"/>
      <c r="N420" s="642"/>
      <c r="Q420" s="642"/>
      <c r="T420" s="642"/>
      <c r="U420" s="643"/>
      <c r="W420" s="645"/>
      <c r="X420" s="1066"/>
      <c r="Y420" s="646"/>
      <c r="Z420" s="673"/>
      <c r="AA420" s="646"/>
      <c r="AB420" s="646"/>
      <c r="AC420" s="646"/>
      <c r="AD420" s="646"/>
      <c r="AE420" s="646"/>
      <c r="AF420" s="646"/>
      <c r="AG420" s="646"/>
      <c r="AH420" s="646"/>
      <c r="AI420" s="646"/>
      <c r="AJ420" s="646"/>
      <c r="AK420" s="646"/>
      <c r="AL420" s="646"/>
      <c r="AM420" s="646"/>
      <c r="AN420" s="646"/>
      <c r="AO420" s="646"/>
      <c r="AP420" s="646"/>
      <c r="AQ420" s="646"/>
      <c r="AR420" s="646"/>
      <c r="AS420" s="646"/>
      <c r="AT420" s="646"/>
      <c r="AU420" s="645"/>
      <c r="AV420" s="645"/>
      <c r="AW420" s="645"/>
      <c r="AX420" s="645"/>
      <c r="AY420" s="646"/>
      <c r="AZ420" s="646"/>
      <c r="BA420" s="646"/>
      <c r="BB420" s="646"/>
      <c r="BC420" s="646"/>
      <c r="BD420" s="646"/>
      <c r="BE420" s="646"/>
      <c r="BF420" s="646"/>
      <c r="BG420" s="646"/>
      <c r="BH420" s="646"/>
      <c r="BI420" s="647"/>
      <c r="BJ420" s="647"/>
      <c r="BK420" s="647"/>
      <c r="BL420" s="647"/>
      <c r="BM420" s="647"/>
    </row>
    <row r="421" spans="4:65" s="640" customFormat="1" hidden="1">
      <c r="D421" s="641"/>
      <c r="G421" s="642"/>
      <c r="J421" s="642"/>
      <c r="K421" s="643"/>
      <c r="M421" s="644"/>
      <c r="N421" s="642"/>
      <c r="Q421" s="642"/>
      <c r="T421" s="642"/>
      <c r="U421" s="643"/>
      <c r="W421" s="645"/>
      <c r="X421" s="1066"/>
      <c r="Y421" s="646"/>
      <c r="Z421" s="673"/>
      <c r="AA421" s="646"/>
      <c r="AB421" s="646"/>
      <c r="AC421" s="646"/>
      <c r="AD421" s="646"/>
      <c r="AE421" s="646"/>
      <c r="AF421" s="646"/>
      <c r="AG421" s="646"/>
      <c r="AH421" s="646"/>
      <c r="AI421" s="646"/>
      <c r="AJ421" s="646"/>
      <c r="AK421" s="646"/>
      <c r="AL421" s="646"/>
      <c r="AM421" s="646"/>
      <c r="AN421" s="646"/>
      <c r="AO421" s="646"/>
      <c r="AP421" s="646"/>
      <c r="AQ421" s="646"/>
      <c r="AR421" s="646"/>
      <c r="AS421" s="646"/>
      <c r="AT421" s="646"/>
      <c r="AU421" s="645"/>
      <c r="AV421" s="645"/>
      <c r="AW421" s="645"/>
      <c r="AX421" s="645"/>
      <c r="AY421" s="646"/>
      <c r="AZ421" s="646"/>
      <c r="BA421" s="646"/>
      <c r="BB421" s="646"/>
      <c r="BC421" s="646"/>
      <c r="BD421" s="646"/>
      <c r="BE421" s="646"/>
      <c r="BF421" s="646"/>
      <c r="BG421" s="646"/>
      <c r="BH421" s="646"/>
      <c r="BI421" s="647"/>
      <c r="BJ421" s="647"/>
      <c r="BK421" s="647"/>
      <c r="BL421" s="647"/>
      <c r="BM421" s="647"/>
    </row>
    <row r="422" spans="4:65" s="640" customFormat="1" hidden="1">
      <c r="D422" s="641"/>
      <c r="G422" s="642"/>
      <c r="J422" s="642"/>
      <c r="K422" s="643"/>
      <c r="M422" s="644"/>
      <c r="N422" s="642"/>
      <c r="Q422" s="642"/>
      <c r="T422" s="642"/>
      <c r="U422" s="643"/>
      <c r="W422" s="645"/>
      <c r="X422" s="1066"/>
      <c r="Y422" s="646"/>
      <c r="Z422" s="673"/>
      <c r="AA422" s="646"/>
      <c r="AB422" s="646"/>
      <c r="AC422" s="646"/>
      <c r="AD422" s="646"/>
      <c r="AE422" s="646"/>
      <c r="AF422" s="646"/>
      <c r="AG422" s="646"/>
      <c r="AH422" s="646"/>
      <c r="AI422" s="646"/>
      <c r="AJ422" s="646"/>
      <c r="AK422" s="646"/>
      <c r="AL422" s="646"/>
      <c r="AM422" s="646"/>
      <c r="AN422" s="646"/>
      <c r="AO422" s="646"/>
      <c r="AP422" s="646"/>
      <c r="AQ422" s="646"/>
      <c r="AR422" s="646"/>
      <c r="AS422" s="646"/>
      <c r="AT422" s="646"/>
      <c r="AU422" s="645"/>
      <c r="AV422" s="645"/>
      <c r="AW422" s="645"/>
      <c r="AX422" s="645"/>
      <c r="AY422" s="646"/>
      <c r="AZ422" s="646"/>
      <c r="BA422" s="646"/>
      <c r="BB422" s="646"/>
      <c r="BC422" s="646"/>
      <c r="BD422" s="646"/>
      <c r="BE422" s="646"/>
      <c r="BF422" s="646"/>
      <c r="BG422" s="646"/>
      <c r="BH422" s="646"/>
      <c r="BI422" s="647"/>
      <c r="BJ422" s="647"/>
      <c r="BK422" s="647"/>
      <c r="BL422" s="647"/>
      <c r="BM422" s="647"/>
    </row>
    <row r="423" spans="4:65" s="640" customFormat="1" hidden="1">
      <c r="D423" s="641"/>
      <c r="G423" s="642"/>
      <c r="J423" s="642"/>
      <c r="K423" s="643"/>
      <c r="M423" s="644"/>
      <c r="N423" s="642"/>
      <c r="Q423" s="642"/>
      <c r="T423" s="642"/>
      <c r="U423" s="643"/>
      <c r="W423" s="645"/>
      <c r="X423" s="1066"/>
      <c r="Y423" s="646"/>
      <c r="Z423" s="673"/>
      <c r="AA423" s="646"/>
      <c r="AB423" s="646"/>
      <c r="AC423" s="646"/>
      <c r="AD423" s="646"/>
      <c r="AE423" s="646"/>
      <c r="AF423" s="646"/>
      <c r="AG423" s="646"/>
      <c r="AH423" s="646"/>
      <c r="AI423" s="646"/>
      <c r="AJ423" s="646"/>
      <c r="AK423" s="646"/>
      <c r="AL423" s="646"/>
      <c r="AM423" s="646"/>
      <c r="AN423" s="646"/>
      <c r="AO423" s="646"/>
      <c r="AP423" s="646"/>
      <c r="AQ423" s="646"/>
      <c r="AR423" s="646"/>
      <c r="AS423" s="646"/>
      <c r="AT423" s="646"/>
      <c r="AU423" s="645"/>
      <c r="AV423" s="645"/>
      <c r="AW423" s="645"/>
      <c r="AX423" s="645"/>
      <c r="AY423" s="646"/>
      <c r="AZ423" s="646"/>
      <c r="BA423" s="646"/>
      <c r="BB423" s="646"/>
      <c r="BC423" s="646"/>
      <c r="BD423" s="646"/>
      <c r="BE423" s="646"/>
      <c r="BF423" s="646"/>
      <c r="BG423" s="646"/>
      <c r="BH423" s="646"/>
      <c r="BI423" s="647"/>
      <c r="BJ423" s="647"/>
      <c r="BK423" s="647"/>
      <c r="BL423" s="647"/>
      <c r="BM423" s="647"/>
    </row>
    <row r="424" spans="4:65" s="640" customFormat="1" hidden="1">
      <c r="D424" s="641"/>
      <c r="G424" s="642"/>
      <c r="J424" s="642"/>
      <c r="K424" s="643"/>
      <c r="M424" s="644"/>
      <c r="N424" s="642"/>
      <c r="Q424" s="642"/>
      <c r="T424" s="642"/>
      <c r="U424" s="643"/>
      <c r="W424" s="645"/>
      <c r="X424" s="1066"/>
      <c r="Y424" s="646"/>
      <c r="Z424" s="673"/>
      <c r="AA424" s="646"/>
      <c r="AB424" s="646"/>
      <c r="AC424" s="646"/>
      <c r="AD424" s="646"/>
      <c r="AE424" s="646"/>
      <c r="AF424" s="646"/>
      <c r="AG424" s="646"/>
      <c r="AH424" s="646"/>
      <c r="AI424" s="646"/>
      <c r="AJ424" s="646"/>
      <c r="AK424" s="646"/>
      <c r="AL424" s="646"/>
      <c r="AM424" s="646"/>
      <c r="AN424" s="646"/>
      <c r="AO424" s="646"/>
      <c r="AP424" s="646"/>
      <c r="AQ424" s="646"/>
      <c r="AR424" s="646"/>
      <c r="AS424" s="646"/>
      <c r="AT424" s="646"/>
      <c r="AU424" s="645"/>
      <c r="AV424" s="645"/>
      <c r="AW424" s="645"/>
      <c r="AX424" s="645"/>
      <c r="AY424" s="646"/>
      <c r="AZ424" s="646"/>
      <c r="BA424" s="646"/>
      <c r="BB424" s="646"/>
      <c r="BC424" s="646"/>
      <c r="BD424" s="646"/>
      <c r="BE424" s="646"/>
      <c r="BF424" s="646"/>
      <c r="BG424" s="646"/>
      <c r="BH424" s="646"/>
      <c r="BI424" s="647"/>
      <c r="BJ424" s="647"/>
      <c r="BK424" s="647"/>
      <c r="BL424" s="647"/>
      <c r="BM424" s="647"/>
    </row>
    <row r="425" spans="4:65" s="640" customFormat="1" hidden="1">
      <c r="D425" s="641"/>
      <c r="G425" s="642"/>
      <c r="J425" s="642"/>
      <c r="K425" s="643"/>
      <c r="M425" s="644"/>
      <c r="N425" s="642"/>
      <c r="Q425" s="642"/>
      <c r="T425" s="642"/>
      <c r="U425" s="643"/>
      <c r="W425" s="645"/>
      <c r="X425" s="1066"/>
      <c r="Y425" s="646"/>
      <c r="Z425" s="673"/>
      <c r="AA425" s="646"/>
      <c r="AB425" s="646"/>
      <c r="AC425" s="646"/>
      <c r="AD425" s="646"/>
      <c r="AE425" s="646"/>
      <c r="AF425" s="646"/>
      <c r="AG425" s="646"/>
      <c r="AH425" s="646"/>
      <c r="AI425" s="646"/>
      <c r="AJ425" s="646"/>
      <c r="AK425" s="646"/>
      <c r="AL425" s="646"/>
      <c r="AM425" s="646"/>
      <c r="AN425" s="646"/>
      <c r="AO425" s="646"/>
      <c r="AP425" s="646"/>
      <c r="AQ425" s="646"/>
      <c r="AR425" s="646"/>
      <c r="AS425" s="646"/>
      <c r="AT425" s="646"/>
      <c r="AU425" s="645"/>
      <c r="AV425" s="645"/>
      <c r="AW425" s="645"/>
      <c r="AX425" s="645"/>
      <c r="AY425" s="646"/>
      <c r="AZ425" s="646"/>
      <c r="BA425" s="646"/>
      <c r="BB425" s="646"/>
      <c r="BC425" s="646"/>
      <c r="BD425" s="646"/>
      <c r="BE425" s="646"/>
      <c r="BF425" s="646"/>
      <c r="BG425" s="646"/>
      <c r="BH425" s="646"/>
      <c r="BI425" s="647"/>
      <c r="BJ425" s="647"/>
      <c r="BK425" s="647"/>
      <c r="BL425" s="647"/>
      <c r="BM425" s="647"/>
    </row>
    <row r="426" spans="4:65" s="640" customFormat="1" hidden="1">
      <c r="D426" s="641"/>
      <c r="G426" s="642"/>
      <c r="J426" s="642"/>
      <c r="K426" s="643"/>
      <c r="M426" s="644"/>
      <c r="N426" s="642"/>
      <c r="Q426" s="642"/>
      <c r="T426" s="642"/>
      <c r="U426" s="643"/>
      <c r="W426" s="645"/>
      <c r="X426" s="1066"/>
      <c r="Y426" s="646"/>
      <c r="Z426" s="673"/>
      <c r="AA426" s="646"/>
      <c r="AB426" s="646"/>
      <c r="AC426" s="646"/>
      <c r="AD426" s="646"/>
      <c r="AE426" s="646"/>
      <c r="AF426" s="646"/>
      <c r="AG426" s="646"/>
      <c r="AH426" s="646"/>
      <c r="AI426" s="646"/>
      <c r="AJ426" s="646"/>
      <c r="AK426" s="646"/>
      <c r="AL426" s="646"/>
      <c r="AM426" s="646"/>
      <c r="AN426" s="646"/>
      <c r="AO426" s="646"/>
      <c r="AP426" s="646"/>
      <c r="AQ426" s="646"/>
      <c r="AR426" s="646"/>
      <c r="AS426" s="646"/>
      <c r="AT426" s="646"/>
      <c r="AU426" s="645"/>
      <c r="AV426" s="645"/>
      <c r="AW426" s="645"/>
      <c r="AX426" s="645"/>
      <c r="AY426" s="646"/>
      <c r="AZ426" s="646"/>
      <c r="BA426" s="646"/>
      <c r="BB426" s="646"/>
      <c r="BC426" s="646"/>
      <c r="BD426" s="646"/>
      <c r="BE426" s="646"/>
      <c r="BF426" s="646"/>
      <c r="BG426" s="646"/>
      <c r="BH426" s="646"/>
      <c r="BI426" s="647"/>
      <c r="BJ426" s="647"/>
      <c r="BK426" s="647"/>
      <c r="BL426" s="647"/>
      <c r="BM426" s="647"/>
    </row>
    <row r="427" spans="4:65" s="640" customFormat="1" hidden="1">
      <c r="D427" s="641"/>
      <c r="G427" s="642"/>
      <c r="J427" s="642"/>
      <c r="K427" s="643"/>
      <c r="M427" s="644"/>
      <c r="N427" s="642"/>
      <c r="Q427" s="642"/>
      <c r="T427" s="642"/>
      <c r="U427" s="643"/>
      <c r="W427" s="645"/>
      <c r="X427" s="1066"/>
      <c r="Y427" s="646"/>
      <c r="Z427" s="673"/>
      <c r="AA427" s="646"/>
      <c r="AB427" s="646"/>
      <c r="AC427" s="646"/>
      <c r="AD427" s="646"/>
      <c r="AE427" s="646"/>
      <c r="AF427" s="646"/>
      <c r="AG427" s="646"/>
      <c r="AH427" s="646"/>
      <c r="AI427" s="646"/>
      <c r="AJ427" s="646"/>
      <c r="AK427" s="646"/>
      <c r="AL427" s="646"/>
      <c r="AM427" s="646"/>
      <c r="AN427" s="646"/>
      <c r="AO427" s="646"/>
      <c r="AP427" s="646"/>
      <c r="AQ427" s="646"/>
      <c r="AR427" s="646"/>
      <c r="AS427" s="646"/>
      <c r="AT427" s="646"/>
      <c r="AU427" s="645"/>
      <c r="AV427" s="645"/>
      <c r="AW427" s="645"/>
      <c r="AX427" s="645"/>
      <c r="AY427" s="646"/>
      <c r="AZ427" s="646"/>
      <c r="BA427" s="646"/>
      <c r="BB427" s="646"/>
      <c r="BC427" s="646"/>
      <c r="BD427" s="646"/>
      <c r="BE427" s="646"/>
      <c r="BF427" s="646"/>
      <c r="BG427" s="646"/>
      <c r="BH427" s="646"/>
      <c r="BI427" s="647"/>
      <c r="BJ427" s="647"/>
      <c r="BK427" s="647"/>
      <c r="BL427" s="647"/>
      <c r="BM427" s="647"/>
    </row>
    <row r="428" spans="4:65" s="640" customFormat="1" hidden="1">
      <c r="D428" s="641"/>
      <c r="G428" s="642"/>
      <c r="J428" s="642"/>
      <c r="K428" s="643"/>
      <c r="M428" s="644"/>
      <c r="N428" s="642"/>
      <c r="Q428" s="642"/>
      <c r="T428" s="642"/>
      <c r="U428" s="643"/>
      <c r="W428" s="645"/>
      <c r="X428" s="1066"/>
      <c r="Y428" s="646"/>
      <c r="Z428" s="673"/>
      <c r="AA428" s="646"/>
      <c r="AB428" s="646"/>
      <c r="AC428" s="646"/>
      <c r="AD428" s="646"/>
      <c r="AE428" s="646"/>
      <c r="AF428" s="646"/>
      <c r="AG428" s="646"/>
      <c r="AH428" s="646"/>
      <c r="AI428" s="646"/>
      <c r="AJ428" s="646"/>
      <c r="AK428" s="646"/>
      <c r="AL428" s="646"/>
      <c r="AM428" s="646"/>
      <c r="AN428" s="646"/>
      <c r="AO428" s="646"/>
      <c r="AP428" s="646"/>
      <c r="AQ428" s="646"/>
      <c r="AR428" s="646"/>
      <c r="AS428" s="646"/>
      <c r="AT428" s="646"/>
      <c r="AU428" s="645"/>
      <c r="AV428" s="645"/>
      <c r="AW428" s="645"/>
      <c r="AX428" s="645"/>
      <c r="AY428" s="646"/>
      <c r="AZ428" s="646"/>
      <c r="BA428" s="646"/>
      <c r="BB428" s="646"/>
      <c r="BC428" s="646"/>
      <c r="BD428" s="646"/>
      <c r="BE428" s="646"/>
      <c r="BF428" s="646"/>
      <c r="BG428" s="646"/>
      <c r="BH428" s="646"/>
      <c r="BI428" s="647"/>
      <c r="BJ428" s="647"/>
      <c r="BK428" s="647"/>
      <c r="BL428" s="647"/>
      <c r="BM428" s="647"/>
    </row>
    <row r="429" spans="4:65" s="640" customFormat="1" hidden="1">
      <c r="D429" s="641"/>
      <c r="G429" s="642"/>
      <c r="J429" s="642"/>
      <c r="K429" s="643"/>
      <c r="M429" s="644"/>
      <c r="N429" s="642"/>
      <c r="Q429" s="642"/>
      <c r="T429" s="642"/>
      <c r="U429" s="643"/>
      <c r="W429" s="645"/>
      <c r="X429" s="1066"/>
      <c r="Y429" s="646"/>
      <c r="Z429" s="673"/>
      <c r="AA429" s="646"/>
      <c r="AB429" s="646"/>
      <c r="AC429" s="646"/>
      <c r="AD429" s="646"/>
      <c r="AE429" s="646"/>
      <c r="AF429" s="646"/>
      <c r="AG429" s="646"/>
      <c r="AH429" s="646"/>
      <c r="AI429" s="646"/>
      <c r="AJ429" s="646"/>
      <c r="AK429" s="646"/>
      <c r="AL429" s="646"/>
      <c r="AM429" s="646"/>
      <c r="AN429" s="646"/>
      <c r="AO429" s="646"/>
      <c r="AP429" s="646"/>
      <c r="AQ429" s="646"/>
      <c r="AR429" s="646"/>
      <c r="AS429" s="646"/>
      <c r="AT429" s="646"/>
      <c r="AU429" s="645"/>
      <c r="AV429" s="645"/>
      <c r="AW429" s="645"/>
      <c r="AX429" s="645"/>
      <c r="AY429" s="646"/>
      <c r="AZ429" s="646"/>
      <c r="BA429" s="646"/>
      <c r="BB429" s="646"/>
      <c r="BC429" s="646"/>
      <c r="BD429" s="646"/>
      <c r="BE429" s="646"/>
      <c r="BF429" s="646"/>
      <c r="BG429" s="646"/>
      <c r="BH429" s="646"/>
      <c r="BI429" s="647"/>
      <c r="BJ429" s="647"/>
      <c r="BK429" s="647"/>
      <c r="BL429" s="647"/>
      <c r="BM429" s="647"/>
    </row>
    <row r="430" spans="4:65" s="640" customFormat="1" hidden="1">
      <c r="D430" s="641"/>
      <c r="G430" s="642"/>
      <c r="J430" s="642"/>
      <c r="K430" s="643"/>
      <c r="M430" s="644"/>
      <c r="N430" s="642"/>
      <c r="Q430" s="642"/>
      <c r="T430" s="642"/>
      <c r="U430" s="643"/>
      <c r="W430" s="645"/>
      <c r="X430" s="1066"/>
      <c r="Y430" s="646"/>
      <c r="Z430" s="673"/>
      <c r="AA430" s="646"/>
      <c r="AB430" s="646"/>
      <c r="AC430" s="646"/>
      <c r="AD430" s="646"/>
      <c r="AE430" s="646"/>
      <c r="AF430" s="646"/>
      <c r="AG430" s="646"/>
      <c r="AH430" s="646"/>
      <c r="AI430" s="646"/>
      <c r="AJ430" s="646"/>
      <c r="AK430" s="646"/>
      <c r="AL430" s="646"/>
      <c r="AM430" s="646"/>
      <c r="AN430" s="646"/>
      <c r="AO430" s="646"/>
      <c r="AP430" s="646"/>
      <c r="AQ430" s="646"/>
      <c r="AR430" s="646"/>
      <c r="AS430" s="646"/>
      <c r="AT430" s="646"/>
      <c r="AU430" s="645"/>
      <c r="AV430" s="645"/>
      <c r="AW430" s="645"/>
      <c r="AX430" s="645"/>
      <c r="AY430" s="646"/>
      <c r="AZ430" s="646"/>
      <c r="BA430" s="646"/>
      <c r="BB430" s="646"/>
      <c r="BC430" s="646"/>
      <c r="BD430" s="646"/>
      <c r="BE430" s="646"/>
      <c r="BF430" s="646"/>
      <c r="BG430" s="646"/>
      <c r="BH430" s="646"/>
      <c r="BI430" s="647"/>
      <c r="BJ430" s="647"/>
      <c r="BK430" s="647"/>
      <c r="BL430" s="647"/>
      <c r="BM430" s="647"/>
    </row>
    <row r="431" spans="4:65" s="640" customFormat="1" hidden="1">
      <c r="D431" s="641"/>
      <c r="G431" s="642"/>
      <c r="J431" s="642"/>
      <c r="K431" s="643"/>
      <c r="M431" s="644"/>
      <c r="N431" s="642"/>
      <c r="Q431" s="642"/>
      <c r="T431" s="642"/>
      <c r="U431" s="643"/>
      <c r="W431" s="645"/>
      <c r="X431" s="1066"/>
      <c r="Y431" s="646"/>
      <c r="Z431" s="673"/>
      <c r="AA431" s="646"/>
      <c r="AB431" s="646"/>
      <c r="AC431" s="646"/>
      <c r="AD431" s="646"/>
      <c r="AE431" s="646"/>
      <c r="AF431" s="646"/>
      <c r="AG431" s="646"/>
      <c r="AH431" s="646"/>
      <c r="AI431" s="646"/>
      <c r="AJ431" s="646"/>
      <c r="AK431" s="646"/>
      <c r="AL431" s="646"/>
      <c r="AM431" s="646"/>
      <c r="AN431" s="646"/>
      <c r="AO431" s="646"/>
      <c r="AP431" s="646"/>
      <c r="AQ431" s="646"/>
      <c r="AR431" s="646"/>
      <c r="AS431" s="646"/>
      <c r="AT431" s="646"/>
      <c r="AU431" s="645"/>
      <c r="AV431" s="645"/>
      <c r="AW431" s="645"/>
      <c r="AX431" s="645"/>
      <c r="AY431" s="646"/>
      <c r="AZ431" s="646"/>
      <c r="BA431" s="646"/>
      <c r="BB431" s="646"/>
      <c r="BC431" s="646"/>
      <c r="BD431" s="646"/>
      <c r="BE431" s="646"/>
      <c r="BF431" s="646"/>
      <c r="BG431" s="646"/>
      <c r="BH431" s="646"/>
      <c r="BI431" s="647"/>
      <c r="BJ431" s="647"/>
      <c r="BK431" s="647"/>
      <c r="BL431" s="647"/>
      <c r="BM431" s="647"/>
    </row>
    <row r="432" spans="4:65" s="640" customFormat="1" hidden="1">
      <c r="D432" s="641"/>
      <c r="G432" s="642"/>
      <c r="J432" s="642"/>
      <c r="K432" s="643"/>
      <c r="M432" s="644"/>
      <c r="N432" s="642"/>
      <c r="Q432" s="642"/>
      <c r="T432" s="642"/>
      <c r="U432" s="643"/>
      <c r="W432" s="645"/>
      <c r="X432" s="1066"/>
      <c r="Y432" s="646"/>
      <c r="Z432" s="673"/>
      <c r="AA432" s="646"/>
      <c r="AB432" s="646"/>
      <c r="AC432" s="646"/>
      <c r="AD432" s="646"/>
      <c r="AE432" s="646"/>
      <c r="AF432" s="646"/>
      <c r="AG432" s="646"/>
      <c r="AH432" s="646"/>
      <c r="AI432" s="646"/>
      <c r="AJ432" s="646"/>
      <c r="AK432" s="646"/>
      <c r="AL432" s="646"/>
      <c r="AM432" s="646"/>
      <c r="AN432" s="646"/>
      <c r="AO432" s="646"/>
      <c r="AP432" s="646"/>
      <c r="AQ432" s="646"/>
      <c r="AR432" s="646"/>
      <c r="AS432" s="646"/>
      <c r="AT432" s="646"/>
      <c r="AU432" s="645"/>
      <c r="AV432" s="645"/>
      <c r="AW432" s="645"/>
      <c r="AX432" s="645"/>
      <c r="AY432" s="646"/>
      <c r="AZ432" s="646"/>
      <c r="BA432" s="646"/>
      <c r="BB432" s="646"/>
      <c r="BC432" s="646"/>
      <c r="BD432" s="646"/>
      <c r="BE432" s="646"/>
      <c r="BF432" s="646"/>
      <c r="BG432" s="646"/>
      <c r="BH432" s="646"/>
      <c r="BI432" s="647"/>
      <c r="BJ432" s="647"/>
      <c r="BK432" s="647"/>
      <c r="BL432" s="647"/>
      <c r="BM432" s="647"/>
    </row>
    <row r="433" spans="2:65" s="640" customFormat="1" hidden="1">
      <c r="D433" s="641"/>
      <c r="G433" s="642"/>
      <c r="J433" s="642"/>
      <c r="K433" s="643"/>
      <c r="M433" s="644"/>
      <c r="N433" s="642"/>
      <c r="Q433" s="642"/>
      <c r="T433" s="642"/>
      <c r="U433" s="643"/>
      <c r="W433" s="645"/>
      <c r="X433" s="1066"/>
      <c r="Y433" s="646"/>
      <c r="Z433" s="673"/>
      <c r="AA433" s="646"/>
      <c r="AB433" s="646"/>
      <c r="AC433" s="646"/>
      <c r="AD433" s="646"/>
      <c r="AE433" s="646"/>
      <c r="AF433" s="646"/>
      <c r="AG433" s="646"/>
      <c r="AH433" s="646"/>
      <c r="AI433" s="646"/>
      <c r="AJ433" s="646"/>
      <c r="AK433" s="646"/>
      <c r="AL433" s="646"/>
      <c r="AM433" s="646"/>
      <c r="AN433" s="646"/>
      <c r="AO433" s="646"/>
      <c r="AP433" s="646"/>
      <c r="AQ433" s="646"/>
      <c r="AR433" s="646"/>
      <c r="AS433" s="646"/>
      <c r="AT433" s="646"/>
      <c r="AU433" s="645"/>
      <c r="AV433" s="645"/>
      <c r="AW433" s="645"/>
      <c r="AX433" s="645"/>
      <c r="AY433" s="646"/>
      <c r="AZ433" s="646"/>
      <c r="BA433" s="646"/>
      <c r="BB433" s="646"/>
      <c r="BC433" s="646"/>
      <c r="BD433" s="646"/>
      <c r="BE433" s="646"/>
      <c r="BF433" s="646"/>
      <c r="BG433" s="646"/>
      <c r="BH433" s="646"/>
      <c r="BI433" s="647"/>
      <c r="BJ433" s="647"/>
      <c r="BK433" s="647"/>
      <c r="BL433" s="647"/>
      <c r="BM433" s="647"/>
    </row>
    <row r="434" spans="2:65" s="640" customFormat="1" hidden="1">
      <c r="D434" s="641"/>
      <c r="G434" s="642"/>
      <c r="J434" s="642"/>
      <c r="K434" s="643"/>
      <c r="M434" s="644"/>
      <c r="N434" s="642"/>
      <c r="Q434" s="642"/>
      <c r="T434" s="642"/>
      <c r="U434" s="643"/>
      <c r="W434" s="645"/>
      <c r="X434" s="1066"/>
      <c r="Y434" s="646"/>
      <c r="Z434" s="673"/>
      <c r="AA434" s="646"/>
      <c r="AB434" s="646"/>
      <c r="AC434" s="646"/>
      <c r="AD434" s="646"/>
      <c r="AE434" s="646"/>
      <c r="AF434" s="646"/>
      <c r="AG434" s="646"/>
      <c r="AH434" s="646"/>
      <c r="AI434" s="646"/>
      <c r="AJ434" s="646"/>
      <c r="AK434" s="646"/>
      <c r="AL434" s="646"/>
      <c r="AM434" s="646"/>
      <c r="AN434" s="646"/>
      <c r="AO434" s="646"/>
      <c r="AP434" s="646"/>
      <c r="AQ434" s="646"/>
      <c r="AR434" s="646"/>
      <c r="AS434" s="646"/>
      <c r="AT434" s="646"/>
      <c r="AU434" s="645"/>
      <c r="AV434" s="645"/>
      <c r="AW434" s="645"/>
      <c r="AX434" s="645"/>
      <c r="AY434" s="646"/>
      <c r="AZ434" s="646"/>
      <c r="BA434" s="646"/>
      <c r="BB434" s="646"/>
      <c r="BC434" s="646"/>
      <c r="BD434" s="646"/>
      <c r="BE434" s="646"/>
      <c r="BF434" s="646"/>
      <c r="BG434" s="646"/>
      <c r="BH434" s="646"/>
      <c r="BI434" s="647"/>
      <c r="BJ434" s="647"/>
      <c r="BK434" s="647"/>
      <c r="BL434" s="647"/>
      <c r="BM434" s="647"/>
    </row>
    <row r="435" spans="2:65" s="640" customFormat="1" hidden="1">
      <c r="D435" s="641"/>
      <c r="G435" s="642"/>
      <c r="J435" s="642"/>
      <c r="K435" s="643"/>
      <c r="M435" s="644"/>
      <c r="N435" s="642"/>
      <c r="Q435" s="642"/>
      <c r="T435" s="642"/>
      <c r="U435" s="643"/>
      <c r="W435" s="645"/>
      <c r="X435" s="1066"/>
      <c r="Y435" s="646"/>
      <c r="Z435" s="673"/>
      <c r="AA435" s="646"/>
      <c r="AB435" s="646"/>
      <c r="AC435" s="646"/>
      <c r="AD435" s="646"/>
      <c r="AE435" s="646"/>
      <c r="AF435" s="646"/>
      <c r="AG435" s="646"/>
      <c r="AH435" s="646"/>
      <c r="AI435" s="646"/>
      <c r="AJ435" s="646"/>
      <c r="AK435" s="646"/>
      <c r="AL435" s="646"/>
      <c r="AM435" s="646"/>
      <c r="AN435" s="646"/>
      <c r="AO435" s="646"/>
      <c r="AP435" s="646"/>
      <c r="AQ435" s="646"/>
      <c r="AR435" s="646"/>
      <c r="AS435" s="646"/>
      <c r="AT435" s="646"/>
      <c r="AU435" s="645"/>
      <c r="AV435" s="645"/>
      <c r="AW435" s="645"/>
      <c r="AX435" s="645"/>
      <c r="AY435" s="646"/>
      <c r="AZ435" s="646"/>
      <c r="BA435" s="646"/>
      <c r="BB435" s="646"/>
      <c r="BC435" s="646"/>
      <c r="BD435" s="646"/>
      <c r="BE435" s="646"/>
      <c r="BF435" s="646"/>
      <c r="BG435" s="646"/>
      <c r="BH435" s="646"/>
      <c r="BI435" s="647"/>
      <c r="BJ435" s="647"/>
      <c r="BK435" s="647"/>
      <c r="BL435" s="647"/>
      <c r="BM435" s="647"/>
    </row>
    <row r="436" spans="2:65" s="640" customFormat="1" hidden="1">
      <c r="D436" s="641"/>
      <c r="G436" s="642"/>
      <c r="J436" s="642"/>
      <c r="K436" s="643"/>
      <c r="M436" s="644"/>
      <c r="N436" s="642"/>
      <c r="Q436" s="642"/>
      <c r="T436" s="642"/>
      <c r="U436" s="643"/>
      <c r="W436" s="645"/>
      <c r="X436" s="1066"/>
      <c r="Y436" s="646"/>
      <c r="Z436" s="673"/>
      <c r="AA436" s="646"/>
      <c r="AB436" s="646"/>
      <c r="AC436" s="646"/>
      <c r="AD436" s="646"/>
      <c r="AE436" s="646"/>
      <c r="AF436" s="646"/>
      <c r="AG436" s="646"/>
      <c r="AH436" s="646"/>
      <c r="AI436" s="646"/>
      <c r="AJ436" s="646"/>
      <c r="AK436" s="646"/>
      <c r="AL436" s="646"/>
      <c r="AM436" s="646"/>
      <c r="AN436" s="646"/>
      <c r="AO436" s="646"/>
      <c r="AP436" s="646"/>
      <c r="AQ436" s="646"/>
      <c r="AR436" s="646"/>
      <c r="AS436" s="646"/>
      <c r="AT436" s="646"/>
      <c r="AU436" s="645"/>
      <c r="AV436" s="645"/>
      <c r="AW436" s="645"/>
      <c r="AX436" s="645"/>
      <c r="AY436" s="646"/>
      <c r="AZ436" s="646"/>
      <c r="BA436" s="646"/>
      <c r="BB436" s="646"/>
      <c r="BC436" s="646"/>
      <c r="BD436" s="646"/>
      <c r="BE436" s="646"/>
      <c r="BF436" s="646"/>
      <c r="BG436" s="646"/>
      <c r="BH436" s="646"/>
      <c r="BI436" s="647"/>
      <c r="BJ436" s="647"/>
      <c r="BK436" s="647"/>
      <c r="BL436" s="647"/>
      <c r="BM436" s="647"/>
    </row>
    <row r="437" spans="2:65" s="640" customFormat="1" hidden="1">
      <c r="D437" s="641"/>
      <c r="G437" s="642"/>
      <c r="J437" s="642"/>
      <c r="K437" s="643"/>
      <c r="M437" s="644"/>
      <c r="N437" s="642"/>
      <c r="Q437" s="642"/>
      <c r="T437" s="642"/>
      <c r="U437" s="643"/>
      <c r="W437" s="645"/>
      <c r="X437" s="1066"/>
      <c r="Y437" s="646"/>
      <c r="Z437" s="673"/>
      <c r="AA437" s="646"/>
      <c r="AB437" s="646"/>
      <c r="AC437" s="646"/>
      <c r="AD437" s="646"/>
      <c r="AE437" s="646"/>
      <c r="AF437" s="646"/>
      <c r="AG437" s="646"/>
      <c r="AH437" s="646"/>
      <c r="AI437" s="646"/>
      <c r="AJ437" s="646"/>
      <c r="AK437" s="646"/>
      <c r="AL437" s="646"/>
      <c r="AM437" s="646"/>
      <c r="AN437" s="646"/>
      <c r="AO437" s="646"/>
      <c r="AP437" s="646"/>
      <c r="AQ437" s="646"/>
      <c r="AR437" s="646"/>
      <c r="AS437" s="646"/>
      <c r="AT437" s="646"/>
      <c r="AU437" s="645"/>
      <c r="AV437" s="645"/>
      <c r="AW437" s="645"/>
      <c r="AX437" s="645"/>
      <c r="AY437" s="646"/>
      <c r="AZ437" s="646"/>
      <c r="BA437" s="646"/>
      <c r="BB437" s="646"/>
      <c r="BC437" s="646"/>
      <c r="BD437" s="646"/>
      <c r="BE437" s="646"/>
      <c r="BF437" s="646"/>
      <c r="BG437" s="646"/>
      <c r="BH437" s="646"/>
      <c r="BI437" s="647"/>
      <c r="BJ437" s="647"/>
      <c r="BK437" s="647"/>
      <c r="BL437" s="647"/>
      <c r="BM437" s="647"/>
    </row>
    <row r="438" spans="2:65" s="640" customFormat="1" hidden="1">
      <c r="B438" s="660"/>
      <c r="C438" s="660"/>
      <c r="D438" s="674"/>
      <c r="E438" s="660"/>
      <c r="F438" s="660"/>
      <c r="G438" s="710"/>
      <c r="H438" s="660"/>
      <c r="I438" s="660"/>
      <c r="J438" s="710"/>
      <c r="K438" s="709"/>
      <c r="L438" s="660"/>
      <c r="M438" s="675"/>
      <c r="N438" s="710"/>
      <c r="O438" s="660"/>
      <c r="P438" s="660"/>
      <c r="Q438" s="710"/>
      <c r="R438" s="660"/>
      <c r="S438" s="660"/>
      <c r="T438" s="710"/>
      <c r="U438" s="709"/>
      <c r="W438" s="645"/>
      <c r="X438" s="1066"/>
      <c r="Y438" s="646"/>
      <c r="Z438" s="673"/>
      <c r="AA438" s="646"/>
      <c r="AB438" s="646"/>
      <c r="AC438" s="646"/>
      <c r="AD438" s="646"/>
      <c r="AE438" s="646"/>
      <c r="AF438" s="646"/>
      <c r="AG438" s="646"/>
      <c r="AH438" s="646"/>
      <c r="AI438" s="646"/>
      <c r="AJ438" s="646"/>
      <c r="AK438" s="646"/>
      <c r="AL438" s="646"/>
      <c r="AM438" s="646"/>
      <c r="AN438" s="646"/>
      <c r="AO438" s="646"/>
      <c r="AP438" s="646"/>
      <c r="AQ438" s="646"/>
      <c r="AR438" s="646"/>
      <c r="AS438" s="646"/>
      <c r="AT438" s="646"/>
      <c r="AU438" s="645"/>
      <c r="AV438" s="645"/>
      <c r="AW438" s="645"/>
      <c r="AX438" s="645"/>
      <c r="AY438" s="646"/>
      <c r="AZ438" s="646"/>
      <c r="BA438" s="646"/>
      <c r="BB438" s="646"/>
      <c r="BC438" s="646"/>
      <c r="BD438" s="646"/>
      <c r="BE438" s="646"/>
      <c r="BF438" s="646"/>
      <c r="BG438" s="646"/>
      <c r="BH438" s="646"/>
      <c r="BI438" s="647"/>
      <c r="BJ438" s="647"/>
      <c r="BK438" s="647"/>
      <c r="BL438" s="647"/>
      <c r="BM438" s="647"/>
    </row>
  </sheetData>
  <sheetProtection algorithmName="SHA-512" hashValue="X6ou+O8yercLcVA4f59E7uFA1A8OVi+2ppz4xkg0dw7adCk4RgBIVLgL4/eBOzW1taOpwH4ZYAJEXVHViIRRpA==" saltValue="sHrDTe7SdqOelmTNDG6YqA==" spinCount="100000" sheet="1" scenarios="1"/>
  <mergeCells count="20">
    <mergeCell ref="B2:U2"/>
    <mergeCell ref="E11:K11"/>
    <mergeCell ref="O11:Q11"/>
    <mergeCell ref="R11:U11"/>
    <mergeCell ref="E12:K12"/>
    <mergeCell ref="O12:Q12"/>
    <mergeCell ref="R12:U12"/>
    <mergeCell ref="B4:U4"/>
    <mergeCell ref="B72:U80"/>
    <mergeCell ref="BH19:BL19"/>
    <mergeCell ref="BH34:BL34"/>
    <mergeCell ref="AD45:AI45"/>
    <mergeCell ref="H13:K13"/>
    <mergeCell ref="O13:P13"/>
    <mergeCell ref="R13:U13"/>
    <mergeCell ref="H15:K15"/>
    <mergeCell ref="R15:U15"/>
    <mergeCell ref="BH47:BL47"/>
    <mergeCell ref="B70:U70"/>
    <mergeCell ref="B60:U60"/>
  </mergeCells>
  <phoneticPr fontId="3" type="noConversion"/>
  <conditionalFormatting sqref="E65">
    <cfRule type="cellIs" dxfId="3" priority="1" operator="lessThan">
      <formula>1</formula>
    </cfRule>
    <cfRule type="cellIs" dxfId="2" priority="2" operator="greaterThanOrEqual">
      <formula>1.1</formula>
    </cfRule>
    <cfRule type="cellIs" dxfId="1" priority="3" operator="between">
      <formula>1</formula>
      <formula>1.09</formula>
    </cfRule>
  </conditionalFormatting>
  <dataValidations count="6">
    <dataValidation type="list" allowBlank="1" showInputMessage="1" showErrorMessage="1" sqref="E12:K12" xr:uid="{03A3F1F3-5085-4984-8B21-6816B0C4A27F}">
      <formula1>IF($E$11="Vacant Land", $AF$8,$AF$7:$AF$8)</formula1>
    </dataValidation>
    <dataValidation type="list" allowBlank="1" showInputMessage="1" showErrorMessage="1" sqref="O7:O8" xr:uid="{90A1BCC1-9384-4F83-8FA0-0D82FFAAE9DB}">
      <formula1>$AJ$1:$AJ$15</formula1>
    </dataValidation>
    <dataValidation type="list" allowBlank="1" showInputMessage="1" showErrorMessage="1" sqref="U50 K50" xr:uid="{467A0FAD-B105-48F1-81C0-8023A8D0C52F}">
      <formula1>$AJ$2:$AJ$15</formula1>
    </dataValidation>
    <dataValidation type="list" allowBlank="1" showInputMessage="1" showErrorMessage="1" sqref="E13" xr:uid="{D56E74ED-1283-43A0-A3D8-67C9AD017F48}">
      <formula1>IF($E$11="Vacant Land", $AH$8:$AH$9,$AH$7:$AH$12)</formula1>
    </dataValidation>
    <dataValidation type="list" allowBlank="1" showInputMessage="1" showErrorMessage="1" sqref="E11:K11" xr:uid="{5A47EFF5-DF2D-4D03-90AC-BEB25692903B}">
      <formula1>$AD$8:$AD$11</formula1>
    </dataValidation>
    <dataValidation type="list" allowBlank="1" showInputMessage="1" showErrorMessage="1" sqref="E14" xr:uid="{E483B041-C639-47CB-8731-7301FE0324FE}">
      <formula1>$AI$10:$AI$11</formula1>
    </dataValidation>
  </dataValidations>
  <hyperlinks>
    <hyperlink ref="K53" location="'GL&amp;EE TOOL'!F7" display="Calculator" xr:uid="{E8186A2E-4548-4297-A769-F74DED8AA2E5}"/>
    <hyperlink ref="U53" location="'GL&amp;EE TOOL'!K7" display="Calculator" xr:uid="{454C0F88-E476-40B5-8961-FA5F3C9EAD0B}"/>
  </hyperlinks>
  <pageMargins left="0.7" right="0.7" top="0.75" bottom="0.75" header="0.3" footer="0.3"/>
  <pageSetup paperSize="9" orientation="portrait" r:id="rId1"/>
  <ignoredErrors>
    <ignoredError sqref="H53 E53 O53 R53" unlocked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6F07338-356F-4FBD-8C70-B50ED1A4F3EB}">
          <x14:formula1>
            <xm:f>'Exchange Rates'!$C$4:$C$16</xm:f>
          </x14:formula1>
          <xm:sqref>AH46 K46 AH44 AO46 AO43:AO44 U44 AH60:AH62 AH35:AH40 K26:K27 U22:U23 U26:U27 K22:K23 U31:U32 K31:K32 U36:U37 K41:K42 U41:U42 K56:K58 K44 AH29:AH33 K36:K37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D3148-5484-4569-B15E-669470FC643E}">
  <sheetPr codeName="Sheet2"/>
  <dimension ref="A1:FL489"/>
  <sheetViews>
    <sheetView workbookViewId="0">
      <selection activeCell="E5" sqref="E5"/>
    </sheetView>
  </sheetViews>
  <sheetFormatPr defaultColWidth="0" defaultRowHeight="15" zeroHeight="1"/>
  <cols>
    <col min="1" max="1" width="3.7265625" style="640" customWidth="1"/>
    <col min="2" max="2" width="26.26953125" style="660" customWidth="1"/>
    <col min="3" max="3" width="0.54296875" style="660" customWidth="1"/>
    <col min="4" max="4" width="0.26953125" style="674" customWidth="1"/>
    <col min="5" max="5" width="17.26953125" style="660" customWidth="1"/>
    <col min="6" max="6" width="1.7265625" style="660" customWidth="1"/>
    <col min="7" max="7" width="0.26953125" style="710" customWidth="1"/>
    <col min="8" max="8" width="17.26953125" style="660" customWidth="1"/>
    <col min="9" max="9" width="1.7265625" style="660" customWidth="1"/>
    <col min="10" max="10" width="0.26953125" style="710" customWidth="1"/>
    <col min="11" max="11" width="11.1796875" style="709" customWidth="1"/>
    <col min="12" max="12" width="33.26953125" style="660" customWidth="1"/>
    <col min="13" max="13" width="0.81640625" style="675" customWidth="1"/>
    <col min="14" max="14" width="0.26953125" style="710" customWidth="1"/>
    <col min="15" max="15" width="17.26953125" style="660" customWidth="1"/>
    <col min="16" max="16" width="1.7265625" style="660" customWidth="1"/>
    <col min="17" max="17" width="0.26953125" style="710" customWidth="1"/>
    <col min="18" max="18" width="17.26953125" style="660" customWidth="1"/>
    <col min="19" max="19" width="1.7265625" style="660" customWidth="1"/>
    <col min="20" max="20" width="0.26953125" style="710" customWidth="1"/>
    <col min="21" max="21" width="11.54296875" style="709" customWidth="1"/>
    <col min="22" max="22" width="3.81640625" style="640" customWidth="1"/>
    <col min="23" max="23" width="4" style="640" customWidth="1"/>
    <col min="24" max="24" width="9.26953125" style="645" customWidth="1"/>
    <col min="25" max="25" width="28.7265625" style="646" hidden="1" customWidth="1"/>
    <col min="26" max="26" width="15.7265625" style="673" hidden="1" customWidth="1"/>
    <col min="27" max="27" width="18.81640625" style="646" hidden="1" customWidth="1"/>
    <col min="28" max="28" width="9.1796875" style="646" hidden="1" customWidth="1"/>
    <col min="29" max="29" width="12.1796875" style="646" hidden="1" customWidth="1"/>
    <col min="30" max="30" width="14.54296875" style="646" hidden="1" customWidth="1"/>
    <col min="31" max="31" width="10.54296875" style="646" hidden="1" customWidth="1"/>
    <col min="32" max="32" width="15.81640625" style="646" hidden="1" customWidth="1"/>
    <col min="33" max="33" width="10.7265625" style="646" hidden="1" customWidth="1"/>
    <col min="34" max="34" width="26.26953125" style="646" hidden="1" customWidth="1"/>
    <col min="35" max="35" width="22.1796875" style="646" hidden="1" customWidth="1"/>
    <col min="36" max="36" width="9.54296875" style="646" hidden="1" customWidth="1"/>
    <col min="37" max="37" width="15.81640625" style="646" hidden="1" customWidth="1"/>
    <col min="38" max="38" width="7.81640625" style="646" hidden="1" customWidth="1"/>
    <col min="39" max="39" width="10.7265625" style="646" hidden="1" customWidth="1"/>
    <col min="40" max="41" width="9.54296875" style="646" hidden="1" customWidth="1"/>
    <col min="42" max="42" width="16.81640625" style="646" hidden="1" customWidth="1"/>
    <col min="43" max="66" width="12.81640625" style="646" hidden="1" customWidth="1"/>
    <col min="67" max="67" width="3" style="646" hidden="1" customWidth="1"/>
    <col min="68" max="68" width="9.1796875" style="646" hidden="1" customWidth="1"/>
    <col min="69" max="69" width="11.26953125" style="646" hidden="1" customWidth="1"/>
    <col min="70" max="70" width="11.54296875" style="645" hidden="1" customWidth="1"/>
    <col min="71" max="71" width="11.7265625" style="645" hidden="1" customWidth="1"/>
    <col min="72" max="72" width="8.81640625" style="645" hidden="1" customWidth="1"/>
    <col min="73" max="73" width="11.26953125" style="645" hidden="1" customWidth="1"/>
    <col min="74" max="74" width="8.81640625" style="646" hidden="1" customWidth="1"/>
    <col min="75" max="83" width="8.81640625" style="647" hidden="1" customWidth="1"/>
    <col min="84" max="84" width="12.1796875" style="647" hidden="1" customWidth="1"/>
    <col min="85" max="86" width="8.81640625" style="647" hidden="1" customWidth="1"/>
    <col min="87" max="87" width="11.54296875" style="647" hidden="1" customWidth="1"/>
    <col min="88" max="90" width="8.81640625" style="660" hidden="1" customWidth="1"/>
    <col min="91" max="91" width="0.54296875" style="660" hidden="1" customWidth="1"/>
    <col min="92" max="92" width="3" style="660" hidden="1" customWidth="1"/>
    <col min="93" max="97" width="8.81640625" style="660" hidden="1" customWidth="1"/>
    <col min="98" max="166" width="8.81640625" style="640" hidden="1" customWidth="1"/>
    <col min="167" max="168" width="8.81640625" style="714" hidden="1" customWidth="1"/>
    <col min="169" max="16384" width="8.81640625" style="660" hidden="1"/>
  </cols>
  <sheetData>
    <row r="1" spans="1:168" s="640" customFormat="1">
      <c r="D1" s="641"/>
      <c r="G1" s="642"/>
      <c r="J1" s="642"/>
      <c r="K1" s="643"/>
      <c r="M1" s="644"/>
      <c r="N1" s="642"/>
      <c r="Q1" s="642"/>
      <c r="T1" s="642"/>
      <c r="U1" s="643"/>
      <c r="X1" s="645"/>
      <c r="Y1" s="646"/>
      <c r="Z1" s="673"/>
      <c r="AA1" s="646"/>
      <c r="AB1" s="646"/>
      <c r="AC1" s="646"/>
      <c r="AD1" s="646"/>
      <c r="AE1" s="646"/>
      <c r="AF1" s="646"/>
      <c r="AG1" s="646"/>
      <c r="AH1" s="646"/>
      <c r="AI1" s="646"/>
      <c r="AJ1" s="646"/>
      <c r="AK1" s="646"/>
      <c r="AL1" s="646"/>
      <c r="AM1" s="646"/>
      <c r="AN1" s="911"/>
      <c r="AO1" s="911"/>
      <c r="AP1" s="911"/>
      <c r="AQ1" s="911"/>
      <c r="AR1" s="911"/>
      <c r="AS1" s="911"/>
      <c r="AT1" s="911"/>
      <c r="AU1" s="911"/>
      <c r="AV1" s="911"/>
      <c r="AW1" s="911"/>
      <c r="AX1" s="911"/>
      <c r="AY1" s="911"/>
      <c r="AZ1" s="911"/>
      <c r="BA1" s="911"/>
      <c r="BB1" s="911"/>
      <c r="BC1" s="911"/>
      <c r="BD1" s="911"/>
      <c r="BE1" s="911"/>
      <c r="BF1" s="911"/>
      <c r="BG1" s="911"/>
      <c r="BH1" s="911"/>
      <c r="BI1" s="911"/>
      <c r="BJ1" s="911"/>
      <c r="BK1" s="911"/>
      <c r="BL1" s="911"/>
      <c r="BM1" s="911"/>
      <c r="BN1" s="911"/>
      <c r="BO1" s="911"/>
      <c r="BP1" s="646"/>
      <c r="BQ1" s="646"/>
      <c r="BR1" s="645"/>
      <c r="BS1" s="645"/>
      <c r="BT1" s="645"/>
      <c r="BU1" s="645"/>
      <c r="BV1" s="646"/>
      <c r="BW1" s="646"/>
      <c r="BX1" s="646"/>
      <c r="BY1" s="646"/>
      <c r="BZ1" s="646"/>
      <c r="CA1" s="646"/>
      <c r="CB1" s="646"/>
      <c r="CC1" s="646"/>
      <c r="CD1" s="646"/>
      <c r="CE1" s="646"/>
      <c r="CF1" s="647"/>
      <c r="CG1" s="647"/>
      <c r="CH1" s="647"/>
      <c r="CI1" s="647"/>
      <c r="FK1" s="714"/>
      <c r="FL1" s="714"/>
    </row>
    <row r="2" spans="1:168" s="640" customFormat="1" ht="43.15" customHeight="1">
      <c r="B2" s="1117"/>
      <c r="C2" s="1117"/>
      <c r="D2" s="1117"/>
      <c r="E2" s="1117"/>
      <c r="F2" s="1117"/>
      <c r="G2" s="1117"/>
      <c r="H2" s="1117"/>
      <c r="I2" s="1117"/>
      <c r="J2" s="1117"/>
      <c r="K2" s="1117"/>
      <c r="L2" s="1117"/>
      <c r="M2" s="1117"/>
      <c r="N2" s="1117"/>
      <c r="O2" s="1117"/>
      <c r="P2" s="1117"/>
      <c r="Q2" s="1117"/>
      <c r="R2" s="1117"/>
      <c r="S2" s="1117"/>
      <c r="T2" s="1117"/>
      <c r="U2" s="1117"/>
      <c r="X2" s="645"/>
      <c r="Y2" s="646"/>
      <c r="Z2" s="673"/>
      <c r="AA2" s="646"/>
      <c r="AB2" s="646"/>
      <c r="AC2" s="646"/>
      <c r="AD2" s="646"/>
      <c r="AE2" s="646"/>
      <c r="AF2" s="646"/>
      <c r="AG2" s="646"/>
      <c r="AH2" s="646"/>
      <c r="AI2" s="646"/>
      <c r="AJ2" s="646"/>
      <c r="AK2" s="646"/>
      <c r="AL2" s="646"/>
      <c r="AM2" s="646"/>
      <c r="AN2" s="911"/>
      <c r="AO2" s="13"/>
      <c r="AP2" s="945" t="s">
        <v>2</v>
      </c>
      <c r="AQ2" s="945" t="s">
        <v>3</v>
      </c>
      <c r="AR2" s="945" t="s">
        <v>4</v>
      </c>
      <c r="AS2" s="945" t="s">
        <v>5</v>
      </c>
      <c r="AT2" s="945" t="s">
        <v>6</v>
      </c>
      <c r="AU2" s="945" t="s">
        <v>7</v>
      </c>
      <c r="AV2" s="945" t="s">
        <v>8</v>
      </c>
      <c r="AW2" s="13"/>
      <c r="AX2" s="945" t="s">
        <v>9</v>
      </c>
      <c r="AY2" s="13"/>
      <c r="AZ2" s="12"/>
      <c r="BA2" s="12"/>
      <c r="BB2" s="12"/>
      <c r="BC2" s="12"/>
      <c r="BD2" s="12"/>
      <c r="BE2" s="12"/>
      <c r="BF2" s="12"/>
      <c r="BG2" s="12"/>
      <c r="BH2" s="12"/>
      <c r="BI2" s="12"/>
      <c r="BJ2" s="12"/>
      <c r="BK2" s="12"/>
      <c r="BL2" s="12"/>
      <c r="BM2" s="12"/>
      <c r="BN2" s="911"/>
      <c r="BO2" s="911"/>
      <c r="BP2" s="945" t="s">
        <v>5</v>
      </c>
      <c r="BQ2" s="945" t="s">
        <v>6</v>
      </c>
      <c r="BR2" s="945" t="s">
        <v>7</v>
      </c>
      <c r="BS2" s="945" t="s">
        <v>8</v>
      </c>
      <c r="BT2" s="13"/>
      <c r="BU2" s="945" t="s">
        <v>9</v>
      </c>
      <c r="BV2" s="13"/>
      <c r="BW2" s="646"/>
      <c r="BX2" s="646"/>
      <c r="BY2" s="646"/>
      <c r="BZ2" s="646"/>
      <c r="CA2" s="646"/>
      <c r="CB2" s="646"/>
      <c r="CC2" s="646"/>
      <c r="CD2" s="646"/>
      <c r="CE2" s="646"/>
      <c r="CF2" s="647"/>
      <c r="CG2" s="647"/>
      <c r="CH2" s="647"/>
      <c r="CI2" s="647"/>
      <c r="FK2" s="714"/>
      <c r="FL2" s="714"/>
    </row>
    <row r="3" spans="1:168" s="640" customFormat="1">
      <c r="D3" s="641"/>
      <c r="G3" s="642"/>
      <c r="J3" s="642"/>
      <c r="K3" s="643"/>
      <c r="M3" s="644"/>
      <c r="N3" s="642"/>
      <c r="Q3" s="642"/>
      <c r="T3" s="642"/>
      <c r="U3" s="643"/>
      <c r="X3" s="645"/>
      <c r="Y3" s="646"/>
      <c r="Z3" s="673"/>
      <c r="AA3" s="646"/>
      <c r="AB3" s="646"/>
      <c r="AC3" s="646"/>
      <c r="AD3" s="646"/>
      <c r="AE3" s="646"/>
      <c r="AF3" s="646"/>
      <c r="AG3" s="646"/>
      <c r="AH3" s="646"/>
      <c r="AI3" s="646"/>
      <c r="AJ3" s="646"/>
      <c r="AK3" s="646"/>
      <c r="AL3" s="646"/>
      <c r="AM3" s="646"/>
      <c r="AN3" s="911"/>
      <c r="AO3" s="12" t="s">
        <v>32</v>
      </c>
      <c r="AP3" s="42"/>
      <c r="AQ3" s="50">
        <f>BI30</f>
        <v>0</v>
      </c>
      <c r="AR3" s="50">
        <f>(SUM(AD19)+SUM(AD27)+(SUM(AD15)*80%)+(SUM(AK19)*80%)+(SUM(AX19+AR19)*0.8)+(SUM(AK28)*80%)+(SUM(AK33)*80%))-AQ3</f>
        <v>0</v>
      </c>
      <c r="AS3" s="43">
        <f>(AV10*(SUM(AU10:AU13))/12)</f>
        <v>0</v>
      </c>
      <c r="AT3" s="40">
        <f>((E34+O34+E38)*125%)+E49+E50+E51+((O36*3.8%))</f>
        <v>0</v>
      </c>
      <c r="AU3" s="51">
        <f>BI41+BL43</f>
        <v>0</v>
      </c>
      <c r="AV3" s="40">
        <f>((AD15+AD16+AD17)*125%)+(((AI15+AI16)*3%))</f>
        <v>0</v>
      </c>
      <c r="AW3" s="13"/>
      <c r="AX3" s="39">
        <f>AQ7-AU7</f>
        <v>0</v>
      </c>
      <c r="AY3" s="13" t="s">
        <v>15</v>
      </c>
      <c r="AZ3" s="12"/>
      <c r="BA3" s="12"/>
      <c r="BB3" s="12"/>
      <c r="BC3" s="12"/>
      <c r="BD3" s="12"/>
      <c r="BE3" s="12"/>
      <c r="BF3" s="12"/>
      <c r="BG3" s="12"/>
      <c r="BH3" s="12"/>
      <c r="BI3" s="12"/>
      <c r="BJ3" s="12"/>
      <c r="BK3" s="12"/>
      <c r="BL3" s="12"/>
      <c r="BM3" s="12"/>
      <c r="BN3" s="911"/>
      <c r="BO3" s="911"/>
      <c r="BP3" s="43">
        <f>(BS10*(SUM(BR10:BR13))/12)</f>
        <v>0</v>
      </c>
      <c r="BQ3" s="40">
        <f>((E34+O34+E38)*125%)+((O36*3%))</f>
        <v>0</v>
      </c>
      <c r="BR3" s="51">
        <f>CF41+CI43</f>
        <v>0</v>
      </c>
      <c r="BS3" s="40">
        <f>((AD33+AD34+AD35)*125%)+(((AJ33+AJ34)*3%))-BR3</f>
        <v>0</v>
      </c>
      <c r="BT3" s="13"/>
      <c r="BU3" s="39">
        <f>AQ7-BR7</f>
        <v>0</v>
      </c>
      <c r="BV3" s="13" t="s">
        <v>15</v>
      </c>
      <c r="BW3" s="646"/>
      <c r="BX3" s="646"/>
      <c r="BY3" s="646"/>
      <c r="BZ3" s="646"/>
      <c r="CA3" s="646"/>
      <c r="CB3" s="646"/>
      <c r="CC3" s="646"/>
      <c r="CD3" s="646"/>
      <c r="CE3" s="646"/>
      <c r="CF3" s="647"/>
      <c r="CG3" s="647"/>
      <c r="CH3" s="647"/>
      <c r="CI3" s="647"/>
      <c r="FK3" s="714"/>
      <c r="FL3" s="714"/>
    </row>
    <row r="4" spans="1:168" s="654" customFormat="1" ht="18" customHeight="1">
      <c r="A4" s="651"/>
      <c r="B4" s="1405" t="s">
        <v>16</v>
      </c>
      <c r="C4" s="1406"/>
      <c r="D4" s="1407"/>
      <c r="E4" s="1408"/>
      <c r="F4" s="1408"/>
      <c r="G4" s="1408"/>
      <c r="H4" s="1408"/>
      <c r="I4" s="1408"/>
      <c r="J4" s="1408"/>
      <c r="K4" s="1409"/>
      <c r="L4" s="1408"/>
      <c r="M4" s="1410"/>
      <c r="N4" s="1408"/>
      <c r="O4" s="1408"/>
      <c r="P4" s="1408"/>
      <c r="Q4" s="1408"/>
      <c r="R4" s="1408"/>
      <c r="S4" s="1408"/>
      <c r="T4" s="1408"/>
      <c r="U4" s="1411"/>
      <c r="V4" s="651"/>
      <c r="W4" s="651"/>
      <c r="X4" s="645"/>
      <c r="Y4" s="896"/>
      <c r="Z4" s="897"/>
      <c r="AA4" s="896"/>
      <c r="AB4" s="896"/>
      <c r="AC4" s="896"/>
      <c r="AD4" s="896"/>
      <c r="AE4" s="896"/>
      <c r="AF4" s="896"/>
      <c r="AG4" s="896"/>
      <c r="AH4" s="896"/>
      <c r="AI4" s="896"/>
      <c r="AJ4" s="896"/>
      <c r="AK4" s="896"/>
      <c r="AL4" s="896"/>
      <c r="AM4" s="896"/>
      <c r="AN4" s="911"/>
      <c r="AO4" s="12" t="s">
        <v>39</v>
      </c>
      <c r="AP4" s="42"/>
      <c r="AQ4" s="39">
        <f>BL30</f>
        <v>0</v>
      </c>
      <c r="AR4" s="50">
        <f>(SUM(AD20)+SUM(AD28)+(SUM(AD16)*80%)+(SUM(AK20)*80%)+(SUM(AX20+AR20)*0.8)+(SUM(AK29)*80%)+(SUM(AK34)*80%))-AQ4</f>
        <v>0</v>
      </c>
      <c r="AS4" s="946"/>
      <c r="AT4" s="13"/>
      <c r="AU4" s="13"/>
      <c r="AV4" s="946"/>
      <c r="AW4" s="13"/>
      <c r="AX4" s="43" t="b">
        <f>IF(IF(((AX3*12)&gt;(AV10)),(AV10/12),(AX3)),(AV10/12))</f>
        <v>0</v>
      </c>
      <c r="AY4" s="947" t="s">
        <v>23</v>
      </c>
      <c r="AZ4" s="45"/>
      <c r="BA4" s="45"/>
      <c r="BB4" s="45"/>
      <c r="BC4" s="45"/>
      <c r="BD4" s="45"/>
      <c r="BE4" s="45"/>
      <c r="BF4" s="45"/>
      <c r="BG4" s="45"/>
      <c r="BH4" s="45"/>
      <c r="BI4" s="45"/>
      <c r="BJ4" s="45"/>
      <c r="BK4" s="45"/>
      <c r="BL4" s="45"/>
      <c r="BM4" s="45"/>
      <c r="BN4" s="911"/>
      <c r="BO4" s="911"/>
      <c r="BP4" s="946"/>
      <c r="BQ4" s="13"/>
      <c r="BR4" s="13"/>
      <c r="BS4" s="946"/>
      <c r="BT4" s="13"/>
      <c r="BU4" s="43" t="b">
        <f>IF(IF(((BU3*12)&gt;(BS10)),(BS10/12),(BU3)),(BS10/12))</f>
        <v>0</v>
      </c>
      <c r="BV4" s="947" t="s">
        <v>23</v>
      </c>
      <c r="BW4" s="911"/>
      <c r="BX4" s="896"/>
      <c r="BY4" s="896"/>
      <c r="BZ4" s="896"/>
      <c r="CA4" s="896"/>
      <c r="CB4" s="896"/>
      <c r="CC4" s="896"/>
      <c r="CD4" s="896"/>
      <c r="CE4" s="896"/>
      <c r="CF4" s="901"/>
      <c r="CG4" s="901"/>
      <c r="CH4" s="901"/>
      <c r="CI4" s="901"/>
      <c r="CL4" s="651"/>
      <c r="CM4" s="651"/>
      <c r="CN4" s="651"/>
      <c r="CO4" s="651"/>
      <c r="CP4" s="651"/>
      <c r="CQ4" s="651"/>
      <c r="CR4" s="651"/>
      <c r="CS4" s="651"/>
      <c r="CT4" s="651"/>
      <c r="CU4" s="651"/>
      <c r="CV4" s="651"/>
      <c r="CW4" s="651"/>
      <c r="CX4" s="651"/>
      <c r="CY4" s="651"/>
      <c r="CZ4" s="651"/>
      <c r="DA4" s="651"/>
      <c r="DB4" s="651"/>
      <c r="DC4" s="651"/>
      <c r="DD4" s="651"/>
      <c r="DE4" s="651"/>
      <c r="DF4" s="651"/>
      <c r="DG4" s="651"/>
      <c r="DH4" s="651"/>
      <c r="DI4" s="651"/>
      <c r="DJ4" s="651"/>
      <c r="DK4" s="651"/>
      <c r="DL4" s="651"/>
      <c r="DM4" s="651"/>
      <c r="DN4" s="651"/>
      <c r="DO4" s="651"/>
      <c r="DP4" s="651"/>
      <c r="DQ4" s="651"/>
      <c r="DR4" s="651"/>
      <c r="DS4" s="651"/>
      <c r="DT4" s="651"/>
      <c r="DU4" s="651"/>
      <c r="DV4" s="651"/>
      <c r="DW4" s="651"/>
      <c r="DX4" s="651"/>
      <c r="DY4" s="651"/>
      <c r="DZ4" s="651"/>
      <c r="EA4" s="651"/>
      <c r="EB4" s="651"/>
      <c r="EC4" s="651"/>
      <c r="ED4" s="651"/>
      <c r="EE4" s="651"/>
      <c r="EF4" s="651"/>
      <c r="EG4" s="651"/>
      <c r="EH4" s="651"/>
      <c r="EI4" s="651"/>
      <c r="EJ4" s="651"/>
      <c r="EK4" s="651"/>
      <c r="EL4" s="651"/>
      <c r="EM4" s="651"/>
      <c r="EN4" s="651"/>
      <c r="EO4" s="651"/>
      <c r="EP4" s="651"/>
      <c r="EQ4" s="651"/>
      <c r="ER4" s="651"/>
      <c r="ES4" s="651"/>
      <c r="ET4" s="651"/>
      <c r="EU4" s="651"/>
      <c r="EV4" s="651"/>
      <c r="EW4" s="651"/>
      <c r="EX4" s="651"/>
      <c r="EY4" s="651"/>
      <c r="EZ4" s="651"/>
      <c r="FA4" s="651"/>
      <c r="FB4" s="651"/>
      <c r="FC4" s="651"/>
      <c r="FD4" s="651"/>
      <c r="FE4" s="651"/>
      <c r="FF4" s="651"/>
      <c r="FG4" s="651"/>
      <c r="FH4" s="651"/>
      <c r="FI4" s="651"/>
      <c r="FJ4" s="651"/>
      <c r="FK4" s="715"/>
      <c r="FL4" s="715"/>
    </row>
    <row r="5" spans="1:168">
      <c r="B5" s="1356" t="s">
        <v>176</v>
      </c>
      <c r="C5" s="1357"/>
      <c r="D5" s="1358" t="str">
        <f>IF(ISBLANK(E5), "   &lt;First Name, Last Name&gt;", E5)</f>
        <v xml:space="preserve">   &lt;First Name, Last Name&gt;</v>
      </c>
      <c r="E5" s="1475"/>
      <c r="F5" s="1475"/>
      <c r="G5" s="1475"/>
      <c r="H5" s="1475"/>
      <c r="I5" s="1475"/>
      <c r="J5" s="1475"/>
      <c r="K5" s="1475"/>
      <c r="L5" s="1359" t="s">
        <v>177</v>
      </c>
      <c r="M5" s="1360"/>
      <c r="N5" s="1361" t="str">
        <f>IF(ISBLANK(O5), "&lt;Select&gt;", "")</f>
        <v>&lt;Select&gt;</v>
      </c>
      <c r="O5" s="1471"/>
      <c r="P5" s="1328"/>
      <c r="Q5" s="1328"/>
      <c r="R5" s="1359" t="s">
        <v>178</v>
      </c>
      <c r="S5" s="1357"/>
      <c r="T5" s="1361" t="str">
        <f>IF(ISBLANK(U5), "&lt;If in AUS&gt;", "")</f>
        <v>&lt;If in AUS&gt;</v>
      </c>
      <c r="U5" s="1477"/>
      <c r="Y5" s="896"/>
      <c r="Z5" s="897"/>
      <c r="AA5" s="902">
        <v>50000</v>
      </c>
      <c r="AB5" s="896"/>
      <c r="AC5" s="896"/>
      <c r="AD5" s="897"/>
      <c r="AE5" s="896"/>
      <c r="AF5" s="896"/>
      <c r="AG5" s="896"/>
      <c r="AH5" s="896"/>
      <c r="AI5" s="896"/>
      <c r="AJ5" s="896"/>
      <c r="AK5" s="896"/>
      <c r="AL5" s="896"/>
      <c r="AM5" s="896"/>
      <c r="AN5" s="911"/>
      <c r="AO5" s="12"/>
      <c r="AP5" s="42"/>
      <c r="AQ5" s="39"/>
      <c r="AR5" s="50"/>
      <c r="AS5" s="13"/>
      <c r="AT5" s="13"/>
      <c r="AU5" s="13"/>
      <c r="AV5" s="13"/>
      <c r="AW5" s="13"/>
      <c r="AX5" s="13"/>
      <c r="AY5" s="13"/>
      <c r="AZ5" s="12"/>
      <c r="BA5" s="12"/>
      <c r="BB5" s="12"/>
      <c r="BC5" s="12"/>
      <c r="BD5" s="12"/>
      <c r="BE5" s="12"/>
      <c r="BF5" s="12"/>
      <c r="BG5" s="12"/>
      <c r="BH5" s="12"/>
      <c r="BI5" s="12"/>
      <c r="BJ5" s="12"/>
      <c r="BK5" s="12"/>
      <c r="BL5" s="12"/>
      <c r="BM5" s="12"/>
      <c r="BN5" s="911"/>
      <c r="BO5" s="911"/>
      <c r="BP5" s="13"/>
      <c r="BQ5" s="13"/>
      <c r="BR5" s="13"/>
      <c r="BS5" s="13"/>
      <c r="BT5" s="13"/>
      <c r="BU5" s="13"/>
      <c r="BV5" s="13"/>
      <c r="BW5" s="911"/>
      <c r="BX5" s="896"/>
      <c r="BY5" s="896"/>
      <c r="BZ5" s="896"/>
      <c r="CA5" s="896"/>
      <c r="CB5" s="896"/>
      <c r="CC5" s="896"/>
      <c r="CD5" s="896"/>
      <c r="CE5" s="896"/>
      <c r="CF5" s="901"/>
      <c r="CG5" s="901"/>
      <c r="CH5" s="901"/>
      <c r="CI5" s="901"/>
      <c r="CL5" s="640"/>
      <c r="CM5" s="640"/>
      <c r="CN5" s="640"/>
      <c r="CO5" s="640"/>
      <c r="CP5" s="640"/>
      <c r="CQ5" s="640"/>
      <c r="CR5" s="640"/>
      <c r="CS5" s="640"/>
    </row>
    <row r="6" spans="1:168">
      <c r="B6" s="1362" t="s">
        <v>95</v>
      </c>
      <c r="C6" s="1357"/>
      <c r="D6" s="1363" t="str">
        <f t="shared" ref="D6" si="0">IF(ISBLANK(E6), "&lt;First Name, Last Name&gt;", E6)</f>
        <v>&lt;First Name, Last Name&gt;</v>
      </c>
      <c r="E6" s="1476"/>
      <c r="F6" s="1475"/>
      <c r="G6" s="1475"/>
      <c r="H6" s="1475"/>
      <c r="I6" s="1475"/>
      <c r="J6" s="1475"/>
      <c r="K6" s="1475"/>
      <c r="L6" s="1364" t="s">
        <v>95</v>
      </c>
      <c r="M6" s="1360"/>
      <c r="N6" s="1365" t="str">
        <f t="shared" ref="N6" si="1">IF(ISBLANK(O6), "&lt;Select&gt;", O6)</f>
        <v>&lt;Select&gt;</v>
      </c>
      <c r="O6" s="1471"/>
      <c r="P6" s="1328"/>
      <c r="Q6" s="1328"/>
      <c r="R6" s="1364" t="s">
        <v>95</v>
      </c>
      <c r="S6" s="1357"/>
      <c r="T6" s="1366" t="str">
        <f t="shared" ref="T6" si="2">IF(ISBLANK(U6), "&lt;If in Aus&gt;", U6)</f>
        <v>&lt;If in Aus&gt;</v>
      </c>
      <c r="U6" s="1477"/>
      <c r="Y6" s="896"/>
      <c r="Z6" s="897"/>
      <c r="AA6" s="903">
        <f>AA5/'Exchange Rates'!D14</f>
        <v>70965.269597059203</v>
      </c>
      <c r="AB6" s="896" t="s">
        <v>34</v>
      </c>
      <c r="AC6" s="896"/>
      <c r="AD6" s="897"/>
      <c r="AE6" s="896"/>
      <c r="AF6" s="896"/>
      <c r="AG6" s="896"/>
      <c r="AH6" s="896"/>
      <c r="AI6" s="896"/>
      <c r="AJ6" s="896"/>
      <c r="AK6" s="896"/>
      <c r="AL6" s="896"/>
      <c r="AM6" s="896"/>
      <c r="AN6" s="911"/>
      <c r="AO6" s="12"/>
      <c r="AP6" s="42"/>
      <c r="AQ6" s="39"/>
      <c r="AR6" s="50"/>
      <c r="AS6" s="13"/>
      <c r="AT6" s="13"/>
      <c r="AU6" s="13"/>
      <c r="AV6" s="13"/>
      <c r="AW6" s="13"/>
      <c r="AX6" s="38">
        <f>AP7</f>
        <v>0</v>
      </c>
      <c r="AY6" s="13" t="s">
        <v>40</v>
      </c>
      <c r="AZ6" s="12"/>
      <c r="BA6" s="12"/>
      <c r="BB6" s="12"/>
      <c r="BC6" s="12"/>
      <c r="BD6" s="12"/>
      <c r="BE6" s="12"/>
      <c r="BF6" s="12"/>
      <c r="BG6" s="12"/>
      <c r="BH6" s="12"/>
      <c r="BI6" s="12"/>
      <c r="BJ6" s="12"/>
      <c r="BK6" s="12"/>
      <c r="BL6" s="12"/>
      <c r="BM6" s="12"/>
      <c r="BN6" s="911"/>
      <c r="BO6" s="911"/>
      <c r="BP6" s="13"/>
      <c r="BQ6" s="13"/>
      <c r="BR6" s="13"/>
      <c r="BS6" s="13"/>
      <c r="BT6" s="13"/>
      <c r="BU6" s="38">
        <f>AP7</f>
        <v>0</v>
      </c>
      <c r="BV6" s="13" t="s">
        <v>40</v>
      </c>
      <c r="BW6" s="911"/>
      <c r="BX6" s="896"/>
      <c r="BY6" s="896"/>
      <c r="BZ6" s="896"/>
      <c r="CA6" s="896"/>
      <c r="CB6" s="896"/>
      <c r="CC6" s="896"/>
      <c r="CD6" s="896"/>
      <c r="CE6" s="896"/>
      <c r="CF6" s="901"/>
      <c r="CG6" s="901"/>
      <c r="CH6" s="901"/>
      <c r="CI6" s="901"/>
      <c r="CL6" s="640"/>
      <c r="CM6" s="640"/>
      <c r="CN6" s="640"/>
      <c r="CO6" s="640"/>
      <c r="CP6" s="640"/>
      <c r="CQ6" s="640"/>
      <c r="CR6" s="640"/>
      <c r="CS6" s="640"/>
    </row>
    <row r="7" spans="1:168" ht="12.75" customHeight="1">
      <c r="B7" s="1367"/>
      <c r="C7" s="1357"/>
      <c r="D7" s="1368"/>
      <c r="E7" s="1328"/>
      <c r="F7" s="1328"/>
      <c r="G7" s="1328"/>
      <c r="H7" s="1328"/>
      <c r="I7" s="1328"/>
      <c r="J7" s="1328"/>
      <c r="K7" s="1330"/>
      <c r="L7" s="1357"/>
      <c r="M7" s="1360"/>
      <c r="N7" s="1357"/>
      <c r="O7" s="1328"/>
      <c r="P7" s="1328"/>
      <c r="Q7" s="1328"/>
      <c r="R7" s="1328"/>
      <c r="S7" s="1328"/>
      <c r="T7" s="1328"/>
      <c r="U7" s="1369"/>
      <c r="Y7" s="896"/>
      <c r="Z7" s="897"/>
      <c r="AA7" s="896"/>
      <c r="AB7" s="896"/>
      <c r="AC7" s="896"/>
      <c r="AD7" s="897"/>
      <c r="AE7" s="896"/>
      <c r="AF7" s="896"/>
      <c r="AG7" s="896"/>
      <c r="AH7" s="896"/>
      <c r="AI7" s="896"/>
      <c r="AJ7" s="896"/>
      <c r="AK7" s="896"/>
      <c r="AL7" s="896"/>
      <c r="AM7" s="896"/>
      <c r="AN7" s="911"/>
      <c r="AO7" s="13"/>
      <c r="AP7" s="38">
        <f>SUM(AP3:AP6)</f>
        <v>0</v>
      </c>
      <c r="AQ7" s="44">
        <f>SUM(AQ3:AQ6)</f>
        <v>0</v>
      </c>
      <c r="AR7" s="38">
        <f>SUM(AR3:AR6)</f>
        <v>0</v>
      </c>
      <c r="AS7" s="13"/>
      <c r="AT7" s="47">
        <f>SUM(AT3:AT6)</f>
        <v>0</v>
      </c>
      <c r="AU7" s="43">
        <f>SUM(AU3:AU6)</f>
        <v>0</v>
      </c>
      <c r="AV7" s="47">
        <f>SUM(AV3:AV6)</f>
        <v>0</v>
      </c>
      <c r="AW7" s="13"/>
      <c r="AX7" s="38">
        <f>AR7</f>
        <v>0</v>
      </c>
      <c r="AY7" s="13" t="s">
        <v>44</v>
      </c>
      <c r="AZ7" s="12"/>
      <c r="BA7" s="12"/>
      <c r="BB7" s="12"/>
      <c r="BC7" s="12"/>
      <c r="BD7" s="12"/>
      <c r="BE7" s="12"/>
      <c r="BF7" s="12"/>
      <c r="BG7" s="12"/>
      <c r="BH7" s="12"/>
      <c r="BI7" s="12"/>
      <c r="BJ7" s="12"/>
      <c r="BK7" s="12"/>
      <c r="BL7" s="12"/>
      <c r="BM7" s="12"/>
      <c r="BN7" s="911"/>
      <c r="BO7" s="911"/>
      <c r="BP7" s="13"/>
      <c r="BQ7" s="47">
        <f>SUM(BQ3:BQ6)</f>
        <v>0</v>
      </c>
      <c r="BR7" s="43">
        <f>SUM(BR3:BR6)</f>
        <v>0</v>
      </c>
      <c r="BS7" s="47">
        <f>SUM(BS3:BS6)</f>
        <v>0</v>
      </c>
      <c r="BT7" s="13"/>
      <c r="BU7" s="38">
        <f>BO7</f>
        <v>0</v>
      </c>
      <c r="BV7" s="13" t="s">
        <v>44</v>
      </c>
      <c r="BW7" s="911"/>
      <c r="BX7" s="896"/>
      <c r="BY7" s="896"/>
      <c r="BZ7" s="896"/>
      <c r="CA7" s="896"/>
      <c r="CB7" s="896"/>
      <c r="CC7" s="896"/>
      <c r="CD7" s="896"/>
      <c r="CE7" s="896"/>
      <c r="CF7" s="901"/>
      <c r="CG7" s="901"/>
      <c r="CH7" s="901"/>
      <c r="CI7" s="901"/>
      <c r="CL7" s="640"/>
      <c r="CM7" s="640"/>
      <c r="CN7" s="640"/>
      <c r="CO7" s="640"/>
      <c r="CP7" s="640"/>
      <c r="CQ7" s="640"/>
      <c r="CR7" s="640"/>
      <c r="CS7" s="640"/>
    </row>
    <row r="8" spans="1:168" ht="9" hidden="1" customHeight="1">
      <c r="B8" s="1371"/>
      <c r="C8" s="1372"/>
      <c r="D8" s="1373"/>
      <c r="E8" s="1374"/>
      <c r="F8" s="1374"/>
      <c r="G8" s="1374"/>
      <c r="H8" s="1374"/>
      <c r="I8" s="1374"/>
      <c r="J8" s="1374"/>
      <c r="K8" s="1374"/>
      <c r="L8" s="1092"/>
      <c r="M8" s="1093"/>
      <c r="N8" s="1094"/>
      <c r="O8" s="1374"/>
      <c r="P8" s="1374"/>
      <c r="Q8" s="1374"/>
      <c r="R8" s="1374"/>
      <c r="S8" s="1374"/>
      <c r="T8" s="1374"/>
      <c r="U8" s="1375"/>
      <c r="Y8" s="896"/>
      <c r="Z8" s="897"/>
      <c r="AA8" s="896"/>
      <c r="AB8" s="896"/>
      <c r="AC8" s="896"/>
      <c r="AD8" s="897"/>
      <c r="AE8" s="896"/>
      <c r="AF8" s="896"/>
      <c r="AG8" s="896"/>
      <c r="AH8" s="896"/>
      <c r="AI8" s="896"/>
      <c r="AJ8" s="896"/>
      <c r="AK8" s="896"/>
      <c r="AL8" s="896"/>
      <c r="AM8" s="896"/>
      <c r="AN8" s="911"/>
      <c r="AO8" s="948" t="s">
        <v>49</v>
      </c>
      <c r="AP8" s="946" t="s">
        <v>50</v>
      </c>
      <c r="AQ8" s="946"/>
      <c r="AR8" s="948" t="s">
        <v>51</v>
      </c>
      <c r="AS8" s="946"/>
      <c r="AT8" s="946"/>
      <c r="AU8" s="949" t="s">
        <v>52</v>
      </c>
      <c r="AV8" s="949" t="s">
        <v>53</v>
      </c>
      <c r="AW8" s="946"/>
      <c r="AX8" s="46">
        <f>SUM(AX4:AX7)</f>
        <v>0</v>
      </c>
      <c r="AY8" s="950" t="s">
        <v>54</v>
      </c>
      <c r="AZ8" s="955"/>
      <c r="BA8" s="955"/>
      <c r="BB8" s="955"/>
      <c r="BC8" s="955"/>
      <c r="BD8" s="955"/>
      <c r="BE8" s="955"/>
      <c r="BF8" s="955"/>
      <c r="BG8" s="955"/>
      <c r="BH8" s="955"/>
      <c r="BI8" s="955"/>
      <c r="BJ8" s="955"/>
      <c r="BK8" s="955"/>
      <c r="BL8" s="955"/>
      <c r="BM8" s="955"/>
      <c r="BN8" s="911"/>
      <c r="BO8" s="911"/>
      <c r="BP8" s="946"/>
      <c r="BQ8" s="946"/>
      <c r="BR8" s="949" t="s">
        <v>52</v>
      </c>
      <c r="BS8" s="949" t="s">
        <v>53</v>
      </c>
      <c r="BT8" s="946"/>
      <c r="BU8" s="46">
        <f>SUM(BU4:BU7)</f>
        <v>0</v>
      </c>
      <c r="BV8" s="950" t="s">
        <v>54</v>
      </c>
      <c r="BW8" s="911"/>
      <c r="BX8" s="896"/>
      <c r="BY8" s="896"/>
      <c r="BZ8" s="896"/>
      <c r="CA8" s="896"/>
      <c r="CB8" s="896"/>
      <c r="CC8" s="896"/>
      <c r="CD8" s="896"/>
      <c r="CE8" s="896"/>
      <c r="CF8" s="901"/>
      <c r="CG8" s="901"/>
      <c r="CH8" s="901"/>
      <c r="CI8" s="901"/>
      <c r="CL8" s="640"/>
      <c r="CM8" s="640"/>
      <c r="CN8" s="640"/>
      <c r="CO8" s="640"/>
      <c r="CP8" s="640"/>
      <c r="CQ8" s="640"/>
      <c r="CR8" s="640"/>
      <c r="CS8" s="640"/>
    </row>
    <row r="9" spans="1:168" ht="8.25" hidden="1" customHeight="1">
      <c r="B9" s="1371"/>
      <c r="C9" s="1372"/>
      <c r="D9" s="1373"/>
      <c r="E9" s="1374"/>
      <c r="F9" s="1374"/>
      <c r="G9" s="1374"/>
      <c r="H9" s="1374"/>
      <c r="I9" s="1374"/>
      <c r="J9" s="1374"/>
      <c r="K9" s="1374"/>
      <c r="L9" s="1372"/>
      <c r="M9" s="1095"/>
      <c r="N9" s="1372"/>
      <c r="O9" s="1374"/>
      <c r="P9" s="1374"/>
      <c r="Q9" s="1374"/>
      <c r="R9" s="1374"/>
      <c r="S9" s="1374"/>
      <c r="T9" s="1374"/>
      <c r="U9" s="1375"/>
      <c r="Y9" s="896"/>
      <c r="Z9" s="897"/>
      <c r="AA9" s="896"/>
      <c r="AB9" s="896"/>
      <c r="AC9" s="896"/>
      <c r="AD9" s="897"/>
      <c r="AE9" s="896"/>
      <c r="AF9" s="896"/>
      <c r="AG9" s="896"/>
      <c r="AH9" s="896"/>
      <c r="AI9" s="896"/>
      <c r="AJ9" s="896"/>
      <c r="AK9" s="896"/>
      <c r="AL9" s="896"/>
      <c r="AM9" s="896"/>
      <c r="AN9" s="911"/>
      <c r="AO9" s="13"/>
      <c r="AP9" s="13" t="s">
        <v>59</v>
      </c>
      <c r="AQ9" s="13" t="s">
        <v>60</v>
      </c>
      <c r="AR9" s="13" t="s">
        <v>59</v>
      </c>
      <c r="AS9" s="13" t="s">
        <v>60</v>
      </c>
      <c r="AT9" s="12"/>
      <c r="AU9" s="13"/>
      <c r="AV9" s="13"/>
      <c r="AW9" s="951"/>
      <c r="AX9" s="13"/>
      <c r="AY9" s="13"/>
      <c r="AZ9" s="12"/>
      <c r="BA9" s="12"/>
      <c r="BB9" s="12"/>
      <c r="BC9" s="12"/>
      <c r="BD9" s="12"/>
      <c r="BE9" s="12"/>
      <c r="BF9" s="12"/>
      <c r="BG9" s="12"/>
      <c r="BH9" s="12"/>
      <c r="BI9" s="12"/>
      <c r="BJ9" s="12"/>
      <c r="BK9" s="12"/>
      <c r="BL9" s="12"/>
      <c r="BM9" s="12"/>
      <c r="BN9" s="911"/>
      <c r="BO9" s="911"/>
      <c r="BP9" s="13" t="s">
        <v>60</v>
      </c>
      <c r="BQ9" s="12"/>
      <c r="BR9" s="13"/>
      <c r="BS9" s="13"/>
      <c r="BT9" s="951"/>
      <c r="BU9" s="13"/>
      <c r="BV9" s="13"/>
      <c r="BW9" s="911"/>
      <c r="BX9" s="896"/>
      <c r="BY9" s="896"/>
      <c r="BZ9" s="896"/>
      <c r="CA9" s="896"/>
      <c r="CB9" s="896"/>
      <c r="CC9" s="896"/>
      <c r="CD9" s="896"/>
      <c r="CE9" s="896"/>
      <c r="CF9" s="901"/>
      <c r="CG9" s="901"/>
      <c r="CH9" s="901"/>
      <c r="CI9" s="901"/>
      <c r="CL9" s="640"/>
      <c r="CM9" s="640"/>
      <c r="CN9" s="640"/>
      <c r="CO9" s="640"/>
      <c r="CP9" s="640"/>
      <c r="CQ9" s="640"/>
      <c r="CR9" s="640"/>
      <c r="CS9" s="640"/>
    </row>
    <row r="10" spans="1:168" ht="9" customHeight="1">
      <c r="B10" s="1367"/>
      <c r="C10" s="1357"/>
      <c r="D10" s="1368"/>
      <c r="E10" s="1328"/>
      <c r="F10" s="1328"/>
      <c r="G10" s="1328"/>
      <c r="H10" s="1328"/>
      <c r="I10" s="1328"/>
      <c r="J10" s="1328"/>
      <c r="K10" s="1330"/>
      <c r="L10" s="1357"/>
      <c r="M10" s="1360"/>
      <c r="N10" s="1357"/>
      <c r="O10" s="1328"/>
      <c r="P10" s="1328"/>
      <c r="Q10" s="1328"/>
      <c r="R10" s="1328"/>
      <c r="S10" s="1328"/>
      <c r="T10" s="1328"/>
      <c r="U10" s="1369"/>
      <c r="Y10" s="896"/>
      <c r="Z10" s="897"/>
      <c r="AA10" s="896"/>
      <c r="AB10" s="896"/>
      <c r="AC10" s="896"/>
      <c r="AD10" s="897"/>
      <c r="AE10" s="896"/>
      <c r="AF10" s="896"/>
      <c r="AG10" s="896"/>
      <c r="AH10" s="896"/>
      <c r="AI10" s="896"/>
      <c r="AJ10" s="896"/>
      <c r="AK10" s="896"/>
      <c r="AL10" s="896"/>
      <c r="AM10" s="896"/>
      <c r="AN10" s="911"/>
      <c r="AO10" s="952" t="s">
        <v>72</v>
      </c>
      <c r="AP10" s="41">
        <f>(E43*Z22)+(E44*Z23)+(E45*Z24)</f>
        <v>0</v>
      </c>
      <c r="AQ10" s="41">
        <f>E46</f>
        <v>0</v>
      </c>
      <c r="AR10" s="33">
        <f>SUM(AA27:AH27)</f>
        <v>0</v>
      </c>
      <c r="AS10" s="50">
        <f>AC21</f>
        <v>0</v>
      </c>
      <c r="AT10" s="45">
        <f>(IF(AQ10&gt;AP10,AQ10,AP10)+(IF(AS10&gt;AR10,AS10,AR10)))</f>
        <v>0</v>
      </c>
      <c r="AU10" s="13">
        <f>SUM(H43+E43+(H44*2)+(E44*2))</f>
        <v>0</v>
      </c>
      <c r="AV10" s="39">
        <f>AA6*(SUM(AU10:AU13))</f>
        <v>0</v>
      </c>
      <c r="AW10" s="951"/>
      <c r="AX10" s="47">
        <f>AT7+AV7</f>
        <v>0</v>
      </c>
      <c r="AY10" s="48" t="s">
        <v>65</v>
      </c>
      <c r="AZ10" s="956"/>
      <c r="BA10" s="956"/>
      <c r="BB10" s="956"/>
      <c r="BC10" s="956"/>
      <c r="BD10" s="956"/>
      <c r="BE10" s="956"/>
      <c r="BF10" s="956"/>
      <c r="BG10" s="956"/>
      <c r="BH10" s="956"/>
      <c r="BI10" s="956"/>
      <c r="BJ10" s="956"/>
      <c r="BK10" s="956"/>
      <c r="BL10" s="956"/>
      <c r="BM10" s="956"/>
      <c r="BN10" s="911"/>
      <c r="BO10" s="911"/>
      <c r="BP10" s="50">
        <f>AC42</f>
        <v>0</v>
      </c>
      <c r="BQ10" s="45">
        <f>(IF(AQ10&gt;AP10,AQ10,AP10)+(IF(BP10&gt;BO10,BP10,BO10)))</f>
        <v>0</v>
      </c>
      <c r="BR10" s="13">
        <f>SUM(H43+(H44*2))</f>
        <v>0</v>
      </c>
      <c r="BS10" s="39">
        <f>AA6*(SUM(BR10:BR13))</f>
        <v>0</v>
      </c>
      <c r="BT10" s="951"/>
      <c r="BU10" s="47">
        <f>BQ7+BS7</f>
        <v>0</v>
      </c>
      <c r="BV10" s="48" t="s">
        <v>65</v>
      </c>
      <c r="BW10" s="911"/>
      <c r="BX10" s="896"/>
      <c r="BY10" s="896"/>
      <c r="BZ10" s="896"/>
      <c r="CA10" s="896"/>
      <c r="CB10" s="896"/>
      <c r="CC10" s="896"/>
      <c r="CD10" s="896"/>
      <c r="CE10" s="896"/>
      <c r="CF10" s="901"/>
      <c r="CG10" s="901"/>
      <c r="CH10" s="901"/>
      <c r="CI10" s="901"/>
      <c r="CL10" s="640"/>
      <c r="CM10" s="640"/>
      <c r="CN10" s="640"/>
      <c r="CO10" s="640"/>
      <c r="CP10" s="640"/>
      <c r="CQ10" s="640"/>
      <c r="CR10" s="640"/>
      <c r="CS10" s="640"/>
    </row>
    <row r="11" spans="1:168" s="654" customFormat="1" ht="18" customHeight="1">
      <c r="A11" s="651"/>
      <c r="B11" s="1405" t="s">
        <v>82</v>
      </c>
      <c r="C11" s="1412"/>
      <c r="D11" s="1407"/>
      <c r="E11" s="1413"/>
      <c r="F11" s="1413"/>
      <c r="G11" s="1413"/>
      <c r="H11" s="1413"/>
      <c r="I11" s="1413"/>
      <c r="J11" s="1413"/>
      <c r="K11" s="1414"/>
      <c r="L11" s="1412"/>
      <c r="M11" s="1415"/>
      <c r="N11" s="1412"/>
      <c r="O11" s="1413"/>
      <c r="P11" s="1413"/>
      <c r="Q11" s="1413"/>
      <c r="R11" s="1413"/>
      <c r="S11" s="1413"/>
      <c r="T11" s="1413"/>
      <c r="U11" s="1416"/>
      <c r="V11" s="651"/>
      <c r="W11" s="651"/>
      <c r="X11" s="645"/>
      <c r="Y11" s="896"/>
      <c r="Z11" s="897"/>
      <c r="AA11" s="896"/>
      <c r="AB11" s="896"/>
      <c r="AC11" s="896"/>
      <c r="AD11" s="896"/>
      <c r="AE11" s="896"/>
      <c r="AF11" s="896"/>
      <c r="AG11" s="896"/>
      <c r="AH11" s="896"/>
      <c r="AI11" s="896"/>
      <c r="AJ11" s="896"/>
      <c r="AK11" s="896"/>
      <c r="AL11" s="896"/>
      <c r="AM11" s="897"/>
      <c r="AN11" s="911"/>
      <c r="AO11" s="952" t="s">
        <v>76</v>
      </c>
      <c r="AP11" s="33">
        <f>(O43*Z22)+(O44*Z23)+(O45*Z24)</f>
        <v>0</v>
      </c>
      <c r="AQ11" s="41">
        <f>O46</f>
        <v>0</v>
      </c>
      <c r="AR11" s="33">
        <f>SUM(AI27:AP27)</f>
        <v>0</v>
      </c>
      <c r="AS11" s="41">
        <f>AJ21</f>
        <v>0</v>
      </c>
      <c r="AT11" s="45">
        <f t="shared" ref="AT11" si="3">(IF(AQ11&gt;AP11,AQ11,AP11)+(IF(AS11&gt;AR11,AS11,AR11)))</f>
        <v>0</v>
      </c>
      <c r="AU11" s="13">
        <f>SUM(R43+O43+(R44*2)+(O44*2))</f>
        <v>0</v>
      </c>
      <c r="AV11" s="13"/>
      <c r="AW11" s="13"/>
      <c r="AX11" s="49">
        <f>AT17</f>
        <v>0</v>
      </c>
      <c r="AY11" s="49" t="s">
        <v>71</v>
      </c>
      <c r="AZ11" s="863"/>
      <c r="BA11" s="863"/>
      <c r="BB11" s="863"/>
      <c r="BC11" s="863"/>
      <c r="BD11" s="863"/>
      <c r="BE11" s="863"/>
      <c r="BF11" s="863"/>
      <c r="BG11" s="863"/>
      <c r="BH11" s="863"/>
      <c r="BI11" s="863"/>
      <c r="BJ11" s="863"/>
      <c r="BK11" s="863"/>
      <c r="BL11" s="863"/>
      <c r="BM11" s="863"/>
      <c r="BN11" s="911"/>
      <c r="BO11" s="911"/>
      <c r="BP11" s="41">
        <f>AJ42</f>
        <v>0</v>
      </c>
      <c r="BQ11" s="45">
        <f t="shared" ref="BQ11" si="4">(IF(AQ11&gt;AP11,AQ11,AP11)+(IF(BP11&gt;BO11,BP11,BO11)))</f>
        <v>0</v>
      </c>
      <c r="BR11" s="13">
        <f>SUM(R43+(R44*2))</f>
        <v>0</v>
      </c>
      <c r="BS11" s="13"/>
      <c r="BT11" s="13"/>
      <c r="BU11" s="49">
        <f>BQ17</f>
        <v>0</v>
      </c>
      <c r="BV11" s="49" t="s">
        <v>71</v>
      </c>
      <c r="BW11" s="911"/>
      <c r="BX11" s="896"/>
      <c r="BY11" s="896"/>
      <c r="BZ11" s="896"/>
      <c r="CA11" s="896"/>
      <c r="CB11" s="896"/>
      <c r="CC11" s="896"/>
      <c r="CD11" s="896"/>
      <c r="CE11" s="896"/>
      <c r="CF11" s="901"/>
      <c r="CG11" s="901"/>
      <c r="CH11" s="901"/>
      <c r="CI11" s="901"/>
      <c r="CL11" s="651"/>
      <c r="CM11" s="651"/>
      <c r="CN11" s="651"/>
      <c r="CO11" s="651"/>
      <c r="CP11" s="651"/>
      <c r="CQ11" s="651"/>
      <c r="CR11" s="651"/>
      <c r="CS11" s="651"/>
      <c r="CT11" s="651"/>
      <c r="CU11" s="651"/>
      <c r="CV11" s="651"/>
      <c r="CW11" s="651"/>
      <c r="CX11" s="651"/>
      <c r="CY11" s="651"/>
      <c r="CZ11" s="651"/>
      <c r="DA11" s="651"/>
      <c r="DB11" s="651"/>
      <c r="DC11" s="651"/>
      <c r="DD11" s="651"/>
      <c r="DE11" s="651"/>
      <c r="DF11" s="651"/>
      <c r="DG11" s="651"/>
      <c r="DH11" s="651"/>
      <c r="DI11" s="651"/>
      <c r="DJ11" s="651"/>
      <c r="DK11" s="651"/>
      <c r="DL11" s="651"/>
      <c r="DM11" s="651"/>
      <c r="DN11" s="651"/>
      <c r="DO11" s="651"/>
      <c r="DP11" s="651"/>
      <c r="DQ11" s="651"/>
      <c r="DR11" s="651"/>
      <c r="DS11" s="651"/>
      <c r="DT11" s="651"/>
      <c r="DU11" s="651"/>
      <c r="DV11" s="651"/>
      <c r="DW11" s="651"/>
      <c r="DX11" s="651"/>
      <c r="DY11" s="651"/>
      <c r="DZ11" s="651"/>
      <c r="EA11" s="651"/>
      <c r="EB11" s="651"/>
      <c r="EC11" s="651"/>
      <c r="ED11" s="651"/>
      <c r="EE11" s="651"/>
      <c r="EF11" s="651"/>
      <c r="EG11" s="651"/>
      <c r="EH11" s="651"/>
      <c r="EI11" s="651"/>
      <c r="EJ11" s="651"/>
      <c r="EK11" s="651"/>
      <c r="EL11" s="651"/>
      <c r="EM11" s="651"/>
      <c r="EN11" s="651"/>
      <c r="EO11" s="651"/>
      <c r="EP11" s="651"/>
      <c r="EQ11" s="651"/>
      <c r="ER11" s="651"/>
      <c r="ES11" s="651"/>
      <c r="ET11" s="651"/>
      <c r="EU11" s="651"/>
      <c r="EV11" s="651"/>
      <c r="EW11" s="651"/>
      <c r="EX11" s="651"/>
      <c r="EY11" s="651"/>
      <c r="EZ11" s="651"/>
      <c r="FA11" s="651"/>
      <c r="FB11" s="651"/>
      <c r="FC11" s="651"/>
      <c r="FD11" s="651"/>
      <c r="FE11" s="651"/>
      <c r="FF11" s="651"/>
      <c r="FG11" s="651"/>
      <c r="FH11" s="651"/>
      <c r="FI11" s="651"/>
      <c r="FJ11" s="651"/>
      <c r="FK11" s="715"/>
      <c r="FL11" s="715"/>
    </row>
    <row r="12" spans="1:168" s="682" customFormat="1">
      <c r="A12" s="676"/>
      <c r="B12" s="1356" t="s">
        <v>88</v>
      </c>
      <c r="C12" s="1377"/>
      <c r="D12" s="1378"/>
      <c r="E12" s="1478" t="s">
        <v>50</v>
      </c>
      <c r="F12" s="1379"/>
      <c r="G12" s="1379"/>
      <c r="H12" s="1478" t="s">
        <v>80</v>
      </c>
      <c r="I12" s="1379"/>
      <c r="J12" s="1379"/>
      <c r="K12" s="1478" t="s">
        <v>89</v>
      </c>
      <c r="L12" s="1359" t="s">
        <v>85</v>
      </c>
      <c r="M12" s="1380"/>
      <c r="N12" s="1377"/>
      <c r="O12" s="1478" t="s">
        <v>50</v>
      </c>
      <c r="P12" s="1379"/>
      <c r="Q12" s="1379"/>
      <c r="R12" s="1478" t="s">
        <v>80</v>
      </c>
      <c r="S12" s="1379"/>
      <c r="T12" s="1379"/>
      <c r="U12" s="1479" t="s">
        <v>89</v>
      </c>
      <c r="V12" s="676"/>
      <c r="W12" s="676"/>
      <c r="X12" s="645"/>
      <c r="Y12" s="907">
        <f>SUM(E13)+SUM(E22)+(SUM(O13)*80%)+(SUM(E17)*80%)+(SUM(O17)*0.8)+(SUM(O22)*80%)+(SUM(E27)*80%)+(SUM(O27)*80%)</f>
        <v>0</v>
      </c>
      <c r="Z12" s="914" t="s">
        <v>179</v>
      </c>
      <c r="AA12" s="898">
        <f>SUM(E13)+SUM(E22)+(SUM(O13)*80%)+(SUM(E17)*80%)+(SUM(O17)*0.8)+(SUM(O22)*80%)+(SUM(E27)*80%)+(SUM(O27)*80%)</f>
        <v>0</v>
      </c>
      <c r="AB12" s="896"/>
      <c r="AC12" s="896"/>
      <c r="AD12" s="896"/>
      <c r="AE12" s="896"/>
      <c r="AF12" s="896"/>
      <c r="AG12" s="896"/>
      <c r="AH12" s="896"/>
      <c r="AI12" s="896"/>
      <c r="AJ12" s="896"/>
      <c r="AK12" s="896"/>
      <c r="AL12" s="896"/>
      <c r="AM12" s="897"/>
      <c r="AN12" s="911"/>
      <c r="AO12" s="953"/>
      <c r="AP12" s="13"/>
      <c r="AQ12" s="13"/>
      <c r="AR12" s="13"/>
      <c r="AS12" s="13"/>
      <c r="AT12" s="45">
        <f>(IF(AQ12&gt;AP12,AQ12,AP12)+(IF(AS12&gt;AR12,AS12,AR12)))</f>
        <v>0</v>
      </c>
      <c r="AU12" s="954"/>
      <c r="AV12" s="13"/>
      <c r="AW12" s="13"/>
      <c r="AX12" s="13"/>
      <c r="AY12" s="13"/>
      <c r="AZ12" s="12"/>
      <c r="BA12" s="12"/>
      <c r="BB12" s="12"/>
      <c r="BC12" s="12"/>
      <c r="BD12" s="12"/>
      <c r="BE12" s="12"/>
      <c r="BF12" s="12"/>
      <c r="BG12" s="12"/>
      <c r="BH12" s="12"/>
      <c r="BI12" s="12"/>
      <c r="BJ12" s="12"/>
      <c r="BK12" s="12"/>
      <c r="BL12" s="12"/>
      <c r="BM12" s="12"/>
      <c r="BN12" s="911"/>
      <c r="BO12" s="911"/>
      <c r="BP12" s="13"/>
      <c r="BQ12" s="45">
        <f>(IF(AQ12&gt;AP12,AQ12,AP12)+(IF(BP12&gt;BO12,BP12,BO12)))</f>
        <v>0</v>
      </c>
      <c r="BR12" s="954"/>
      <c r="BS12" s="13"/>
      <c r="BT12" s="13"/>
      <c r="BU12" s="13"/>
      <c r="BV12" s="13"/>
      <c r="BW12" s="911"/>
      <c r="BX12" s="896"/>
      <c r="BY12" s="896"/>
      <c r="BZ12" s="896"/>
      <c r="CA12" s="896"/>
      <c r="CB12" s="896"/>
      <c r="CC12" s="896"/>
      <c r="CD12" s="896"/>
      <c r="CE12" s="898"/>
      <c r="CF12" s="901"/>
      <c r="CG12" s="901"/>
      <c r="CH12" s="901"/>
      <c r="CI12" s="901"/>
      <c r="CL12" s="676"/>
      <c r="CM12" s="676"/>
      <c r="CN12" s="676"/>
      <c r="CO12" s="676"/>
      <c r="CP12" s="676"/>
      <c r="CQ12" s="676"/>
      <c r="CR12" s="676"/>
      <c r="CS12" s="676"/>
      <c r="CT12" s="676"/>
      <c r="CU12" s="676"/>
      <c r="CV12" s="676"/>
      <c r="CW12" s="676"/>
      <c r="CX12" s="676"/>
      <c r="CY12" s="676"/>
      <c r="CZ12" s="676"/>
      <c r="DA12" s="676"/>
      <c r="DB12" s="676"/>
      <c r="DC12" s="676"/>
      <c r="DD12" s="676"/>
      <c r="DE12" s="676"/>
      <c r="DF12" s="676"/>
      <c r="DG12" s="676"/>
      <c r="DH12" s="676"/>
      <c r="DI12" s="676"/>
      <c r="DJ12" s="676"/>
      <c r="DK12" s="676"/>
      <c r="DL12" s="676"/>
      <c r="DM12" s="676"/>
      <c r="DN12" s="676"/>
      <c r="DO12" s="676"/>
      <c r="DP12" s="676"/>
      <c r="DQ12" s="676"/>
      <c r="DR12" s="676"/>
      <c r="DS12" s="676"/>
      <c r="DT12" s="676"/>
      <c r="DU12" s="676"/>
      <c r="DV12" s="676"/>
      <c r="DW12" s="676"/>
      <c r="DX12" s="676"/>
      <c r="DY12" s="676"/>
      <c r="DZ12" s="676"/>
      <c r="EA12" s="676"/>
      <c r="EB12" s="676"/>
      <c r="EC12" s="676"/>
      <c r="ED12" s="676"/>
      <c r="EE12" s="676"/>
      <c r="EF12" s="676"/>
      <c r="EG12" s="676"/>
      <c r="EH12" s="676"/>
      <c r="EI12" s="676"/>
      <c r="EJ12" s="676"/>
      <c r="EK12" s="676"/>
      <c r="EL12" s="676"/>
      <c r="EM12" s="676"/>
      <c r="EN12" s="676"/>
      <c r="EO12" s="676"/>
      <c r="EP12" s="676"/>
      <c r="EQ12" s="676"/>
      <c r="ER12" s="676"/>
      <c r="ES12" s="676"/>
      <c r="ET12" s="676"/>
      <c r="EU12" s="676"/>
      <c r="EV12" s="676"/>
      <c r="EW12" s="676"/>
      <c r="EX12" s="676"/>
      <c r="EY12" s="676"/>
      <c r="EZ12" s="676"/>
      <c r="FA12" s="676"/>
      <c r="FB12" s="676"/>
      <c r="FC12" s="676"/>
      <c r="FD12" s="676"/>
      <c r="FE12" s="676"/>
      <c r="FF12" s="676"/>
      <c r="FG12" s="676"/>
      <c r="FH12" s="676"/>
      <c r="FI12" s="676"/>
      <c r="FJ12" s="676"/>
      <c r="FK12" s="716"/>
      <c r="FL12" s="716"/>
    </row>
    <row r="13" spans="1:168">
      <c r="B13" s="1362" t="s">
        <v>93</v>
      </c>
      <c r="C13" s="1357"/>
      <c r="D13" s="1361" t="str">
        <f>IF(ISBLANK(E13), "&lt;AUD&gt;", E13)</f>
        <v>&lt;AUD&gt;</v>
      </c>
      <c r="E13" s="1471"/>
      <c r="F13" s="1097"/>
      <c r="G13" s="1361" t="str">
        <f t="shared" ref="G13" si="5">IF(ISBLANK(H13), "&lt;Local Currency&gt;", H13)</f>
        <v>&lt;Local Currency&gt;</v>
      </c>
      <c r="H13" s="1471"/>
      <c r="I13" s="1096"/>
      <c r="J13" s="1361" t="str">
        <f>IF(ISBLANK(K13), "&lt;Select&gt;", "")</f>
        <v>&lt;Select&gt;</v>
      </c>
      <c r="K13" s="1471"/>
      <c r="L13" s="1364" t="s">
        <v>93</v>
      </c>
      <c r="M13" s="1360"/>
      <c r="N13" s="1361" t="str">
        <f>IF(ISBLANK(O13), "&lt;AUD&gt;", O13)</f>
        <v>&lt;AUD&gt;</v>
      </c>
      <c r="O13" s="1471"/>
      <c r="P13" s="1096"/>
      <c r="Q13" s="1361" t="str">
        <f>IF(ISBLANK(R13), "&lt;Local Currency&gt;", R13)</f>
        <v>&lt;Local Currency&gt;</v>
      </c>
      <c r="R13" s="1471"/>
      <c r="S13" s="1096"/>
      <c r="T13" s="1361" t="str">
        <f>IF(ISBLANK(U13), "&lt;Select&gt;", "")</f>
        <v>&lt;Select&gt;</v>
      </c>
      <c r="U13" s="1473"/>
      <c r="Y13" s="907">
        <f>SUM(E14)+SUM(E23)+(SUM(O14)*80%)+(SUM(E18)*80%)+(SUM(O18)*0.8)+(SUM(O23)*80%)+(SUM(E28)*80%)+(SUM(O28)*80%)</f>
        <v>0</v>
      </c>
      <c r="Z13" s="934" t="s">
        <v>95</v>
      </c>
      <c r="AA13" s="898">
        <f>SUM(E14)+SUM(E23)+(SUM(O14)*80%)+(SUM(E18)*80%)+(SUM(O18)*0.8)+(SUM(O23)*80%)+(SUM(E28)*80%)+(SUM(O28)*80%)</f>
        <v>0</v>
      </c>
      <c r="AB13" s="896"/>
      <c r="AC13" s="896"/>
      <c r="AD13" s="896"/>
      <c r="AE13" s="896"/>
      <c r="AF13" s="896"/>
      <c r="AG13" s="896"/>
      <c r="AH13" s="896"/>
      <c r="AI13" s="896"/>
      <c r="AJ13" s="896"/>
      <c r="AK13" s="896"/>
      <c r="AL13" s="896"/>
      <c r="AM13" s="897"/>
      <c r="AN13" s="911"/>
      <c r="AO13" s="12"/>
      <c r="AP13" s="13"/>
      <c r="AQ13" s="13"/>
      <c r="AR13" s="13"/>
      <c r="AS13" s="13"/>
      <c r="AT13" s="45">
        <f>(IF(AQ13&gt;AP13,AQ13,AP13)+(IF(AS13&gt;AR13,AS13,AR13)))</f>
        <v>0</v>
      </c>
      <c r="AU13" s="954"/>
      <c r="AV13" s="954"/>
      <c r="AW13" s="13"/>
      <c r="AX13" s="13"/>
      <c r="AY13" s="13"/>
      <c r="AZ13" s="12"/>
      <c r="BA13" s="12"/>
      <c r="BB13" s="12"/>
      <c r="BC13" s="12"/>
      <c r="BD13" s="12"/>
      <c r="BE13" s="12"/>
      <c r="BF13" s="12"/>
      <c r="BG13" s="12"/>
      <c r="BH13" s="12"/>
      <c r="BI13" s="12"/>
      <c r="BJ13" s="12"/>
      <c r="BK13" s="12"/>
      <c r="BL13" s="12"/>
      <c r="BM13" s="12"/>
      <c r="BN13" s="911"/>
      <c r="BO13" s="911"/>
      <c r="BP13" s="13"/>
      <c r="BQ13" s="45">
        <f>(IF(AQ13&gt;AP13,AQ13,AP13)+(IF(BP13&gt;BO13,BP13,BO13)))</f>
        <v>0</v>
      </c>
      <c r="BR13" s="954"/>
      <c r="BS13" s="954"/>
      <c r="BT13" s="13"/>
      <c r="BU13" s="13"/>
      <c r="BV13" s="13"/>
      <c r="BW13" s="911"/>
      <c r="BX13" s="896"/>
      <c r="BY13" s="896"/>
      <c r="BZ13" s="896"/>
      <c r="CA13" s="896"/>
      <c r="CB13" s="896"/>
      <c r="CC13" s="896"/>
      <c r="CD13" s="896"/>
      <c r="CE13" s="909"/>
      <c r="CF13" s="901"/>
      <c r="CG13" s="901"/>
      <c r="CH13" s="901"/>
      <c r="CI13" s="901"/>
      <c r="CL13" s="640"/>
      <c r="CM13" s="640"/>
      <c r="CN13" s="640"/>
      <c r="CO13" s="640"/>
      <c r="CP13" s="640"/>
      <c r="CQ13" s="640"/>
      <c r="CR13" s="640"/>
      <c r="CS13" s="640"/>
    </row>
    <row r="14" spans="1:168">
      <c r="B14" s="1362" t="s">
        <v>95</v>
      </c>
      <c r="C14" s="1357"/>
      <c r="D14" s="1365" t="str">
        <f>IF(ISBLANK(E13), "&lt;AUD&gt;", E13)</f>
        <v>&lt;AUD&gt;</v>
      </c>
      <c r="E14" s="1463"/>
      <c r="F14" s="1097"/>
      <c r="G14" s="1365"/>
      <c r="H14" s="1463"/>
      <c r="I14" s="1096"/>
      <c r="J14" s="1365" t="str">
        <f t="shared" ref="J14" si="6">IF(ISBLANK(K14), "&lt;Select&gt;", K14)</f>
        <v>&lt;Select&gt;</v>
      </c>
      <c r="K14" s="1471"/>
      <c r="L14" s="1364" t="s">
        <v>95</v>
      </c>
      <c r="M14" s="1360"/>
      <c r="N14" s="1365"/>
      <c r="O14" s="1463"/>
      <c r="P14" s="1096"/>
      <c r="Q14" s="1365"/>
      <c r="R14" s="1463"/>
      <c r="S14" s="1096"/>
      <c r="T14" s="1365" t="str">
        <f t="shared" ref="T14" si="7">IF(ISBLANK(U14), "&lt;Select&gt;", U14)</f>
        <v>&lt;Select&gt;</v>
      </c>
      <c r="U14" s="1473"/>
      <c r="X14" s="701"/>
      <c r="Y14" s="910"/>
      <c r="Z14" s="910"/>
      <c r="AA14" s="910"/>
      <c r="AB14" s="910"/>
      <c r="AC14" s="910"/>
      <c r="AD14" s="910"/>
      <c r="AE14" s="910"/>
      <c r="AF14" s="910"/>
      <c r="AG14" s="910"/>
      <c r="AH14" s="910"/>
      <c r="AI14" s="910"/>
      <c r="AJ14" s="910"/>
      <c r="AK14" s="910"/>
      <c r="AL14" s="910"/>
      <c r="AM14" s="910"/>
      <c r="AN14" s="911"/>
      <c r="AO14" s="911"/>
      <c r="AP14" s="911"/>
      <c r="AQ14" s="911"/>
      <c r="AR14" s="911"/>
      <c r="AS14" s="911"/>
      <c r="AT14" s="911"/>
      <c r="AU14" s="911"/>
      <c r="AV14" s="911"/>
      <c r="AW14" s="911"/>
      <c r="AX14" s="911"/>
      <c r="AY14" s="911"/>
      <c r="AZ14" s="911"/>
      <c r="BA14" s="911"/>
      <c r="BB14" s="911"/>
      <c r="BC14" s="911"/>
      <c r="BD14" s="911"/>
      <c r="BE14" s="911"/>
      <c r="BF14" s="911"/>
      <c r="BG14" s="911"/>
      <c r="BH14" s="911"/>
      <c r="BI14" s="911"/>
      <c r="BJ14" s="911"/>
      <c r="BK14" s="911"/>
      <c r="BL14" s="911"/>
      <c r="BM14" s="911"/>
      <c r="BN14" s="911"/>
      <c r="BO14" s="911"/>
      <c r="BP14" s="911"/>
      <c r="BQ14" s="911"/>
      <c r="BR14" s="911"/>
      <c r="BS14" s="911"/>
      <c r="BT14" s="911"/>
      <c r="BU14" s="911"/>
      <c r="BV14" s="911"/>
      <c r="BW14" s="911"/>
      <c r="BX14" s="896"/>
      <c r="BY14" s="896"/>
      <c r="BZ14" s="896"/>
      <c r="CA14" s="896"/>
      <c r="CB14" s="896"/>
      <c r="CC14" s="896"/>
      <c r="CD14" s="896"/>
      <c r="CE14" s="896"/>
      <c r="CF14" s="901"/>
      <c r="CG14" s="901"/>
      <c r="CH14" s="901"/>
      <c r="CI14" s="901"/>
      <c r="CL14" s="640"/>
      <c r="CM14" s="640"/>
      <c r="CN14" s="640"/>
      <c r="CO14" s="640"/>
      <c r="CP14" s="640"/>
      <c r="CQ14" s="640"/>
      <c r="CR14" s="640"/>
      <c r="CS14" s="640"/>
    </row>
    <row r="15" spans="1:168">
      <c r="B15" s="1362"/>
      <c r="C15" s="1357"/>
      <c r="D15" s="1368"/>
      <c r="E15" s="1381"/>
      <c r="F15" s="1382"/>
      <c r="G15" s="1382"/>
      <c r="H15" s="1381"/>
      <c r="I15" s="1381"/>
      <c r="J15" s="1382"/>
      <c r="K15" s="1381"/>
      <c r="L15" s="1383"/>
      <c r="M15" s="1384"/>
      <c r="N15" s="1383"/>
      <c r="O15" s="1385"/>
      <c r="P15" s="1385"/>
      <c r="Q15" s="1386"/>
      <c r="R15" s="1385"/>
      <c r="S15" s="1385"/>
      <c r="T15" s="1386"/>
      <c r="U15" s="1387"/>
      <c r="X15" s="691"/>
      <c r="Y15" s="907">
        <f>((E34+O34+E38)*125%)+((O36*3%))+Y17</f>
        <v>0</v>
      </c>
      <c r="Z15" s="900"/>
      <c r="AA15" s="905" t="s">
        <v>122</v>
      </c>
      <c r="AB15" s="900"/>
      <c r="AC15" s="900"/>
      <c r="AD15" s="920">
        <f>IFERROR((H34/AF15),0)</f>
        <v>0</v>
      </c>
      <c r="AE15" s="900"/>
      <c r="AF15" s="920" t="e">
        <f>VLOOKUP(K34,'Exchange Rates'!C4:D16,2,FALSE)</f>
        <v>#N/A</v>
      </c>
      <c r="AG15" s="911"/>
      <c r="AH15" s="905" t="s">
        <v>123</v>
      </c>
      <c r="AI15" s="920">
        <f>IFERROR((R36/AK15),0)</f>
        <v>0</v>
      </c>
      <c r="AJ15" s="921"/>
      <c r="AK15" s="920" t="e">
        <f>VLOOKUP(U36,'Exchange Rates'!C4:D16,2,FALSE)</f>
        <v>#N/A</v>
      </c>
      <c r="AL15" s="911"/>
      <c r="AM15" s="913"/>
      <c r="AN15" s="911"/>
      <c r="AO15" s="911"/>
      <c r="AP15" s="911"/>
      <c r="AQ15" s="911"/>
      <c r="AR15" s="911"/>
      <c r="AS15" s="911"/>
      <c r="AT15" s="911"/>
      <c r="AU15" s="911"/>
      <c r="AV15" s="911"/>
      <c r="AW15" s="911"/>
      <c r="AX15" s="911"/>
      <c r="AY15" s="911"/>
      <c r="AZ15" s="911"/>
      <c r="BA15" s="911"/>
      <c r="BB15" s="911"/>
      <c r="BC15" s="911"/>
      <c r="BD15" s="911"/>
      <c r="BE15" s="911"/>
      <c r="BF15" s="911"/>
      <c r="BG15" s="911"/>
      <c r="BH15" s="911"/>
      <c r="BI15" s="911"/>
      <c r="BJ15" s="911"/>
      <c r="BK15" s="911"/>
      <c r="BL15" s="911"/>
      <c r="BM15" s="911"/>
      <c r="BN15" s="911"/>
      <c r="BO15" s="911"/>
      <c r="BP15" s="911"/>
      <c r="BQ15" s="911"/>
      <c r="BR15" s="911"/>
      <c r="BS15" s="911"/>
      <c r="BT15" s="911"/>
      <c r="BU15" s="911"/>
      <c r="BV15" s="911"/>
      <c r="BW15" s="911"/>
      <c r="BX15" s="896"/>
      <c r="BY15" s="896"/>
      <c r="BZ15" s="896"/>
      <c r="CA15" s="896"/>
      <c r="CB15" s="896"/>
      <c r="CC15" s="896"/>
      <c r="CD15" s="896"/>
      <c r="CE15" s="896"/>
      <c r="CF15" s="901"/>
      <c r="CG15" s="901"/>
      <c r="CH15" s="901"/>
      <c r="CI15" s="901"/>
      <c r="CL15" s="640"/>
      <c r="CM15" s="640"/>
      <c r="CN15" s="640"/>
      <c r="CO15" s="640"/>
      <c r="CP15" s="640"/>
      <c r="CQ15" s="640"/>
      <c r="CR15" s="640"/>
      <c r="CS15" s="640"/>
    </row>
    <row r="16" spans="1:168">
      <c r="B16" s="1356" t="s">
        <v>86</v>
      </c>
      <c r="C16" s="1377"/>
      <c r="D16" s="1378"/>
      <c r="E16" s="1478" t="s">
        <v>50</v>
      </c>
      <c r="F16" s="1379"/>
      <c r="G16" s="1379"/>
      <c r="H16" s="1478" t="s">
        <v>80</v>
      </c>
      <c r="I16" s="1379"/>
      <c r="J16" s="1379"/>
      <c r="K16" s="1478" t="s">
        <v>89</v>
      </c>
      <c r="L16" s="1359" t="s">
        <v>98</v>
      </c>
      <c r="M16" s="1380"/>
      <c r="N16" s="1377"/>
      <c r="O16" s="1478" t="s">
        <v>50</v>
      </c>
      <c r="P16" s="1379"/>
      <c r="Q16" s="1379"/>
      <c r="R16" s="1478" t="s">
        <v>80</v>
      </c>
      <c r="S16" s="1379"/>
      <c r="T16" s="1379"/>
      <c r="U16" s="1479" t="s">
        <v>89</v>
      </c>
      <c r="Y16" s="896"/>
      <c r="Z16" s="1119" t="s">
        <v>124</v>
      </c>
      <c r="AA16" s="1120"/>
      <c r="AB16" s="905"/>
      <c r="AC16" s="900"/>
      <c r="AD16" s="920">
        <f>IFERROR((R34/AF16),0)</f>
        <v>0</v>
      </c>
      <c r="AE16" s="900"/>
      <c r="AF16" s="920" t="e">
        <f>VLOOKUP(U34,'Exchange Rates'!C4:D16,2,FALSE)</f>
        <v>#N/A</v>
      </c>
      <c r="AG16" s="915"/>
      <c r="AH16" s="922" t="s">
        <v>125</v>
      </c>
      <c r="AI16" s="920">
        <f>IFERROR((R37/AK16),0)</f>
        <v>0</v>
      </c>
      <c r="AJ16" s="921"/>
      <c r="AK16" s="923">
        <f>VLOOKUP(U37,'Exchange Rates'!C4:D16,2,FALSE)</f>
        <v>4.5226600000000001</v>
      </c>
      <c r="AL16" s="915"/>
      <c r="AM16" s="916"/>
      <c r="AN16" s="915"/>
      <c r="AO16" s="896"/>
      <c r="AP16" s="896"/>
      <c r="AQ16" s="896"/>
      <c r="AR16" s="896"/>
      <c r="AS16" s="896"/>
      <c r="AT16" s="896"/>
      <c r="AU16" s="896"/>
      <c r="AV16" s="896"/>
      <c r="AW16" s="896"/>
      <c r="AX16" s="896"/>
      <c r="AY16" s="896"/>
      <c r="AZ16" s="896"/>
      <c r="BA16" s="896"/>
      <c r="BB16" s="896"/>
      <c r="BC16" s="896"/>
      <c r="BD16" s="896"/>
      <c r="BE16" s="896"/>
      <c r="BF16" s="896"/>
      <c r="BG16" s="896"/>
      <c r="BH16" s="896"/>
      <c r="BI16" s="896"/>
      <c r="BJ16" s="896"/>
      <c r="BK16" s="896"/>
      <c r="BL16" s="896"/>
      <c r="BM16" s="896"/>
      <c r="BN16" s="896"/>
      <c r="BP16" s="896"/>
      <c r="BQ16" s="896"/>
      <c r="BR16" s="904"/>
      <c r="BS16" s="904"/>
      <c r="BT16" s="904"/>
      <c r="BU16" s="904"/>
      <c r="BV16" s="896"/>
      <c r="BW16" s="896"/>
      <c r="BX16" s="896"/>
      <c r="BY16" s="896"/>
      <c r="BZ16" s="896"/>
      <c r="CA16" s="896"/>
      <c r="CB16" s="896"/>
      <c r="CC16" s="896"/>
      <c r="CD16" s="896"/>
      <c r="CE16" s="896"/>
      <c r="CF16" s="901"/>
      <c r="CG16" s="901"/>
      <c r="CH16" s="901"/>
      <c r="CI16" s="901"/>
      <c r="CL16" s="640"/>
      <c r="CM16" s="640"/>
      <c r="CN16" s="640"/>
      <c r="CO16" s="640"/>
      <c r="CP16" s="640"/>
      <c r="CQ16" s="640"/>
      <c r="CR16" s="640"/>
      <c r="CS16" s="640"/>
    </row>
    <row r="17" spans="1:168" ht="16.5">
      <c r="B17" s="1362" t="s">
        <v>93</v>
      </c>
      <c r="C17" s="1357"/>
      <c r="D17" s="1361" t="str">
        <f>IF(ISBLANK(E17), "&lt;AUD&gt;", E17)</f>
        <v>&lt;AUD&gt;</v>
      </c>
      <c r="E17" s="1471"/>
      <c r="F17" s="1097"/>
      <c r="G17" s="1361" t="str">
        <f t="shared" ref="G17" si="8">IF(ISBLANK(H17), "&lt;Local Currency&gt;", H17)</f>
        <v>&lt;Local Currency&gt;</v>
      </c>
      <c r="H17" s="1471"/>
      <c r="I17" s="1096"/>
      <c r="J17" s="1361" t="str">
        <f>IF(ISBLANK(K17), "&lt;Select&gt;", "")</f>
        <v>&lt;Select&gt;</v>
      </c>
      <c r="K17" s="1471"/>
      <c r="L17" s="1364" t="s">
        <v>93</v>
      </c>
      <c r="M17" s="1360"/>
      <c r="N17" s="1361" t="str">
        <f>IF(ISBLANK(O17), "&lt;AUD&gt;", O17)</f>
        <v>&lt;AUD&gt;</v>
      </c>
      <c r="O17" s="1471"/>
      <c r="P17" s="1096"/>
      <c r="Q17" s="1361" t="str">
        <f>IF(ISBLANK(R17), "&lt;Local Currency&gt;", R17)</f>
        <v>&lt;Local Currency&gt;</v>
      </c>
      <c r="R17" s="1471"/>
      <c r="S17" s="1096"/>
      <c r="T17" s="1361" t="str">
        <f>IF(ISBLANK(U17), "&lt;Select&gt;", "")</f>
        <v>&lt;Select&gt;</v>
      </c>
      <c r="U17" s="1473"/>
      <c r="Y17" s="935">
        <f>((AD15+AD16+AD17)*125%)+(((AI15+AI16)*3.8%))</f>
        <v>0</v>
      </c>
      <c r="Z17" s="900"/>
      <c r="AA17" s="905" t="s">
        <v>127</v>
      </c>
      <c r="AB17" s="900"/>
      <c r="AC17" s="900"/>
      <c r="AD17" s="920">
        <f>IFERROR((H38/AF17),0)</f>
        <v>0</v>
      </c>
      <c r="AE17" s="900"/>
      <c r="AF17" s="920" t="e">
        <f>VLOOKUP(K38,'Exchange Rates'!C4:D16,2,FALSE)</f>
        <v>#N/A</v>
      </c>
      <c r="AG17" s="915"/>
      <c r="AH17" s="897"/>
      <c r="AI17" s="914"/>
      <c r="AJ17" s="896"/>
      <c r="AK17" s="915"/>
      <c r="AL17" s="915"/>
      <c r="AM17" s="916"/>
      <c r="AN17" s="915"/>
      <c r="AO17" s="896"/>
      <c r="AP17" s="896"/>
      <c r="AQ17" s="896"/>
      <c r="AR17" s="896"/>
      <c r="AS17" s="896"/>
      <c r="AT17" s="896"/>
      <c r="AU17" s="896"/>
      <c r="AV17" s="896"/>
      <c r="AW17" s="896"/>
      <c r="AX17" s="896"/>
      <c r="AY17" s="896"/>
      <c r="AZ17" s="896"/>
      <c r="BA17" s="12"/>
      <c r="BB17" s="957" t="s">
        <v>50</v>
      </c>
      <c r="BC17" s="12" t="s">
        <v>80</v>
      </c>
      <c r="BD17" s="896"/>
      <c r="BE17" s="896"/>
      <c r="BF17" s="896"/>
      <c r="BG17" s="946"/>
      <c r="BH17" s="1124" t="s">
        <v>81</v>
      </c>
      <c r="BI17" s="1124"/>
      <c r="BJ17" s="1124"/>
      <c r="BK17" s="1124"/>
      <c r="BL17" s="1124"/>
      <c r="BM17" s="896"/>
      <c r="BN17" s="896"/>
      <c r="BP17" s="896"/>
      <c r="BQ17" s="896"/>
      <c r="BR17" s="896"/>
      <c r="BS17" s="904"/>
      <c r="BT17" s="904"/>
      <c r="BU17" s="904"/>
      <c r="BV17" s="904"/>
      <c r="BW17" s="896"/>
      <c r="BX17" s="896"/>
      <c r="BY17" s="917"/>
      <c r="BZ17" s="896"/>
      <c r="CA17" s="917"/>
      <c r="CB17" s="899"/>
      <c r="CC17" s="896"/>
      <c r="CD17" s="899"/>
      <c r="CE17" s="1118"/>
      <c r="CF17" s="1118"/>
      <c r="CG17" s="1118"/>
      <c r="CH17" s="1118"/>
      <c r="CI17" s="1118"/>
      <c r="CL17" s="640"/>
      <c r="CM17" s="640"/>
      <c r="CN17" s="640"/>
      <c r="CO17" s="640"/>
      <c r="CP17" s="640"/>
      <c r="CQ17" s="640"/>
      <c r="CR17" s="640"/>
      <c r="CS17" s="640"/>
    </row>
    <row r="18" spans="1:168">
      <c r="B18" s="1362" t="s">
        <v>95</v>
      </c>
      <c r="C18" s="1357"/>
      <c r="D18" s="1365" t="str">
        <f t="shared" ref="D18" si="9">IF(ISBLANK(E18), "&lt;AUD&gt;", E18)</f>
        <v>&lt;AUD&gt;</v>
      </c>
      <c r="E18" s="1463"/>
      <c r="F18" s="1097"/>
      <c r="G18" s="1365"/>
      <c r="H18" s="1463"/>
      <c r="I18" s="1096"/>
      <c r="J18" s="1365" t="str">
        <f t="shared" ref="J18" si="10">IF(ISBLANK(K18), "&lt;Select&gt;", K18)</f>
        <v>&lt;Select&gt;</v>
      </c>
      <c r="K18" s="1471"/>
      <c r="L18" s="1364" t="s">
        <v>95</v>
      </c>
      <c r="M18" s="1360"/>
      <c r="N18" s="1365" t="str">
        <f t="shared" ref="N18" si="11">IF(ISBLANK(O18), "&lt;AUD&gt;", O18)</f>
        <v>&lt;AUD&gt;</v>
      </c>
      <c r="O18" s="1463"/>
      <c r="P18" s="1096"/>
      <c r="Q18" s="1365"/>
      <c r="R18" s="1463"/>
      <c r="S18" s="1096"/>
      <c r="T18" s="1365" t="str">
        <f t="shared" ref="T18" si="12">IF(ISBLANK(U18), "&lt;Select&gt;", U18)</f>
        <v>&lt;Select&gt;</v>
      </c>
      <c r="U18" s="1473"/>
      <c r="Y18" s="896"/>
      <c r="Z18" s="897"/>
      <c r="AA18" s="896"/>
      <c r="AB18" s="914"/>
      <c r="AC18" s="896"/>
      <c r="AD18" s="915"/>
      <c r="AE18" s="915"/>
      <c r="AF18" s="916"/>
      <c r="AG18" s="915"/>
      <c r="AH18" s="897"/>
      <c r="AI18" s="914"/>
      <c r="AJ18" s="896"/>
      <c r="AK18" s="915"/>
      <c r="AL18" s="915"/>
      <c r="AM18" s="916"/>
      <c r="AN18" s="915"/>
      <c r="AO18" s="910"/>
      <c r="AP18" s="918"/>
      <c r="AQ18" s="896"/>
      <c r="AR18" s="896"/>
      <c r="AS18" s="896"/>
      <c r="AT18" s="896"/>
      <c r="AU18" s="896"/>
      <c r="AV18" s="896"/>
      <c r="AW18" s="896"/>
      <c r="AX18" s="896"/>
      <c r="AY18" s="896"/>
      <c r="AZ18" s="896"/>
      <c r="BA18" s="12" t="s">
        <v>14</v>
      </c>
      <c r="BB18" s="953"/>
      <c r="BC18" s="15">
        <f>SUM(AD19)+SUM(AD27)+(SUM(AD33)*80%)+(SUM(AK19)*80%)+(SUM(AX19+AR19)*0.8)+(SUM(AK27)*80%)+(SUM(AK33)*80%)</f>
        <v>0</v>
      </c>
      <c r="BD18" s="896"/>
      <c r="BE18" s="896"/>
      <c r="BF18" s="896"/>
      <c r="BG18" s="953"/>
      <c r="BH18" s="12" t="s">
        <v>32</v>
      </c>
      <c r="BI18" s="953"/>
      <c r="BJ18" s="959"/>
      <c r="BK18" s="12" t="s">
        <v>39</v>
      </c>
      <c r="BL18" s="959"/>
      <c r="BM18" s="896"/>
      <c r="BN18" s="896"/>
      <c r="BP18" s="896"/>
      <c r="BQ18" s="896"/>
      <c r="BR18" s="904"/>
      <c r="BS18" s="918"/>
      <c r="BT18" s="896"/>
      <c r="BU18" s="896"/>
      <c r="BV18" s="896"/>
      <c r="BW18" s="896"/>
      <c r="BX18" s="896"/>
      <c r="BY18" s="908"/>
      <c r="BZ18" s="903"/>
      <c r="CA18" s="898"/>
      <c r="CB18" s="908"/>
      <c r="CC18" s="896"/>
      <c r="CD18" s="908"/>
      <c r="CE18" s="896"/>
      <c r="CF18" s="908"/>
      <c r="CG18" s="908"/>
      <c r="CH18" s="896"/>
      <c r="CI18" s="908"/>
      <c r="CL18" s="640"/>
      <c r="CM18" s="640"/>
      <c r="CN18" s="640"/>
      <c r="CO18" s="640"/>
      <c r="CP18" s="640"/>
      <c r="CQ18" s="640"/>
      <c r="CR18" s="640"/>
      <c r="CS18" s="640"/>
    </row>
    <row r="19" spans="1:168">
      <c r="B19" s="1367"/>
      <c r="C19" s="1357"/>
      <c r="D19" s="1368"/>
      <c r="E19" s="1328"/>
      <c r="F19" s="1388"/>
      <c r="G19" s="1388"/>
      <c r="H19" s="1328"/>
      <c r="I19" s="1328"/>
      <c r="J19" s="1388"/>
      <c r="K19" s="1328"/>
      <c r="L19" s="1357"/>
      <c r="M19" s="1360"/>
      <c r="N19" s="1357"/>
      <c r="O19" s="1328"/>
      <c r="P19" s="1328"/>
      <c r="Q19" s="1388"/>
      <c r="R19" s="1328"/>
      <c r="S19" s="1328"/>
      <c r="T19" s="1388"/>
      <c r="U19" s="1389"/>
      <c r="Y19" s="896"/>
      <c r="Z19" s="897"/>
      <c r="AA19" s="896"/>
      <c r="AB19" s="914"/>
      <c r="AC19" s="896"/>
      <c r="AD19" s="915"/>
      <c r="AE19" s="915"/>
      <c r="AF19" s="916"/>
      <c r="AG19" s="915"/>
      <c r="AH19" s="897"/>
      <c r="AI19" s="914"/>
      <c r="AJ19" s="896"/>
      <c r="AK19" s="915"/>
      <c r="AL19" s="915"/>
      <c r="AM19" s="916"/>
      <c r="AN19" s="915"/>
      <c r="AO19" s="915"/>
      <c r="AP19" s="914"/>
      <c r="AQ19" s="896"/>
      <c r="AR19" s="896"/>
      <c r="AS19" s="896"/>
      <c r="AT19" s="896"/>
      <c r="AU19" s="896"/>
      <c r="AV19" s="896"/>
      <c r="AW19" s="896"/>
      <c r="AX19" s="896"/>
      <c r="AY19" s="896"/>
      <c r="AZ19" s="896"/>
      <c r="BA19" s="12" t="s">
        <v>22</v>
      </c>
      <c r="BB19" s="12"/>
      <c r="BC19" s="15">
        <f>SUM(AD20)+SUM(AD28)+(SUM(AD34)*80%)+(SUM(AK20)*80%)+(SUM(AX20+AR20)*0.8)+(SUM(AK28)*80%)+(SUM(AK34)*80%)</f>
        <v>0</v>
      </c>
      <c r="BD19" s="896"/>
      <c r="BE19" s="896"/>
      <c r="BF19" s="896"/>
      <c r="BG19" s="12" t="s">
        <v>91</v>
      </c>
      <c r="BH19" s="17">
        <f>K13</f>
        <v>0</v>
      </c>
      <c r="BI19" s="34">
        <f>H13</f>
        <v>0</v>
      </c>
      <c r="BJ19" s="960"/>
      <c r="BK19" s="17">
        <f>K14</f>
        <v>0</v>
      </c>
      <c r="BL19" s="34">
        <f>H14</f>
        <v>0</v>
      </c>
      <c r="BM19" s="896"/>
      <c r="BN19" s="896"/>
      <c r="BP19" s="915"/>
      <c r="BQ19" s="916"/>
      <c r="BR19" s="904"/>
      <c r="BS19" s="914"/>
      <c r="BT19" s="896"/>
      <c r="BU19" s="915"/>
      <c r="BV19" s="915"/>
      <c r="BW19" s="916"/>
      <c r="BX19" s="896"/>
      <c r="BY19" s="896"/>
      <c r="BZ19" s="903"/>
      <c r="CA19" s="898"/>
      <c r="CB19" s="896"/>
      <c r="CC19" s="896"/>
      <c r="CD19" s="896"/>
      <c r="CE19" s="896"/>
      <c r="CF19" s="896"/>
      <c r="CG19" s="896"/>
      <c r="CH19" s="896"/>
      <c r="CI19" s="896"/>
      <c r="CL19" s="640"/>
      <c r="CM19" s="640"/>
      <c r="CN19" s="640"/>
      <c r="CO19" s="640"/>
      <c r="CP19" s="640"/>
      <c r="CQ19" s="640"/>
      <c r="CR19" s="640"/>
      <c r="CS19" s="640"/>
    </row>
    <row r="20" spans="1:168" s="654" customFormat="1" ht="18" customHeight="1">
      <c r="A20" s="651"/>
      <c r="B20" s="1405" t="s">
        <v>105</v>
      </c>
      <c r="C20" s="1412"/>
      <c r="D20" s="1407"/>
      <c r="E20" s="1413"/>
      <c r="F20" s="1417"/>
      <c r="G20" s="1417"/>
      <c r="H20" s="1413"/>
      <c r="I20" s="1413"/>
      <c r="J20" s="1417"/>
      <c r="K20" s="1414"/>
      <c r="L20" s="1412"/>
      <c r="M20" s="1415"/>
      <c r="N20" s="1412"/>
      <c r="O20" s="1413"/>
      <c r="P20" s="1413"/>
      <c r="Q20" s="1417"/>
      <c r="R20" s="1413"/>
      <c r="S20" s="1413"/>
      <c r="T20" s="1417"/>
      <c r="U20" s="1416"/>
      <c r="V20" s="651"/>
      <c r="W20" s="651"/>
      <c r="X20" s="645"/>
      <c r="Y20" s="936">
        <f>Y29+SUM(E49:E51)+SUM(AC29:AC31)</f>
        <v>0</v>
      </c>
      <c r="Z20" s="896"/>
      <c r="AA20" s="896"/>
      <c r="AB20" s="896"/>
      <c r="AC20" s="910" t="s">
        <v>84</v>
      </c>
      <c r="AD20" s="910"/>
      <c r="AE20" s="910" t="s">
        <v>80</v>
      </c>
      <c r="AF20" s="896"/>
      <c r="AG20" s="896"/>
      <c r="AH20" s="896"/>
      <c r="AI20" s="896"/>
      <c r="AJ20" s="910" t="s">
        <v>84</v>
      </c>
      <c r="AK20" s="910"/>
      <c r="AL20" s="910" t="s">
        <v>80</v>
      </c>
      <c r="AM20" s="896"/>
      <c r="AN20" s="896"/>
      <c r="AO20" s="897"/>
      <c r="AP20" s="896"/>
      <c r="AQ20" s="896"/>
      <c r="AR20" s="896"/>
      <c r="AS20" s="896"/>
      <c r="AT20" s="896"/>
      <c r="AU20" s="896"/>
      <c r="AV20" s="896"/>
      <c r="AW20" s="896"/>
      <c r="AX20" s="896"/>
      <c r="AY20" s="896"/>
      <c r="AZ20" s="896"/>
      <c r="BA20" s="12" t="s">
        <v>32</v>
      </c>
      <c r="BB20" s="12"/>
      <c r="BC20" s="15">
        <f>SUM(AD21)+SUM(AD29)+(SUM(AD35)*80%)+(SUM(AK21)*80%)+(SUM(AX21+AR21)*0.8)+(SUM(AK29)*80%)+(SUM(AK35)*80%)</f>
        <v>0</v>
      </c>
      <c r="BD20" s="896"/>
      <c r="BE20" s="896"/>
      <c r="BF20" s="896"/>
      <c r="BG20" s="12" t="s">
        <v>92</v>
      </c>
      <c r="BH20" s="17">
        <f>K17</f>
        <v>0</v>
      </c>
      <c r="BI20" s="34">
        <f>H17*80%</f>
        <v>0</v>
      </c>
      <c r="BJ20" s="960"/>
      <c r="BK20" s="17">
        <f>K18</f>
        <v>0</v>
      </c>
      <c r="BL20" s="34">
        <f>H18*80%</f>
        <v>0</v>
      </c>
      <c r="BM20" s="896"/>
      <c r="BN20" s="896"/>
      <c r="BO20" s="646"/>
      <c r="BP20" s="915"/>
      <c r="BQ20" s="916"/>
      <c r="BR20" s="904"/>
      <c r="BS20" s="914"/>
      <c r="BT20" s="896"/>
      <c r="BU20" s="915"/>
      <c r="BV20" s="915"/>
      <c r="BW20" s="916"/>
      <c r="BX20" s="896"/>
      <c r="BY20" s="896"/>
      <c r="BZ20" s="903"/>
      <c r="CA20" s="910"/>
      <c r="CB20" s="896"/>
      <c r="CC20" s="896"/>
      <c r="CD20" s="896"/>
      <c r="CE20" s="896"/>
      <c r="CF20" s="896"/>
      <c r="CG20" s="896"/>
      <c r="CH20" s="896"/>
      <c r="CI20" s="896"/>
      <c r="CL20" s="651"/>
      <c r="CM20" s="651"/>
      <c r="CN20" s="651"/>
      <c r="CO20" s="651"/>
      <c r="CP20" s="651"/>
      <c r="CQ20" s="651"/>
      <c r="CR20" s="651"/>
      <c r="CS20" s="651"/>
      <c r="CT20" s="651"/>
      <c r="CU20" s="651"/>
      <c r="CV20" s="651"/>
      <c r="CW20" s="651"/>
      <c r="CX20" s="651"/>
      <c r="CY20" s="651"/>
      <c r="CZ20" s="651"/>
      <c r="DA20" s="651"/>
      <c r="DB20" s="651"/>
      <c r="DC20" s="651"/>
      <c r="DD20" s="651"/>
      <c r="DE20" s="651"/>
      <c r="DF20" s="651"/>
      <c r="DG20" s="651"/>
      <c r="DH20" s="651"/>
      <c r="DI20" s="651"/>
      <c r="DJ20" s="651"/>
      <c r="DK20" s="651"/>
      <c r="DL20" s="651"/>
      <c r="DM20" s="651"/>
      <c r="DN20" s="651"/>
      <c r="DO20" s="651"/>
      <c r="DP20" s="651"/>
      <c r="DQ20" s="651"/>
      <c r="DR20" s="651"/>
      <c r="DS20" s="651"/>
      <c r="DT20" s="651"/>
      <c r="DU20" s="651"/>
      <c r="DV20" s="651"/>
      <c r="DW20" s="651"/>
      <c r="DX20" s="651"/>
      <c r="DY20" s="651"/>
      <c r="DZ20" s="651"/>
      <c r="EA20" s="651"/>
      <c r="EB20" s="651"/>
      <c r="EC20" s="651"/>
      <c r="ED20" s="651"/>
      <c r="EE20" s="651"/>
      <c r="EF20" s="651"/>
      <c r="EG20" s="651"/>
      <c r="EH20" s="651"/>
      <c r="EI20" s="651"/>
      <c r="EJ20" s="651"/>
      <c r="EK20" s="651"/>
      <c r="EL20" s="651"/>
      <c r="EM20" s="651"/>
      <c r="EN20" s="651"/>
      <c r="EO20" s="651"/>
      <c r="EP20" s="651"/>
      <c r="EQ20" s="651"/>
      <c r="ER20" s="651"/>
      <c r="ES20" s="651"/>
      <c r="ET20" s="651"/>
      <c r="EU20" s="651"/>
      <c r="EV20" s="651"/>
      <c r="EW20" s="651"/>
      <c r="EX20" s="651"/>
      <c r="EY20" s="651"/>
      <c r="EZ20" s="651"/>
      <c r="FA20" s="651"/>
      <c r="FB20" s="651"/>
      <c r="FC20" s="651"/>
      <c r="FD20" s="651"/>
      <c r="FE20" s="651"/>
      <c r="FF20" s="651"/>
      <c r="FG20" s="651"/>
      <c r="FH20" s="651"/>
      <c r="FI20" s="651"/>
      <c r="FJ20" s="651"/>
      <c r="FK20" s="715"/>
      <c r="FL20" s="715"/>
    </row>
    <row r="21" spans="1:168" s="682" customFormat="1">
      <c r="A21" s="676"/>
      <c r="B21" s="1356" t="s">
        <v>107</v>
      </c>
      <c r="C21" s="1377"/>
      <c r="D21" s="1378"/>
      <c r="E21" s="1478" t="s">
        <v>50</v>
      </c>
      <c r="F21" s="1379"/>
      <c r="G21" s="1379"/>
      <c r="H21" s="1478" t="s">
        <v>80</v>
      </c>
      <c r="I21" s="1379"/>
      <c r="J21" s="1379"/>
      <c r="K21" s="1478" t="s">
        <v>89</v>
      </c>
      <c r="L21" s="1359" t="s">
        <v>108</v>
      </c>
      <c r="M21" s="1380"/>
      <c r="N21" s="1377"/>
      <c r="O21" s="1478" t="s">
        <v>50</v>
      </c>
      <c r="P21" s="1379"/>
      <c r="Q21" s="1379"/>
      <c r="R21" s="1478" t="s">
        <v>80</v>
      </c>
      <c r="S21" s="1379"/>
      <c r="T21" s="1379"/>
      <c r="U21" s="1479" t="s">
        <v>89</v>
      </c>
      <c r="V21" s="676"/>
      <c r="W21" s="676"/>
      <c r="X21" s="645"/>
      <c r="Y21" s="910"/>
      <c r="Z21" s="911"/>
      <c r="AA21" s="914" t="s">
        <v>142</v>
      </c>
      <c r="AB21" s="896"/>
      <c r="AC21" s="926">
        <f>IFERROR((H46/AE21),0)</f>
        <v>0</v>
      </c>
      <c r="AD21" s="896"/>
      <c r="AE21" s="927" t="e">
        <f>VLOOKUP('GL&amp;EE TOOL'!H46,'Exchange Rates'!C4:D16,2,FALSE)</f>
        <v>#N/A</v>
      </c>
      <c r="AF21" s="896"/>
      <c r="AG21" s="896"/>
      <c r="AH21" s="914" t="s">
        <v>142</v>
      </c>
      <c r="AI21" s="896"/>
      <c r="AJ21" s="928">
        <f>IFERROR((R46/AL21),0)</f>
        <v>0</v>
      </c>
      <c r="AK21" s="896"/>
      <c r="AL21" s="926" t="e">
        <f>VLOOKUP('GL&amp;EE TOOL'!M46,'Exchange Rates'!C4:D16,2,FALSE)</f>
        <v>#N/A</v>
      </c>
      <c r="AM21" s="896"/>
      <c r="AN21" s="896"/>
      <c r="AO21" s="897"/>
      <c r="AP21" s="896"/>
      <c r="AQ21" s="896"/>
      <c r="AR21" s="896"/>
      <c r="AS21" s="896"/>
      <c r="AT21" s="896"/>
      <c r="AU21" s="896"/>
      <c r="AV21" s="896"/>
      <c r="AW21" s="896"/>
      <c r="AX21" s="896"/>
      <c r="AY21" s="896"/>
      <c r="AZ21" s="896"/>
      <c r="BA21" s="12" t="s">
        <v>39</v>
      </c>
      <c r="BB21" s="12"/>
      <c r="BC21" s="15">
        <f>SUM(AD22)+SUM(AD30)+(SUM(AD36)*80%)+(SUM(AK22)*80%)+(SUM(AX22+AR22)*0.8)+(SUM(AK30)*80%)+(SUM(AK36)*80%)</f>
        <v>0</v>
      </c>
      <c r="BD21" s="896"/>
      <c r="BE21" s="896"/>
      <c r="BF21" s="896"/>
      <c r="BG21" s="12" t="s">
        <v>94</v>
      </c>
      <c r="BH21" s="17">
        <f>K22</f>
        <v>0</v>
      </c>
      <c r="BI21" s="34">
        <f>H22</f>
        <v>0</v>
      </c>
      <c r="BJ21" s="960"/>
      <c r="BK21" s="17">
        <f>K23</f>
        <v>0</v>
      </c>
      <c r="BL21" s="34">
        <f>H23</f>
        <v>0</v>
      </c>
      <c r="BM21" s="896"/>
      <c r="BN21" s="896"/>
      <c r="BO21" s="646"/>
      <c r="BP21" s="915"/>
      <c r="BQ21" s="916"/>
      <c r="BR21" s="904"/>
      <c r="BS21" s="914"/>
      <c r="BT21" s="896"/>
      <c r="BU21" s="915"/>
      <c r="BV21" s="915"/>
      <c r="BW21" s="916"/>
      <c r="BX21" s="896"/>
      <c r="BY21" s="896"/>
      <c r="BZ21" s="896"/>
      <c r="CA21" s="911"/>
      <c r="CB21" s="896"/>
      <c r="CC21" s="896"/>
      <c r="CD21" s="896"/>
      <c r="CE21" s="896"/>
      <c r="CF21" s="896"/>
      <c r="CG21" s="896"/>
      <c r="CH21" s="896"/>
      <c r="CI21" s="896"/>
      <c r="CL21" s="676"/>
      <c r="CM21" s="676"/>
      <c r="CN21" s="676"/>
      <c r="CO21" s="676"/>
      <c r="CP21" s="676"/>
      <c r="CQ21" s="676"/>
      <c r="CR21" s="676"/>
      <c r="CS21" s="676"/>
      <c r="CT21" s="676"/>
      <c r="CU21" s="676"/>
      <c r="CV21" s="676"/>
      <c r="CW21" s="676"/>
      <c r="CX21" s="676"/>
      <c r="CY21" s="676"/>
      <c r="CZ21" s="676"/>
      <c r="DA21" s="676"/>
      <c r="DB21" s="676"/>
      <c r="DC21" s="676"/>
      <c r="DD21" s="676"/>
      <c r="DE21" s="676"/>
      <c r="DF21" s="676"/>
      <c r="DG21" s="676"/>
      <c r="DH21" s="676"/>
      <c r="DI21" s="676"/>
      <c r="DJ21" s="676"/>
      <c r="DK21" s="676"/>
      <c r="DL21" s="676"/>
      <c r="DM21" s="676"/>
      <c r="DN21" s="676"/>
      <c r="DO21" s="676"/>
      <c r="DP21" s="676"/>
      <c r="DQ21" s="676"/>
      <c r="DR21" s="676"/>
      <c r="DS21" s="676"/>
      <c r="DT21" s="676"/>
      <c r="DU21" s="676"/>
      <c r="DV21" s="676"/>
      <c r="DW21" s="676"/>
      <c r="DX21" s="676"/>
      <c r="DY21" s="676"/>
      <c r="DZ21" s="676"/>
      <c r="EA21" s="676"/>
      <c r="EB21" s="676"/>
      <c r="EC21" s="676"/>
      <c r="ED21" s="676"/>
      <c r="EE21" s="676"/>
      <c r="EF21" s="676"/>
      <c r="EG21" s="676"/>
      <c r="EH21" s="676"/>
      <c r="EI21" s="676"/>
      <c r="EJ21" s="676"/>
      <c r="EK21" s="676"/>
      <c r="EL21" s="676"/>
      <c r="EM21" s="676"/>
      <c r="EN21" s="676"/>
      <c r="EO21" s="676"/>
      <c r="EP21" s="676"/>
      <c r="EQ21" s="676"/>
      <c r="ER21" s="676"/>
      <c r="ES21" s="676"/>
      <c r="ET21" s="676"/>
      <c r="EU21" s="676"/>
      <c r="EV21" s="676"/>
      <c r="EW21" s="676"/>
      <c r="EX21" s="676"/>
      <c r="EY21" s="676"/>
      <c r="EZ21" s="676"/>
      <c r="FA21" s="676"/>
      <c r="FB21" s="676"/>
      <c r="FC21" s="676"/>
      <c r="FD21" s="676"/>
      <c r="FE21" s="676"/>
      <c r="FF21" s="676"/>
      <c r="FG21" s="676"/>
      <c r="FH21" s="676"/>
      <c r="FI21" s="676"/>
      <c r="FJ21" s="676"/>
      <c r="FK21" s="716"/>
      <c r="FL21" s="716"/>
    </row>
    <row r="22" spans="1:168" ht="15.5" thickBot="1">
      <c r="B22" s="1362" t="s">
        <v>93</v>
      </c>
      <c r="C22" s="1357"/>
      <c r="D22" s="1361" t="str">
        <f>IF(ISBLANK(E22), "&lt;AUD&gt;", E22)</f>
        <v>&lt;AUD&gt;</v>
      </c>
      <c r="E22" s="1471"/>
      <c r="F22" s="1097"/>
      <c r="G22" s="1361" t="str">
        <f t="shared" ref="G22" si="13">IF(ISBLANK(H22), "&lt;Local Currency&gt;", H22)</f>
        <v>&lt;Local Currency&gt;</v>
      </c>
      <c r="H22" s="1471"/>
      <c r="I22" s="1096"/>
      <c r="J22" s="1361" t="str">
        <f>IF(ISBLANK(K22), "&lt;Select&gt;", "")</f>
        <v>&lt;Select&gt;</v>
      </c>
      <c r="K22" s="1471"/>
      <c r="L22" s="1364" t="s">
        <v>93</v>
      </c>
      <c r="M22" s="1360"/>
      <c r="N22" s="1361" t="str">
        <f>IF(ISBLANK(O22), "&lt;AUD&gt;", O22)</f>
        <v>&lt;AUD&gt;</v>
      </c>
      <c r="O22" s="1471"/>
      <c r="P22" s="1096"/>
      <c r="Q22" s="1361" t="str">
        <f>IF(ISBLANK(R22), "&lt;Local Currency&gt;", R22)</f>
        <v>&lt;Local Currency&gt;</v>
      </c>
      <c r="R22" s="1471"/>
      <c r="S22" s="1096"/>
      <c r="T22" s="1361" t="str">
        <f>IF(ISBLANK(U22), "&lt;Select&gt;", "")</f>
        <v>&lt;Select&gt;</v>
      </c>
      <c r="U22" s="1473"/>
      <c r="Y22" s="897" t="s">
        <v>145</v>
      </c>
      <c r="Z22" s="896">
        <v>1300</v>
      </c>
      <c r="AA22" s="896"/>
      <c r="AB22" s="896"/>
      <c r="AC22" s="896"/>
      <c r="AD22" s="896"/>
      <c r="AE22" s="896"/>
      <c r="AF22" s="896"/>
      <c r="AG22" s="896"/>
      <c r="AH22" s="896"/>
      <c r="AI22" s="896"/>
      <c r="AJ22" s="896"/>
      <c r="AK22" s="896"/>
      <c r="AL22" s="896"/>
      <c r="AM22" s="896"/>
      <c r="AN22" s="896"/>
      <c r="AO22" s="897"/>
      <c r="AP22" s="896"/>
      <c r="AQ22" s="896"/>
      <c r="AR22" s="896"/>
      <c r="AS22" s="896"/>
      <c r="AT22" s="896"/>
      <c r="AU22" s="896"/>
      <c r="AV22" s="896"/>
      <c r="AW22" s="896"/>
      <c r="AX22" s="896"/>
      <c r="AY22" s="896"/>
      <c r="AZ22" s="896"/>
      <c r="BA22" s="958" t="s">
        <v>96</v>
      </c>
      <c r="BB22" s="23">
        <f>SUM(AP3:AP6)</f>
        <v>0</v>
      </c>
      <c r="BC22" s="24">
        <f>SUM(BC18:BC21)</f>
        <v>0</v>
      </c>
      <c r="BD22" s="896"/>
      <c r="BE22" s="896"/>
      <c r="BF22" s="896"/>
      <c r="BG22" s="12" t="s">
        <v>97</v>
      </c>
      <c r="BH22" s="17">
        <f>K27</f>
        <v>0</v>
      </c>
      <c r="BI22" s="34">
        <f>H27*80%</f>
        <v>0</v>
      </c>
      <c r="BJ22" s="960"/>
      <c r="BK22" s="17">
        <f>K28</f>
        <v>0</v>
      </c>
      <c r="BL22" s="34">
        <f>H28*80%</f>
        <v>0</v>
      </c>
      <c r="BM22" s="896"/>
      <c r="BN22" s="896"/>
      <c r="BP22" s="915"/>
      <c r="BQ22" s="916"/>
      <c r="BR22" s="904"/>
      <c r="BS22" s="914"/>
      <c r="BT22" s="896"/>
      <c r="BU22" s="915"/>
      <c r="BV22" s="915"/>
      <c r="BW22" s="916"/>
      <c r="BX22" s="896"/>
      <c r="BY22" s="896"/>
      <c r="BZ22" s="896"/>
      <c r="CA22" s="896"/>
      <c r="CB22" s="896"/>
      <c r="CC22" s="896"/>
      <c r="CD22" s="896"/>
      <c r="CE22" s="896"/>
      <c r="CF22" s="896"/>
      <c r="CG22" s="896"/>
      <c r="CH22" s="896"/>
      <c r="CI22" s="896"/>
      <c r="CL22" s="640"/>
      <c r="CM22" s="640"/>
      <c r="CN22" s="640"/>
      <c r="CO22" s="640"/>
      <c r="CP22" s="640"/>
      <c r="CQ22" s="640"/>
      <c r="CR22" s="640"/>
      <c r="CS22" s="640"/>
    </row>
    <row r="23" spans="1:168">
      <c r="B23" s="1362" t="s">
        <v>95</v>
      </c>
      <c r="C23" s="1357"/>
      <c r="D23" s="1365" t="str">
        <f t="shared" ref="D23" si="14">IF(ISBLANK(E23), "&lt;AUD&gt;", E23)</f>
        <v>&lt;AUD&gt;</v>
      </c>
      <c r="E23" s="1463"/>
      <c r="F23" s="1097"/>
      <c r="G23" s="1365" t="str">
        <f>IF(ISBLANK(H23), "                                                    &lt;Local Currency&gt;", H23)</f>
        <v xml:space="preserve">                                                    &lt;Local Currency&gt;</v>
      </c>
      <c r="H23" s="1463"/>
      <c r="I23" s="1096"/>
      <c r="J23" s="1365" t="str">
        <f t="shared" ref="J23" si="15">IF(ISBLANK(K23), "&lt;Select&gt;", K23)</f>
        <v>&lt;Select&gt;</v>
      </c>
      <c r="K23" s="1471"/>
      <c r="L23" s="1364" t="s">
        <v>95</v>
      </c>
      <c r="M23" s="1360"/>
      <c r="N23" s="1365"/>
      <c r="O23" s="1463"/>
      <c r="P23" s="1096"/>
      <c r="Q23" s="1365"/>
      <c r="R23" s="1463"/>
      <c r="S23" s="1096"/>
      <c r="T23" s="1365" t="str">
        <f t="shared" ref="T23" si="16">IF(ISBLANK(U23), "&lt;Select&gt;", U23)</f>
        <v>&lt;Select&gt;</v>
      </c>
      <c r="U23" s="1473"/>
      <c r="Y23" s="897" t="s">
        <v>147</v>
      </c>
      <c r="Z23" s="896">
        <v>2800</v>
      </c>
      <c r="AA23" s="896"/>
      <c r="AB23" s="896"/>
      <c r="AC23" s="896"/>
      <c r="AD23" s="896"/>
      <c r="AE23" s="896"/>
      <c r="AF23" s="896"/>
      <c r="AG23" s="896"/>
      <c r="AH23" s="896"/>
      <c r="AI23" s="896"/>
      <c r="AJ23" s="896"/>
      <c r="AK23" s="896"/>
      <c r="AL23" s="896"/>
      <c r="AM23" s="896"/>
      <c r="AN23" s="896"/>
      <c r="AO23" s="897"/>
      <c r="AP23" s="896"/>
      <c r="AQ23" s="896"/>
      <c r="AR23" s="896"/>
      <c r="AS23" s="896"/>
      <c r="AT23" s="896"/>
      <c r="AU23" s="896"/>
      <c r="AV23" s="896"/>
      <c r="AW23" s="896"/>
      <c r="AX23" s="896"/>
      <c r="AY23" s="896"/>
      <c r="AZ23" s="896"/>
      <c r="BA23" s="896"/>
      <c r="BB23" s="896"/>
      <c r="BC23" s="896"/>
      <c r="BD23" s="896"/>
      <c r="BE23" s="896"/>
      <c r="BF23" s="896"/>
      <c r="BG23" s="12" t="s">
        <v>99</v>
      </c>
      <c r="BH23" s="34">
        <f>U13</f>
        <v>0</v>
      </c>
      <c r="BI23" s="34">
        <f>R13*80%</f>
        <v>0</v>
      </c>
      <c r="BJ23" s="960"/>
      <c r="BK23" s="17">
        <f>U14</f>
        <v>0</v>
      </c>
      <c r="BL23" s="17">
        <f>R14*80%</f>
        <v>0</v>
      </c>
      <c r="BM23" s="896"/>
      <c r="BN23" s="896"/>
      <c r="BP23" s="896"/>
      <c r="BQ23" s="896"/>
      <c r="BR23" s="904"/>
      <c r="BS23" s="904"/>
      <c r="BT23" s="904"/>
      <c r="BU23" s="904"/>
      <c r="BV23" s="896"/>
      <c r="BW23" s="896"/>
      <c r="BX23" s="896"/>
      <c r="BY23" s="896"/>
      <c r="BZ23" s="896"/>
      <c r="CA23" s="896"/>
      <c r="CB23" s="896"/>
      <c r="CC23" s="896"/>
      <c r="CD23" s="896"/>
      <c r="CE23" s="896"/>
      <c r="CF23" s="896"/>
      <c r="CG23" s="896"/>
      <c r="CH23" s="896"/>
      <c r="CI23" s="896"/>
      <c r="CL23" s="640"/>
      <c r="CM23" s="640"/>
      <c r="CN23" s="640"/>
      <c r="CO23" s="640"/>
      <c r="CP23" s="640"/>
      <c r="CQ23" s="640"/>
      <c r="CR23" s="640"/>
      <c r="CS23" s="640"/>
    </row>
    <row r="24" spans="1:168" ht="15.5" thickBot="1">
      <c r="B24" s="1362"/>
      <c r="C24" s="1357"/>
      <c r="D24" s="1365"/>
      <c r="E24" s="1096"/>
      <c r="F24" s="1097"/>
      <c r="G24" s="1097"/>
      <c r="H24" s="1096"/>
      <c r="I24" s="1096"/>
      <c r="J24" s="1097"/>
      <c r="K24" s="1330"/>
      <c r="L24" s="1364"/>
      <c r="M24" s="1360"/>
      <c r="N24" s="1357"/>
      <c r="O24" s="1096"/>
      <c r="P24" s="1096"/>
      <c r="Q24" s="1097"/>
      <c r="R24" s="1096"/>
      <c r="S24" s="1096"/>
      <c r="T24" s="1097"/>
      <c r="U24" s="1369"/>
      <c r="Y24" s="897" t="s">
        <v>149</v>
      </c>
      <c r="Z24" s="896">
        <v>468</v>
      </c>
      <c r="AA24" s="896"/>
      <c r="AB24" s="896"/>
      <c r="AC24" s="896"/>
      <c r="AD24" s="896"/>
      <c r="AE24" s="896"/>
      <c r="AF24" s="896"/>
      <c r="AG24" s="896"/>
      <c r="AH24" s="896"/>
      <c r="AI24" s="896"/>
      <c r="AJ24" s="896"/>
      <c r="AK24" s="896"/>
      <c r="AL24" s="896"/>
      <c r="AM24" s="896"/>
      <c r="AN24" s="896"/>
      <c r="AO24" s="896"/>
      <c r="AP24" s="896"/>
      <c r="AQ24" s="896"/>
      <c r="AR24" s="896"/>
      <c r="AS24" s="896"/>
      <c r="AT24" s="896"/>
      <c r="AU24" s="896"/>
      <c r="AV24" s="896"/>
      <c r="AW24" s="896"/>
      <c r="AX24" s="896"/>
      <c r="AY24" s="896"/>
      <c r="AZ24" s="896"/>
      <c r="BA24" s="896"/>
      <c r="BB24" s="896"/>
      <c r="BC24" s="896"/>
      <c r="BD24" s="896"/>
      <c r="BE24" s="896"/>
      <c r="BF24" s="896"/>
      <c r="BG24" s="12" t="s">
        <v>100</v>
      </c>
      <c r="BH24" s="17">
        <f>U17</f>
        <v>0</v>
      </c>
      <c r="BI24" s="17">
        <f>R17*80%</f>
        <v>0</v>
      </c>
      <c r="BJ24" s="960"/>
      <c r="BK24" s="17">
        <f>U18</f>
        <v>0</v>
      </c>
      <c r="BL24" s="17">
        <f>R18*80%</f>
        <v>0</v>
      </c>
      <c r="BM24" s="896"/>
      <c r="BN24" s="896"/>
      <c r="BP24" s="896"/>
      <c r="BQ24" s="896"/>
      <c r="BR24" s="904"/>
      <c r="BS24" s="904"/>
      <c r="BT24" s="904"/>
      <c r="BU24" s="904"/>
      <c r="BV24" s="896"/>
      <c r="BW24" s="896"/>
      <c r="BX24" s="896"/>
      <c r="BY24" s="896"/>
      <c r="BZ24" s="896"/>
      <c r="CA24" s="896"/>
      <c r="CB24" s="896"/>
      <c r="CC24" s="896"/>
      <c r="CD24" s="896"/>
      <c r="CE24" s="896"/>
      <c r="CF24" s="896"/>
      <c r="CG24" s="896"/>
      <c r="CH24" s="896"/>
      <c r="CI24" s="896"/>
      <c r="CL24" s="640"/>
      <c r="CM24" s="640"/>
      <c r="CN24" s="640"/>
      <c r="CO24" s="640"/>
      <c r="CP24" s="640"/>
      <c r="CQ24" s="640"/>
      <c r="CR24" s="640"/>
      <c r="CS24" s="640"/>
    </row>
    <row r="25" spans="1:168" s="654" customFormat="1" ht="18" customHeight="1" thickBot="1">
      <c r="A25" s="651"/>
      <c r="B25" s="1405" t="s">
        <v>110</v>
      </c>
      <c r="C25" s="1412"/>
      <c r="D25" s="1407"/>
      <c r="E25" s="1413"/>
      <c r="F25" s="1417"/>
      <c r="G25" s="1417"/>
      <c r="H25" s="1413"/>
      <c r="I25" s="1413"/>
      <c r="J25" s="1417"/>
      <c r="K25" s="1414"/>
      <c r="L25" s="1412"/>
      <c r="M25" s="1415"/>
      <c r="N25" s="1412"/>
      <c r="O25" s="1413"/>
      <c r="P25" s="1413"/>
      <c r="Q25" s="1417"/>
      <c r="R25" s="1413"/>
      <c r="S25" s="1413"/>
      <c r="T25" s="1417"/>
      <c r="U25" s="1416"/>
      <c r="V25" s="651"/>
      <c r="W25" s="651"/>
      <c r="X25" s="645"/>
      <c r="Y25" s="897"/>
      <c r="Z25" s="896"/>
      <c r="AA25" s="1121"/>
      <c r="AB25" s="1122"/>
      <c r="AC25" s="1122"/>
      <c r="AD25" s="1122"/>
      <c r="AE25" s="1122"/>
      <c r="AF25" s="1122"/>
      <c r="AG25" s="1122"/>
      <c r="AH25" s="1122"/>
      <c r="AI25" s="1122"/>
      <c r="AJ25" s="1122"/>
      <c r="AK25" s="1122"/>
      <c r="AL25" s="1122"/>
      <c r="AM25" s="1122"/>
      <c r="AN25" s="1122"/>
      <c r="AO25" s="1122"/>
      <c r="AP25" s="1123"/>
      <c r="AQ25" s="896"/>
      <c r="AR25" s="896"/>
      <c r="AS25" s="896"/>
      <c r="AT25" s="896"/>
      <c r="AU25" s="896"/>
      <c r="AV25" s="896"/>
      <c r="AW25" s="896"/>
      <c r="AX25" s="896"/>
      <c r="AY25" s="896"/>
      <c r="AZ25" s="896"/>
      <c r="BA25" s="896"/>
      <c r="BB25" s="896"/>
      <c r="BC25" s="896"/>
      <c r="BD25" s="896"/>
      <c r="BE25" s="896"/>
      <c r="BF25" s="896"/>
      <c r="BG25" s="12" t="s">
        <v>101</v>
      </c>
      <c r="BH25" s="17">
        <f>U22</f>
        <v>0</v>
      </c>
      <c r="BI25" s="17">
        <f>R22*80%</f>
        <v>0</v>
      </c>
      <c r="BJ25" s="960"/>
      <c r="BK25" s="17">
        <f>U23</f>
        <v>0</v>
      </c>
      <c r="BL25" s="17">
        <f>R23*80%</f>
        <v>0</v>
      </c>
      <c r="BM25" s="896"/>
      <c r="BN25" s="896"/>
      <c r="BO25" s="646"/>
      <c r="BP25" s="896"/>
      <c r="BQ25" s="896"/>
      <c r="BR25" s="904"/>
      <c r="BS25" s="904"/>
      <c r="BT25" s="904"/>
      <c r="BU25" s="904"/>
      <c r="BV25" s="896"/>
      <c r="BW25" s="896"/>
      <c r="BX25" s="896"/>
      <c r="BY25" s="896"/>
      <c r="BZ25" s="896"/>
      <c r="CA25" s="896"/>
      <c r="CB25" s="896"/>
      <c r="CC25" s="896"/>
      <c r="CD25" s="896"/>
      <c r="CE25" s="896"/>
      <c r="CF25" s="896"/>
      <c r="CG25" s="896"/>
      <c r="CH25" s="896"/>
      <c r="CI25" s="896"/>
      <c r="CL25" s="651"/>
      <c r="CM25" s="651"/>
      <c r="CN25" s="651"/>
      <c r="CO25" s="651"/>
      <c r="CP25" s="651"/>
      <c r="CQ25" s="651"/>
      <c r="CR25" s="651"/>
      <c r="CS25" s="651"/>
      <c r="CT25" s="651"/>
      <c r="CU25" s="651"/>
      <c r="CV25" s="651"/>
      <c r="CW25" s="651"/>
      <c r="CX25" s="651"/>
      <c r="CY25" s="651"/>
      <c r="CZ25" s="651"/>
      <c r="DA25" s="651"/>
      <c r="DB25" s="651"/>
      <c r="DC25" s="651"/>
      <c r="DD25" s="651"/>
      <c r="DE25" s="651"/>
      <c r="DF25" s="651"/>
      <c r="DG25" s="651"/>
      <c r="DH25" s="651"/>
      <c r="DI25" s="651"/>
      <c r="DJ25" s="651"/>
      <c r="DK25" s="651"/>
      <c r="DL25" s="651"/>
      <c r="DM25" s="651"/>
      <c r="DN25" s="651"/>
      <c r="DO25" s="651"/>
      <c r="DP25" s="651"/>
      <c r="DQ25" s="651"/>
      <c r="DR25" s="651"/>
      <c r="DS25" s="651"/>
      <c r="DT25" s="651"/>
      <c r="DU25" s="651"/>
      <c r="DV25" s="651"/>
      <c r="DW25" s="651"/>
      <c r="DX25" s="651"/>
      <c r="DY25" s="651"/>
      <c r="DZ25" s="651"/>
      <c r="EA25" s="651"/>
      <c r="EB25" s="651"/>
      <c r="EC25" s="651"/>
      <c r="ED25" s="651"/>
      <c r="EE25" s="651"/>
      <c r="EF25" s="651"/>
      <c r="EG25" s="651"/>
      <c r="EH25" s="651"/>
      <c r="EI25" s="651"/>
      <c r="EJ25" s="651"/>
      <c r="EK25" s="651"/>
      <c r="EL25" s="651"/>
      <c r="EM25" s="651"/>
      <c r="EN25" s="651"/>
      <c r="EO25" s="651"/>
      <c r="EP25" s="651"/>
      <c r="EQ25" s="651"/>
      <c r="ER25" s="651"/>
      <c r="ES25" s="651"/>
      <c r="ET25" s="651"/>
      <c r="EU25" s="651"/>
      <c r="EV25" s="651"/>
      <c r="EW25" s="651"/>
      <c r="EX25" s="651"/>
      <c r="EY25" s="651"/>
      <c r="EZ25" s="651"/>
      <c r="FA25" s="651"/>
      <c r="FB25" s="651"/>
      <c r="FC25" s="651"/>
      <c r="FD25" s="651"/>
      <c r="FE25" s="651"/>
      <c r="FF25" s="651"/>
      <c r="FG25" s="651"/>
      <c r="FH25" s="651"/>
      <c r="FI25" s="651"/>
      <c r="FJ25" s="651"/>
      <c r="FK25" s="715"/>
      <c r="FL25" s="715"/>
    </row>
    <row r="26" spans="1:168" ht="16.5">
      <c r="B26" s="1356" t="s">
        <v>111</v>
      </c>
      <c r="C26" s="1377"/>
      <c r="D26" s="1378"/>
      <c r="E26" s="1478" t="s">
        <v>50</v>
      </c>
      <c r="F26" s="1379"/>
      <c r="G26" s="1379"/>
      <c r="H26" s="1478" t="s">
        <v>80</v>
      </c>
      <c r="I26" s="1379"/>
      <c r="J26" s="1379"/>
      <c r="K26" s="1478" t="s">
        <v>89</v>
      </c>
      <c r="L26" s="1359" t="s">
        <v>114</v>
      </c>
      <c r="M26" s="1380"/>
      <c r="N26" s="1377"/>
      <c r="O26" s="1478" t="s">
        <v>50</v>
      </c>
      <c r="P26" s="1379"/>
      <c r="Q26" s="1379"/>
      <c r="R26" s="1478" t="s">
        <v>80</v>
      </c>
      <c r="S26" s="1379"/>
      <c r="T26" s="1379"/>
      <c r="U26" s="1479" t="s">
        <v>89</v>
      </c>
      <c r="Y26" s="897" t="s">
        <v>50</v>
      </c>
      <c r="Z26" s="930">
        <f>(E43*Z22)+(O43*Z22)+(E44*Z23)+(O44*Z23)+(E45*Z24)+(O45*Z24)</f>
        <v>0</v>
      </c>
      <c r="AA26" s="896" t="s">
        <v>117</v>
      </c>
      <c r="AB26" s="931" t="s">
        <v>150</v>
      </c>
      <c r="AC26" s="931" t="s">
        <v>151</v>
      </c>
      <c r="AD26" s="931"/>
      <c r="AE26" s="931" t="s">
        <v>152</v>
      </c>
      <c r="AF26" s="931"/>
      <c r="AG26" s="931" t="s">
        <v>153</v>
      </c>
      <c r="AH26" s="931" t="s">
        <v>154</v>
      </c>
      <c r="AI26" s="896" t="s">
        <v>117</v>
      </c>
      <c r="AJ26" s="931" t="s">
        <v>150</v>
      </c>
      <c r="AK26" s="931" t="s">
        <v>151</v>
      </c>
      <c r="AL26" s="931"/>
      <c r="AM26" s="931" t="s">
        <v>152</v>
      </c>
      <c r="AN26" s="931"/>
      <c r="AO26" s="931" t="s">
        <v>153</v>
      </c>
      <c r="AP26" s="931" t="s">
        <v>154</v>
      </c>
      <c r="AQ26" s="911"/>
      <c r="AR26" s="911"/>
      <c r="AS26" s="911"/>
      <c r="AT26" s="911"/>
      <c r="AU26" s="911"/>
      <c r="AV26" s="911"/>
      <c r="AW26" s="911"/>
      <c r="AX26" s="911"/>
      <c r="AY26" s="911"/>
      <c r="AZ26" s="911"/>
      <c r="BA26" s="911"/>
      <c r="BB26" s="911"/>
      <c r="BC26" s="911"/>
      <c r="BD26" s="911"/>
      <c r="BE26" s="911"/>
      <c r="BF26" s="911"/>
      <c r="BG26" s="12" t="s">
        <v>104</v>
      </c>
      <c r="BH26" s="17">
        <f>U27</f>
        <v>0</v>
      </c>
      <c r="BI26" s="17">
        <f>R27*80%</f>
        <v>0</v>
      </c>
      <c r="BJ26" s="11"/>
      <c r="BK26" s="17">
        <f>U28</f>
        <v>0</v>
      </c>
      <c r="BL26" s="17">
        <f>R28*80%</f>
        <v>0</v>
      </c>
      <c r="BM26" s="911"/>
      <c r="BN26" s="911"/>
      <c r="BP26" s="911"/>
      <c r="BQ26" s="911"/>
      <c r="BR26" s="919"/>
      <c r="BS26" s="919"/>
      <c r="BT26" s="919"/>
      <c r="BU26" s="904"/>
      <c r="BV26" s="896"/>
      <c r="BW26" s="896"/>
      <c r="BX26" s="896"/>
      <c r="BY26" s="896"/>
      <c r="BZ26" s="899"/>
      <c r="CA26" s="899"/>
      <c r="CB26" s="896"/>
      <c r="CC26" s="896"/>
      <c r="CD26" s="896"/>
      <c r="CE26" s="896"/>
      <c r="CF26" s="896"/>
      <c r="CG26" s="896"/>
      <c r="CH26" s="896"/>
      <c r="CI26" s="896"/>
      <c r="CL26" s="640"/>
      <c r="CM26" s="640"/>
      <c r="CN26" s="640"/>
      <c r="CO26" s="640"/>
      <c r="CP26" s="640"/>
      <c r="CQ26" s="640"/>
      <c r="CR26" s="640"/>
      <c r="CS26" s="640"/>
    </row>
    <row r="27" spans="1:168">
      <c r="B27" s="1362" t="s">
        <v>93</v>
      </c>
      <c r="C27" s="1357"/>
      <c r="D27" s="1361" t="str">
        <f>IF(ISBLANK(E27), "&lt;Gross, AUD&gt;", E27)</f>
        <v>&lt;Gross, AUD&gt;</v>
      </c>
      <c r="E27" s="1471"/>
      <c r="F27" s="1097"/>
      <c r="G27" s="1361" t="str">
        <f t="shared" ref="G27" si="17">IF(ISBLANK(H27), "&lt;Local Currency&gt;", H27)</f>
        <v>&lt;Local Currency&gt;</v>
      </c>
      <c r="H27" s="1471"/>
      <c r="I27" s="1096"/>
      <c r="J27" s="1361" t="str">
        <f>IF(ISBLANK(K27), "&lt;Select&gt;", "")</f>
        <v>&lt;Select&gt;</v>
      </c>
      <c r="K27" s="1471"/>
      <c r="L27" s="1364" t="s">
        <v>93</v>
      </c>
      <c r="M27" s="1360"/>
      <c r="N27" s="1361" t="str">
        <f>IF(ISBLANK(O27), "&lt;AUD&gt;", O27)</f>
        <v>&lt;AUD&gt;</v>
      </c>
      <c r="O27" s="1471"/>
      <c r="P27" s="1096"/>
      <c r="Q27" s="1361" t="str">
        <f>IF(ISBLANK(R27), "&lt;Local Currency&gt;", R27)</f>
        <v>&lt;Local Currency&gt;</v>
      </c>
      <c r="R27" s="1471"/>
      <c r="S27" s="1096"/>
      <c r="T27" s="1361" t="str">
        <f>IF(ISBLANK(U27), "&lt;Select&gt;", "")</f>
        <v>&lt;Select&gt;</v>
      </c>
      <c r="U27" s="1473"/>
      <c r="Y27" s="897" t="s">
        <v>80</v>
      </c>
      <c r="Z27" s="932">
        <f>SUM(AA27:AP27)</f>
        <v>0</v>
      </c>
      <c r="AA27" s="933">
        <f>IF(NOT(OR(K43="china", K43="Vietnam", K43="Malaysia", K43="Indonesia", K43="south korea")), ((H43*Z22)+(H44*Z23)+(H45*Z24)), "")</f>
        <v>0</v>
      </c>
      <c r="AB27" s="906" t="str">
        <f>IF(K43="China", ((H43*Z22)+(H44*Z23)+(H45*Z24))*60%, "")</f>
        <v/>
      </c>
      <c r="AC27" s="906" t="str">
        <f>IF(K43="Vietnam", ((H43*Z22)+(H44*Z23)+(H45*Z24))*60%, "")</f>
        <v/>
      </c>
      <c r="AD27" s="896"/>
      <c r="AE27" s="906" t="str">
        <f>IF(K43="Malaysia", ((H43*Z22)+(H44*Z23)+(H45*Z24))*60%, "")</f>
        <v/>
      </c>
      <c r="AF27" s="896"/>
      <c r="AG27" s="906" t="str">
        <f>IF(K43="Indonesia", ((H43*Z22)+(H44*Z23)+(H45*Z24))*60%, "")</f>
        <v/>
      </c>
      <c r="AH27" s="906" t="str">
        <f>IF(K43="South Korea", ((H43*Z22)+(H44*Z23)+(H45*Z24))*110%, "")</f>
        <v/>
      </c>
      <c r="AI27" s="933">
        <f>IF(NOT(OR(U43="china", U43="Vietnam", U43="Malaysia", U43="Indonesia", U43="south korea")), ((R43*Z22)+(R44*Z23)+(R45*Z24)), "")</f>
        <v>0</v>
      </c>
      <c r="AJ27" s="906" t="str">
        <f>IF(U43="China", ((R43*Z22)+(R44*Z23)+(R45*Z24))*60%, "")</f>
        <v/>
      </c>
      <c r="AK27" s="906" t="str">
        <f>IF(U43="Vietnam", ((R43*Z22)+(R44*Z23)+(R45*Z24))*60%, "")</f>
        <v/>
      </c>
      <c r="AL27" s="896"/>
      <c r="AM27" s="906" t="str">
        <f>IF(U43="Malaysia", ((R43*Z22)+(R44*Z23)+(R45*Z24))*60%, "")</f>
        <v/>
      </c>
      <c r="AN27" s="896"/>
      <c r="AO27" s="906" t="str">
        <f>IF(U43="Indonesia", ((R43*Z22)+(R44*Z23)+(R45*Z24))*60%, "")</f>
        <v/>
      </c>
      <c r="AP27" s="906" t="str">
        <f>IF(U43="South Korea", ((R43*Z22)+(R44*Z23)+(R45*Z24))*110%, "")</f>
        <v/>
      </c>
      <c r="AQ27" s="896"/>
      <c r="AR27" s="896"/>
      <c r="AS27" s="896"/>
      <c r="AT27" s="896"/>
      <c r="AU27" s="896"/>
      <c r="AV27" s="896"/>
      <c r="AW27" s="896"/>
      <c r="AX27" s="896"/>
      <c r="AY27" s="896"/>
      <c r="AZ27" s="896"/>
      <c r="BA27" s="896"/>
      <c r="BB27" s="896"/>
      <c r="BC27" s="896"/>
      <c r="BD27" s="896"/>
      <c r="BE27" s="896"/>
      <c r="BF27" s="896"/>
      <c r="BG27" s="12"/>
      <c r="BH27" s="953" t="s">
        <v>106</v>
      </c>
      <c r="BI27" s="953"/>
      <c r="BJ27" s="11"/>
      <c r="BK27" s="953" t="s">
        <v>106</v>
      </c>
      <c r="BL27" s="953"/>
      <c r="BM27" s="896"/>
      <c r="BN27" s="896"/>
      <c r="BP27" s="896"/>
      <c r="BQ27" s="896"/>
      <c r="BR27" s="904"/>
      <c r="BS27" s="904"/>
      <c r="BT27" s="904"/>
      <c r="BU27" s="904"/>
      <c r="BV27" s="896"/>
      <c r="BW27" s="896"/>
      <c r="BX27" s="896"/>
      <c r="BY27" s="896"/>
      <c r="BZ27" s="908"/>
      <c r="CA27" s="908"/>
      <c r="CB27" s="896"/>
      <c r="CC27" s="896"/>
      <c r="CD27" s="896"/>
      <c r="CE27" s="896"/>
      <c r="CF27" s="896"/>
      <c r="CG27" s="896"/>
      <c r="CH27" s="896"/>
      <c r="CI27" s="896"/>
      <c r="CL27" s="640"/>
      <c r="CM27" s="640"/>
      <c r="CN27" s="640"/>
      <c r="CO27" s="640"/>
      <c r="CP27" s="640"/>
      <c r="CQ27" s="640"/>
      <c r="CR27" s="640"/>
      <c r="CS27" s="640"/>
    </row>
    <row r="28" spans="1:168">
      <c r="B28" s="1362" t="s">
        <v>95</v>
      </c>
      <c r="C28" s="1357"/>
      <c r="D28" s="1365" t="str">
        <f t="shared" ref="D28" si="18">IF(ISBLANK(E28), "&lt;AUD&gt;", E28)</f>
        <v>&lt;AUD&gt;</v>
      </c>
      <c r="E28" s="1463"/>
      <c r="F28" s="1097"/>
      <c r="G28" s="1365"/>
      <c r="H28" s="1463"/>
      <c r="I28" s="1096"/>
      <c r="J28" s="1365" t="str">
        <f t="shared" ref="J28" si="19">IF(ISBLANK(K28), "&lt;Select&gt;", K28)</f>
        <v>&lt;Select&gt;</v>
      </c>
      <c r="K28" s="1471"/>
      <c r="L28" s="1364" t="s">
        <v>95</v>
      </c>
      <c r="M28" s="1360"/>
      <c r="N28" s="1365"/>
      <c r="O28" s="1463"/>
      <c r="P28" s="1096"/>
      <c r="Q28" s="1365"/>
      <c r="R28" s="1463"/>
      <c r="S28" s="1096"/>
      <c r="T28" s="1365" t="str">
        <f t="shared" ref="T28" si="20">IF(ISBLANK(U28), "&lt;Select&gt;", U28)</f>
        <v>&lt;Select&gt;</v>
      </c>
      <c r="U28" s="1473"/>
      <c r="X28" s="691"/>
      <c r="Y28" s="897"/>
      <c r="Z28" s="896"/>
      <c r="AA28" s="912" t="s">
        <v>144</v>
      </c>
      <c r="AB28" s="896"/>
      <c r="AC28" s="910" t="s">
        <v>84</v>
      </c>
      <c r="AD28" s="910"/>
      <c r="AE28" s="910" t="s">
        <v>80</v>
      </c>
      <c r="AF28" s="910"/>
      <c r="AG28" s="910" t="s">
        <v>89</v>
      </c>
      <c r="AH28" s="896"/>
      <c r="AI28" s="896"/>
      <c r="AJ28" s="896"/>
      <c r="AK28" s="896"/>
      <c r="AL28" s="896"/>
      <c r="AM28" s="896"/>
      <c r="AN28" s="896"/>
      <c r="AO28" s="896"/>
      <c r="AP28" s="896"/>
      <c r="AQ28" s="896"/>
      <c r="AR28" s="896"/>
      <c r="AS28" s="896"/>
      <c r="AT28" s="896"/>
      <c r="AU28" s="896"/>
      <c r="AV28" s="896"/>
      <c r="AW28" s="896"/>
      <c r="AX28" s="896"/>
      <c r="AY28" s="896"/>
      <c r="AZ28" s="896"/>
      <c r="BA28" s="896"/>
      <c r="BB28" s="896"/>
      <c r="BC28" s="896"/>
      <c r="BD28" s="896"/>
      <c r="BE28" s="896"/>
      <c r="BF28" s="896"/>
      <c r="BG28" s="12"/>
      <c r="BH28" s="12" t="s">
        <v>109</v>
      </c>
      <c r="BI28" s="35">
        <f>SUMIF($BH$19:$BH$26,BH28,$BI$19:$BI$26)</f>
        <v>0</v>
      </c>
      <c r="BJ28" s="11"/>
      <c r="BK28" s="12" t="s">
        <v>109</v>
      </c>
      <c r="BL28" s="35">
        <f>SUMIF($BK$19:$BK$26,BK28,$BL$19:$BL$26)</f>
        <v>0</v>
      </c>
      <c r="BM28" s="896"/>
      <c r="BN28" s="896"/>
      <c r="BP28" s="896"/>
      <c r="BQ28" s="896"/>
      <c r="BR28" s="904"/>
      <c r="BS28" s="904"/>
      <c r="BT28" s="904"/>
      <c r="BU28" s="919"/>
      <c r="BV28" s="911"/>
      <c r="BW28" s="911"/>
      <c r="BX28" s="896"/>
      <c r="BY28" s="896"/>
      <c r="BZ28" s="896"/>
      <c r="CA28" s="896"/>
      <c r="CB28" s="896"/>
      <c r="CC28" s="896"/>
      <c r="CD28" s="896"/>
      <c r="CE28" s="896"/>
      <c r="CF28" s="896"/>
      <c r="CG28" s="896"/>
      <c r="CH28" s="896"/>
      <c r="CI28" s="896"/>
      <c r="CL28" s="640"/>
      <c r="CM28" s="640"/>
      <c r="CN28" s="640"/>
      <c r="CO28" s="640"/>
      <c r="CP28" s="640"/>
      <c r="CQ28" s="640"/>
      <c r="CR28" s="640"/>
      <c r="CS28" s="640"/>
    </row>
    <row r="29" spans="1:168">
      <c r="B29" s="1362"/>
      <c r="C29" s="1357"/>
      <c r="D29" s="1368"/>
      <c r="E29" s="1096"/>
      <c r="F29" s="1097"/>
      <c r="G29" s="1097"/>
      <c r="H29" s="1096"/>
      <c r="I29" s="1096"/>
      <c r="J29" s="1097"/>
      <c r="K29" s="1330"/>
      <c r="L29" s="1364"/>
      <c r="M29" s="1360"/>
      <c r="N29" s="1357"/>
      <c r="O29" s="1096"/>
      <c r="P29" s="1096"/>
      <c r="Q29" s="1097"/>
      <c r="R29" s="1096"/>
      <c r="S29" s="1096"/>
      <c r="T29" s="1097"/>
      <c r="U29" s="1369"/>
      <c r="Y29" s="936">
        <f>IF(((E46+AC21+O46+AJ21)&gt;(Z26+Z27)),(E46+AC21+O46+AJ21), (Z26+Z27))</f>
        <v>0</v>
      </c>
      <c r="Z29" s="896"/>
      <c r="AA29" s="914" t="s">
        <v>146</v>
      </c>
      <c r="AB29" s="896"/>
      <c r="AC29" s="933">
        <f>IFERROR((H49/AE29),0)</f>
        <v>0</v>
      </c>
      <c r="AD29" s="896"/>
      <c r="AE29" s="933" t="e">
        <f>VLOOKUP(K49,'Exchange Rates'!C4:D16,2,FALSE)</f>
        <v>#N/A</v>
      </c>
      <c r="AF29" s="896"/>
      <c r="AG29" s="897"/>
      <c r="AH29" s="896"/>
      <c r="AI29" s="896"/>
      <c r="AJ29" s="896"/>
      <c r="AK29" s="896"/>
      <c r="AL29" s="896"/>
      <c r="AM29" s="896"/>
      <c r="AN29" s="896"/>
      <c r="AO29" s="896"/>
      <c r="AP29" s="896"/>
      <c r="AQ29" s="896"/>
      <c r="AR29" s="896"/>
      <c r="AS29" s="896"/>
      <c r="AT29" s="896"/>
      <c r="AU29" s="896"/>
      <c r="AV29" s="896"/>
      <c r="AW29" s="896"/>
      <c r="AX29" s="896"/>
      <c r="AY29" s="896"/>
      <c r="AZ29" s="896"/>
      <c r="BA29" s="896"/>
      <c r="BB29" s="896"/>
      <c r="BC29" s="896"/>
      <c r="BD29" s="896"/>
      <c r="BE29" s="896"/>
      <c r="BF29" s="896"/>
      <c r="BG29" s="12"/>
      <c r="BH29" s="12">
        <f>'Exchange Rates'!D5</f>
        <v>4.5226600000000001</v>
      </c>
      <c r="BI29" s="11"/>
      <c r="BJ29" s="961"/>
      <c r="BK29" s="12">
        <f>'Exchange Rates'!D5</f>
        <v>4.5226600000000001</v>
      </c>
      <c r="BL29" s="11"/>
      <c r="BM29" s="896"/>
      <c r="BN29" s="896"/>
      <c r="BP29" s="896"/>
      <c r="BQ29" s="896"/>
      <c r="BR29" s="904"/>
      <c r="BS29" s="904"/>
      <c r="BT29" s="904"/>
      <c r="BU29" s="904"/>
      <c r="BV29" s="896"/>
      <c r="BW29" s="896"/>
      <c r="BX29" s="911"/>
      <c r="BY29" s="911"/>
      <c r="BZ29" s="911"/>
      <c r="CA29" s="911"/>
      <c r="CB29" s="896"/>
      <c r="CC29" s="896"/>
      <c r="CD29" s="896"/>
      <c r="CE29" s="896"/>
      <c r="CF29" s="896"/>
      <c r="CG29" s="896"/>
      <c r="CH29" s="896"/>
      <c r="CI29" s="896"/>
      <c r="CL29" s="640"/>
      <c r="CM29" s="640"/>
      <c r="CN29" s="640"/>
      <c r="CO29" s="640"/>
      <c r="CP29" s="640"/>
      <c r="CQ29" s="640"/>
      <c r="CR29" s="640"/>
      <c r="CS29" s="640"/>
    </row>
    <row r="30" spans="1:168" hidden="1">
      <c r="B30" s="1356" t="s">
        <v>180</v>
      </c>
      <c r="C30" s="1357"/>
      <c r="D30" s="1368"/>
      <c r="E30" s="1103" t="str">
        <f>IFERROR(#REF!,"")</f>
        <v/>
      </c>
      <c r="F30" s="1104"/>
      <c r="G30" s="1104"/>
      <c r="H30" s="1328"/>
      <c r="I30" s="1105"/>
      <c r="J30" s="1104"/>
      <c r="K30" s="1330"/>
      <c r="L30" s="1357"/>
      <c r="M30" s="1360"/>
      <c r="N30" s="1357"/>
      <c r="O30" s="1328"/>
      <c r="P30" s="1328"/>
      <c r="Q30" s="1388"/>
      <c r="R30" s="1328"/>
      <c r="S30" s="1105"/>
      <c r="T30" s="1104"/>
      <c r="U30" s="1369"/>
      <c r="Y30" s="897"/>
      <c r="Z30" s="896"/>
      <c r="AA30" s="914" t="s">
        <v>148</v>
      </c>
      <c r="AB30" s="896"/>
      <c r="AC30" s="933">
        <f>IFERROR((H50/AE30),0)</f>
        <v>0</v>
      </c>
      <c r="AD30" s="896"/>
      <c r="AE30" s="933" t="e">
        <f>VLOOKUP(K50,'Exchange Rates'!C4:D16,2,FALSE)</f>
        <v>#N/A</v>
      </c>
      <c r="AF30" s="896"/>
      <c r="AG30" s="897"/>
      <c r="AH30" s="896"/>
      <c r="AI30" s="896"/>
      <c r="AJ30" s="896"/>
      <c r="AK30" s="896"/>
      <c r="AL30" s="896"/>
      <c r="AM30" s="896"/>
      <c r="AN30" s="896"/>
      <c r="AO30" s="896"/>
      <c r="AP30" s="896"/>
      <c r="AQ30" s="896"/>
      <c r="AR30" s="896"/>
      <c r="AS30" s="896"/>
      <c r="AT30" s="896"/>
      <c r="AU30" s="896"/>
      <c r="AV30" s="896"/>
      <c r="AW30" s="896"/>
      <c r="AX30" s="896"/>
      <c r="AY30" s="896"/>
      <c r="AZ30" s="896"/>
      <c r="BA30" s="896"/>
      <c r="BB30" s="896"/>
      <c r="BC30" s="896"/>
      <c r="BD30" s="896"/>
      <c r="BE30" s="896"/>
      <c r="BF30" s="896"/>
      <c r="BG30" s="12"/>
      <c r="BH30" s="12" t="s">
        <v>84</v>
      </c>
      <c r="BI30" s="17">
        <f>BI28/BH29</f>
        <v>0</v>
      </c>
      <c r="BJ30" s="11"/>
      <c r="BK30" s="12" t="s">
        <v>84</v>
      </c>
      <c r="BL30" s="17">
        <f>BL28/BK29</f>
        <v>0</v>
      </c>
      <c r="BM30" s="896"/>
      <c r="BN30" s="896"/>
      <c r="BP30" s="896"/>
      <c r="BQ30" s="896"/>
      <c r="BR30" s="904"/>
      <c r="BS30" s="904"/>
      <c r="BT30" s="904"/>
      <c r="BU30" s="904"/>
      <c r="BV30" s="896"/>
      <c r="BW30" s="896"/>
      <c r="BX30" s="896"/>
      <c r="BY30" s="896"/>
      <c r="BZ30" s="896"/>
      <c r="CA30" s="896"/>
      <c r="CB30" s="896"/>
      <c r="CC30" s="896"/>
      <c r="CD30" s="896"/>
      <c r="CE30" s="896"/>
      <c r="CF30" s="896"/>
      <c r="CG30" s="896"/>
      <c r="CH30" s="896"/>
      <c r="CI30" s="896"/>
      <c r="CL30" s="640"/>
      <c r="CM30" s="640"/>
      <c r="CN30" s="640"/>
      <c r="CO30" s="640"/>
      <c r="CP30" s="640"/>
      <c r="CQ30" s="640"/>
      <c r="CR30" s="640"/>
      <c r="CS30" s="640"/>
    </row>
    <row r="31" spans="1:168" s="654" customFormat="1" ht="16.899999999999999" customHeight="1">
      <c r="A31" s="651"/>
      <c r="B31" s="1405" t="s">
        <v>118</v>
      </c>
      <c r="C31" s="1412"/>
      <c r="D31" s="1407"/>
      <c r="E31" s="1413"/>
      <c r="F31" s="1417"/>
      <c r="G31" s="1417"/>
      <c r="H31" s="1413"/>
      <c r="I31" s="1413"/>
      <c r="J31" s="1417"/>
      <c r="K31" s="1414"/>
      <c r="L31" s="1412"/>
      <c r="M31" s="1415"/>
      <c r="N31" s="1412"/>
      <c r="O31" s="1413"/>
      <c r="P31" s="1413"/>
      <c r="Q31" s="1417"/>
      <c r="R31" s="1413"/>
      <c r="S31" s="1413"/>
      <c r="T31" s="1417"/>
      <c r="U31" s="1416"/>
      <c r="V31" s="651"/>
      <c r="W31" s="651"/>
      <c r="X31" s="645"/>
      <c r="Y31" s="897"/>
      <c r="Z31" s="896"/>
      <c r="AA31" s="914" t="s">
        <v>155</v>
      </c>
      <c r="AB31" s="896"/>
      <c r="AC31" s="933">
        <f>IFERROR((H51/AE31),0)</f>
        <v>0</v>
      </c>
      <c r="AD31" s="896"/>
      <c r="AE31" s="933" t="e">
        <f>VLOOKUP(K51,'Exchange Rates'!C4:D16,2,FALSE)</f>
        <v>#N/A</v>
      </c>
      <c r="AF31" s="896"/>
      <c r="AG31" s="897"/>
      <c r="AH31" s="896"/>
      <c r="AI31" s="896"/>
      <c r="AJ31" s="896"/>
      <c r="AK31" s="896"/>
      <c r="AL31" s="896"/>
      <c r="AM31" s="896"/>
      <c r="AN31" s="896"/>
      <c r="AO31" s="896"/>
      <c r="AP31" s="896"/>
      <c r="AQ31" s="896"/>
      <c r="AR31" s="896"/>
      <c r="AS31" s="896"/>
      <c r="AT31" s="896"/>
      <c r="AU31" s="896"/>
      <c r="AV31" s="896"/>
      <c r="AW31" s="896"/>
      <c r="AX31" s="896"/>
      <c r="AY31" s="896"/>
      <c r="AZ31" s="896"/>
      <c r="BA31" s="896"/>
      <c r="BB31" s="896"/>
      <c r="BC31" s="896"/>
      <c r="BD31" s="896"/>
      <c r="BE31" s="896"/>
      <c r="BF31" s="896"/>
      <c r="BG31" s="12"/>
      <c r="BH31" s="946"/>
      <c r="BI31" s="946"/>
      <c r="BJ31" s="11"/>
      <c r="BK31" s="11"/>
      <c r="BL31" s="11"/>
      <c r="BM31" s="896"/>
      <c r="BN31" s="896"/>
      <c r="BO31" s="646"/>
      <c r="BP31" s="896"/>
      <c r="BQ31" s="896"/>
      <c r="BR31" s="904"/>
      <c r="BS31" s="904"/>
      <c r="BT31" s="904"/>
      <c r="BU31" s="904"/>
      <c r="BV31" s="896"/>
      <c r="BW31" s="896"/>
      <c r="BX31" s="896"/>
      <c r="BY31" s="896"/>
      <c r="BZ31" s="896"/>
      <c r="CA31" s="896"/>
      <c r="CB31" s="896"/>
      <c r="CC31" s="896"/>
      <c r="CD31" s="896"/>
      <c r="CE31" s="896"/>
      <c r="CF31" s="896"/>
      <c r="CG31" s="896"/>
      <c r="CH31" s="896"/>
      <c r="CI31" s="896"/>
      <c r="CL31" s="651"/>
      <c r="CM31" s="651"/>
      <c r="CN31" s="651"/>
      <c r="CO31" s="651"/>
      <c r="CP31" s="651"/>
      <c r="CQ31" s="651"/>
      <c r="CR31" s="651"/>
      <c r="CS31" s="651"/>
      <c r="CT31" s="651"/>
      <c r="CU31" s="651"/>
      <c r="CV31" s="651"/>
      <c r="CW31" s="651"/>
      <c r="CX31" s="651"/>
      <c r="CY31" s="651"/>
      <c r="CZ31" s="651"/>
      <c r="DA31" s="651"/>
      <c r="DB31" s="651"/>
      <c r="DC31" s="651"/>
      <c r="DD31" s="651"/>
      <c r="DE31" s="651"/>
      <c r="DF31" s="651"/>
      <c r="DG31" s="651"/>
      <c r="DH31" s="651"/>
      <c r="DI31" s="651"/>
      <c r="DJ31" s="651"/>
      <c r="DK31" s="651"/>
      <c r="DL31" s="651"/>
      <c r="DM31" s="651"/>
      <c r="DN31" s="651"/>
      <c r="DO31" s="651"/>
      <c r="DP31" s="651"/>
      <c r="DQ31" s="651"/>
      <c r="DR31" s="651"/>
      <c r="DS31" s="651"/>
      <c r="DT31" s="651"/>
      <c r="DU31" s="651"/>
      <c r="DV31" s="651"/>
      <c r="DW31" s="651"/>
      <c r="DX31" s="651"/>
      <c r="DY31" s="651"/>
      <c r="DZ31" s="651"/>
      <c r="EA31" s="651"/>
      <c r="EB31" s="651"/>
      <c r="EC31" s="651"/>
      <c r="ED31" s="651"/>
      <c r="EE31" s="651"/>
      <c r="EF31" s="651"/>
      <c r="EG31" s="651"/>
      <c r="EH31" s="651"/>
      <c r="EI31" s="651"/>
      <c r="EJ31" s="651"/>
      <c r="EK31" s="651"/>
      <c r="EL31" s="651"/>
      <c r="EM31" s="651"/>
      <c r="EN31" s="651"/>
      <c r="EO31" s="651"/>
      <c r="EP31" s="651"/>
      <c r="EQ31" s="651"/>
      <c r="ER31" s="651"/>
      <c r="ES31" s="651"/>
      <c r="ET31" s="651"/>
      <c r="EU31" s="651"/>
      <c r="EV31" s="651"/>
      <c r="EW31" s="651"/>
      <c r="EX31" s="651"/>
      <c r="EY31" s="651"/>
      <c r="EZ31" s="651"/>
      <c r="FA31" s="651"/>
      <c r="FB31" s="651"/>
      <c r="FC31" s="651"/>
      <c r="FD31" s="651"/>
      <c r="FE31" s="651"/>
      <c r="FF31" s="651"/>
      <c r="FG31" s="651"/>
      <c r="FH31" s="651"/>
      <c r="FI31" s="651"/>
      <c r="FJ31" s="651"/>
      <c r="FK31" s="715"/>
      <c r="FL31" s="715"/>
    </row>
    <row r="32" spans="1:168" s="699" customFormat="1">
      <c r="A32" s="696"/>
      <c r="B32" s="1390"/>
      <c r="C32" s="1383"/>
      <c r="D32" s="1391"/>
      <c r="E32" s="1478" t="s">
        <v>50</v>
      </c>
      <c r="F32" s="1379"/>
      <c r="G32" s="1379"/>
      <c r="H32" s="1478" t="s">
        <v>80</v>
      </c>
      <c r="I32" s="1379"/>
      <c r="J32" s="1379"/>
      <c r="K32" s="1478" t="s">
        <v>89</v>
      </c>
      <c r="L32" s="1383"/>
      <c r="M32" s="1384"/>
      <c r="N32" s="1383"/>
      <c r="O32" s="1478" t="s">
        <v>50</v>
      </c>
      <c r="P32" s="1379"/>
      <c r="Q32" s="1379"/>
      <c r="R32" s="1478" t="s">
        <v>80</v>
      </c>
      <c r="S32" s="1379"/>
      <c r="T32" s="1379"/>
      <c r="U32" s="1479" t="s">
        <v>89</v>
      </c>
      <c r="V32" s="696"/>
      <c r="W32" s="696"/>
      <c r="X32" s="645"/>
      <c r="Y32" s="897"/>
      <c r="Z32" s="897"/>
      <c r="AA32" s="897"/>
      <c r="AB32" s="897"/>
      <c r="AC32" s="897"/>
      <c r="AD32" s="897"/>
      <c r="AE32" s="897"/>
      <c r="AF32" s="897"/>
      <c r="AG32" s="897"/>
      <c r="AH32" s="897"/>
      <c r="AI32" s="897"/>
      <c r="AJ32" s="897"/>
      <c r="AK32" s="897"/>
      <c r="AL32" s="897"/>
      <c r="AM32" s="897"/>
      <c r="AN32" s="897"/>
      <c r="AO32" s="897"/>
      <c r="AP32" s="897"/>
      <c r="AQ32" s="897"/>
      <c r="AR32" s="897"/>
      <c r="AS32" s="897"/>
      <c r="AT32" s="897"/>
      <c r="AU32" s="897"/>
      <c r="AV32" s="897"/>
      <c r="AW32" s="897"/>
      <c r="AX32" s="897"/>
      <c r="AY32" s="897"/>
      <c r="AZ32" s="897"/>
      <c r="BA32" s="897"/>
      <c r="BB32" s="897"/>
      <c r="BC32" s="897"/>
      <c r="BD32" s="897"/>
      <c r="BE32" s="897"/>
      <c r="BF32" s="897"/>
      <c r="BG32" s="12"/>
      <c r="BH32" s="1125" t="s">
        <v>113</v>
      </c>
      <c r="BI32" s="1125"/>
      <c r="BJ32" s="1125"/>
      <c r="BK32" s="1125"/>
      <c r="BL32" s="1125"/>
      <c r="BM32" s="897"/>
      <c r="BN32" s="897"/>
      <c r="BO32" s="646"/>
      <c r="BP32" s="896"/>
      <c r="BQ32" s="896"/>
      <c r="BR32" s="904"/>
      <c r="BS32" s="904"/>
      <c r="BT32" s="904"/>
      <c r="BU32" s="904"/>
      <c r="BV32" s="896"/>
      <c r="BW32" s="896"/>
      <c r="BX32" s="896"/>
      <c r="BY32" s="896"/>
      <c r="BZ32" s="896"/>
      <c r="CA32" s="896"/>
      <c r="CB32" s="896"/>
      <c r="CC32" s="896"/>
      <c r="CD32" s="896"/>
      <c r="CE32" s="896"/>
      <c r="CF32" s="896"/>
      <c r="CG32" s="896"/>
      <c r="CH32" s="896"/>
      <c r="CI32" s="896"/>
      <c r="CL32" s="696"/>
      <c r="CM32" s="696"/>
      <c r="CN32" s="696"/>
      <c r="CO32" s="696"/>
      <c r="CP32" s="696"/>
      <c r="CQ32" s="696"/>
      <c r="CR32" s="696"/>
      <c r="CS32" s="696"/>
      <c r="CT32" s="696"/>
      <c r="CU32" s="696"/>
      <c r="CV32" s="696"/>
      <c r="CW32" s="696"/>
      <c r="CX32" s="696"/>
      <c r="CY32" s="696"/>
      <c r="CZ32" s="696"/>
      <c r="DA32" s="696"/>
      <c r="DB32" s="696"/>
      <c r="DC32" s="696"/>
      <c r="DD32" s="696"/>
      <c r="DE32" s="696"/>
      <c r="DF32" s="696"/>
      <c r="DG32" s="696"/>
      <c r="DH32" s="696"/>
      <c r="DI32" s="696"/>
      <c r="DJ32" s="696"/>
      <c r="DK32" s="696"/>
      <c r="DL32" s="696"/>
      <c r="DM32" s="696"/>
      <c r="DN32" s="696"/>
      <c r="DO32" s="696"/>
      <c r="DP32" s="696"/>
      <c r="DQ32" s="696"/>
      <c r="DR32" s="696"/>
      <c r="DS32" s="696"/>
      <c r="DT32" s="696"/>
      <c r="DU32" s="696"/>
      <c r="DV32" s="696"/>
      <c r="DW32" s="696"/>
      <c r="DX32" s="696"/>
      <c r="DY32" s="696"/>
      <c r="DZ32" s="696"/>
      <c r="EA32" s="696"/>
      <c r="EB32" s="696"/>
      <c r="EC32" s="696"/>
      <c r="ED32" s="696"/>
      <c r="EE32" s="696"/>
      <c r="EF32" s="696"/>
      <c r="EG32" s="696"/>
      <c r="EH32" s="696"/>
      <c r="EI32" s="696"/>
      <c r="EJ32" s="696"/>
      <c r="EK32" s="696"/>
      <c r="EL32" s="696"/>
      <c r="EM32" s="696"/>
      <c r="EN32" s="696"/>
      <c r="EO32" s="696"/>
      <c r="EP32" s="696"/>
      <c r="EQ32" s="696"/>
      <c r="ER32" s="696"/>
      <c r="ES32" s="696"/>
      <c r="ET32" s="696"/>
      <c r="EU32" s="696"/>
      <c r="EV32" s="696"/>
      <c r="EW32" s="696"/>
      <c r="EX32" s="696"/>
      <c r="EY32" s="696"/>
      <c r="EZ32" s="696"/>
      <c r="FA32" s="696"/>
      <c r="FB32" s="696"/>
      <c r="FC32" s="696"/>
      <c r="FD32" s="696"/>
      <c r="FE32" s="696"/>
      <c r="FF32" s="696"/>
      <c r="FG32" s="696"/>
      <c r="FH32" s="696"/>
      <c r="FI32" s="696"/>
      <c r="FJ32" s="696"/>
      <c r="FK32" s="718"/>
      <c r="FL32" s="718"/>
    </row>
    <row r="33" spans="1:168">
      <c r="B33" s="1362" t="s">
        <v>120</v>
      </c>
      <c r="C33" s="1357"/>
      <c r="D33" s="1361" t="str">
        <f t="shared" ref="D33:D38" si="21">IF(ISBLANK(E33), "&lt;AUD&gt;", E33)</f>
        <v>&lt;AUD&gt;</v>
      </c>
      <c r="E33" s="1471"/>
      <c r="F33" s="1097"/>
      <c r="G33" s="1361" t="str">
        <f t="shared" ref="G33:G38" si="22">IF(ISBLANK(H33), "&lt;Local Currency&gt;", H33)</f>
        <v>&lt;Local Currency&gt;</v>
      </c>
      <c r="H33" s="1471"/>
      <c r="I33" s="1096"/>
      <c r="J33" s="1361" t="str">
        <f>IF(ISBLANK(K33), "&lt;Select&gt;", "")</f>
        <v>&lt;Select&gt;</v>
      </c>
      <c r="K33" s="1471"/>
      <c r="L33" s="1364" t="s">
        <v>121</v>
      </c>
      <c r="M33" s="1392"/>
      <c r="N33" s="1361" t="str">
        <f t="shared" ref="N33:N36" si="23">IF(ISBLANK(O33), "&lt;AUD&gt;", O33)</f>
        <v>&lt;AUD&gt;</v>
      </c>
      <c r="O33" s="1471"/>
      <c r="P33" s="1096"/>
      <c r="Q33" s="1361" t="str">
        <f>IF(ISBLANK(R33), "&lt;Local Currency&gt;", R33)</f>
        <v>&lt;Local Currency&gt;</v>
      </c>
      <c r="R33" s="1471"/>
      <c r="S33" s="1096"/>
      <c r="T33" s="1361" t="str">
        <f>IF(ISBLANK(U33), "&lt;Select&gt;", "")</f>
        <v>&lt;Select&gt;</v>
      </c>
      <c r="U33" s="1473"/>
      <c r="Y33" s="897"/>
      <c r="Z33" s="897"/>
      <c r="AA33" s="897"/>
      <c r="AB33" s="897"/>
      <c r="AC33" s="897"/>
      <c r="AD33" s="897"/>
      <c r="AE33" s="897"/>
      <c r="AF33" s="897"/>
      <c r="AG33" s="897"/>
      <c r="AH33" s="897"/>
      <c r="AI33" s="897"/>
      <c r="AJ33" s="897"/>
      <c r="AK33" s="897"/>
      <c r="AL33" s="897"/>
      <c r="AM33" s="897"/>
      <c r="AN33" s="897"/>
      <c r="AO33" s="897"/>
      <c r="AP33" s="897"/>
      <c r="AQ33" s="897"/>
      <c r="AR33" s="897"/>
      <c r="AS33" s="897"/>
      <c r="AT33" s="897"/>
      <c r="AU33" s="897"/>
      <c r="AV33" s="897"/>
      <c r="AW33" s="897"/>
      <c r="AX33" s="897"/>
      <c r="AY33" s="897"/>
      <c r="AZ33" s="897"/>
      <c r="BA33" s="897"/>
      <c r="BB33" s="897"/>
      <c r="BC33" s="897"/>
      <c r="BD33" s="897"/>
      <c r="BE33" s="897"/>
      <c r="BF33" s="897"/>
      <c r="BG33" s="12"/>
      <c r="BH33" s="12" t="s">
        <v>6</v>
      </c>
      <c r="BI33" s="11" t="s">
        <v>34</v>
      </c>
      <c r="BJ33" s="11"/>
      <c r="BK33" s="961" t="s">
        <v>49</v>
      </c>
      <c r="BL33" s="961"/>
      <c r="BM33" s="897"/>
      <c r="BN33" s="897"/>
      <c r="BP33" s="896"/>
      <c r="BQ33" s="896"/>
      <c r="BR33" s="904"/>
      <c r="BS33" s="904"/>
      <c r="BT33" s="904"/>
      <c r="BU33" s="904"/>
      <c r="BV33" s="896"/>
      <c r="BW33" s="896"/>
      <c r="BX33" s="896"/>
      <c r="BY33" s="896"/>
      <c r="BZ33" s="896"/>
      <c r="CA33" s="896"/>
      <c r="CB33" s="896"/>
      <c r="CC33" s="896"/>
      <c r="CD33" s="896"/>
      <c r="CE33" s="896"/>
      <c r="CF33" s="896"/>
      <c r="CG33" s="896"/>
      <c r="CH33" s="896"/>
      <c r="CI33" s="896"/>
      <c r="CL33" s="640"/>
      <c r="CM33" s="640"/>
      <c r="CN33" s="640"/>
      <c r="CO33" s="640"/>
      <c r="CP33" s="640"/>
      <c r="CQ33" s="640"/>
      <c r="CR33" s="640"/>
      <c r="CS33" s="640"/>
    </row>
    <row r="34" spans="1:168">
      <c r="B34" s="1362" t="s">
        <v>122</v>
      </c>
      <c r="C34" s="1357"/>
      <c r="D34" s="1361" t="str">
        <f t="shared" si="21"/>
        <v>&lt;AUD&gt;</v>
      </c>
      <c r="E34" s="1471"/>
      <c r="F34" s="1388"/>
      <c r="G34" s="1361" t="str">
        <f t="shared" si="22"/>
        <v>&lt;Local Currency&gt;</v>
      </c>
      <c r="H34" s="1471"/>
      <c r="I34" s="1328"/>
      <c r="J34" s="1361" t="str">
        <f>IF(ISBLANK(K34), "&lt;Select&gt;", "")</f>
        <v>&lt;Select&gt;</v>
      </c>
      <c r="K34" s="1471"/>
      <c r="L34" s="1364" t="s">
        <v>124</v>
      </c>
      <c r="M34" s="1392"/>
      <c r="N34" s="1361" t="str">
        <f t="shared" si="23"/>
        <v>&lt;AUD&gt;</v>
      </c>
      <c r="O34" s="1471"/>
      <c r="P34" s="1328"/>
      <c r="Q34" s="1361" t="str">
        <f>IF(ISBLANK(R34), "&lt;Local Currency&gt;", R34)</f>
        <v>&lt;Local Currency&gt;</v>
      </c>
      <c r="R34" s="1471"/>
      <c r="S34" s="1328"/>
      <c r="T34" s="1361" t="str">
        <f>IF(ISBLANK(U34), "&lt;Select&gt;", "")</f>
        <v>&lt;Select&gt;</v>
      </c>
      <c r="U34" s="1473"/>
      <c r="Y34" s="897"/>
      <c r="Z34" s="897"/>
      <c r="AA34" s="897"/>
      <c r="AB34" s="897"/>
      <c r="AC34" s="897"/>
      <c r="AD34" s="897"/>
      <c r="AE34" s="897"/>
      <c r="AF34" s="897"/>
      <c r="AG34" s="897"/>
      <c r="AH34" s="897"/>
      <c r="AI34" s="897"/>
      <c r="AJ34" s="897"/>
      <c r="AK34" s="897"/>
      <c r="AL34" s="897"/>
      <c r="AM34" s="897"/>
      <c r="AN34" s="897"/>
      <c r="AO34" s="897"/>
      <c r="AP34" s="897"/>
      <c r="AQ34" s="897"/>
      <c r="AR34" s="897"/>
      <c r="AS34" s="897"/>
      <c r="AT34" s="897"/>
      <c r="AU34" s="897"/>
      <c r="AV34" s="897"/>
      <c r="AW34" s="897"/>
      <c r="AX34" s="897"/>
      <c r="AY34" s="897"/>
      <c r="AZ34" s="897"/>
      <c r="BA34" s="897"/>
      <c r="BB34" s="897"/>
      <c r="BC34" s="897"/>
      <c r="BD34" s="897"/>
      <c r="BE34" s="897"/>
      <c r="BF34" s="897"/>
      <c r="BG34" s="12" t="s">
        <v>115</v>
      </c>
      <c r="BH34" s="17">
        <f>K34</f>
        <v>0</v>
      </c>
      <c r="BI34" s="17">
        <f>AD15*125%</f>
        <v>0</v>
      </c>
      <c r="BJ34" s="11"/>
      <c r="BK34" s="36">
        <f>K49</f>
        <v>0</v>
      </c>
      <c r="BL34" s="36">
        <f>H49</f>
        <v>0</v>
      </c>
      <c r="BM34" s="897"/>
      <c r="BN34" s="897"/>
      <c r="BP34" s="896"/>
      <c r="BQ34" s="896"/>
      <c r="BR34" s="904"/>
      <c r="BS34" s="904"/>
      <c r="BT34" s="904"/>
      <c r="BU34" s="904"/>
      <c r="BV34" s="896"/>
      <c r="BW34" s="896"/>
      <c r="BX34" s="896"/>
      <c r="BY34" s="896"/>
      <c r="BZ34" s="896"/>
      <c r="CA34" s="896"/>
      <c r="CB34" s="896"/>
      <c r="CC34" s="896"/>
      <c r="CD34" s="896"/>
      <c r="CE34" s="896"/>
      <c r="CF34" s="896"/>
      <c r="CG34" s="896"/>
      <c r="CH34" s="896"/>
      <c r="CI34" s="896"/>
      <c r="CL34" s="640"/>
      <c r="CM34" s="640"/>
      <c r="CN34" s="640"/>
      <c r="CO34" s="640"/>
      <c r="CP34" s="640"/>
      <c r="CQ34" s="640"/>
      <c r="CR34" s="640"/>
      <c r="CS34" s="640"/>
    </row>
    <row r="35" spans="1:168">
      <c r="B35" s="1362"/>
      <c r="C35" s="1357"/>
      <c r="D35" s="1368"/>
      <c r="E35" s="1485"/>
      <c r="F35" s="1388"/>
      <c r="G35" s="1388"/>
      <c r="H35" s="1485"/>
      <c r="I35" s="1328"/>
      <c r="J35" s="1388"/>
      <c r="K35" s="1486"/>
      <c r="L35" s="1364"/>
      <c r="M35" s="1360"/>
      <c r="N35" s="1357"/>
      <c r="O35" s="1400"/>
      <c r="P35" s="1328"/>
      <c r="Q35" s="1388"/>
      <c r="R35" s="1400"/>
      <c r="S35" s="1328"/>
      <c r="T35" s="1388"/>
      <c r="U35" s="1404"/>
      <c r="X35" s="646"/>
      <c r="Y35" s="897"/>
      <c r="Z35" s="897"/>
      <c r="AA35" s="897"/>
      <c r="AB35" s="897"/>
      <c r="AC35" s="897"/>
      <c r="AD35" s="897"/>
      <c r="AE35" s="897"/>
      <c r="AF35" s="897"/>
      <c r="AG35" s="897"/>
      <c r="AH35" s="897"/>
      <c r="AI35" s="897"/>
      <c r="AJ35" s="897"/>
      <c r="AK35" s="897"/>
      <c r="AL35" s="897"/>
      <c r="AM35" s="897"/>
      <c r="AN35" s="897"/>
      <c r="AO35" s="897"/>
      <c r="AP35" s="897"/>
      <c r="AQ35" s="897"/>
      <c r="AR35" s="897"/>
      <c r="AS35" s="897"/>
      <c r="AT35" s="897"/>
      <c r="AU35" s="897"/>
      <c r="AV35" s="897"/>
      <c r="AW35" s="897"/>
      <c r="AX35" s="897"/>
      <c r="AY35" s="897"/>
      <c r="AZ35" s="897"/>
      <c r="BA35" s="897"/>
      <c r="BB35" s="897"/>
      <c r="BC35" s="897"/>
      <c r="BD35" s="897"/>
      <c r="BE35" s="897"/>
      <c r="BF35" s="897"/>
      <c r="BG35" s="12" t="s">
        <v>116</v>
      </c>
      <c r="BH35" s="17">
        <f>U34</f>
        <v>0</v>
      </c>
      <c r="BI35" s="17">
        <f>AD16*125%</f>
        <v>0</v>
      </c>
      <c r="BJ35" s="11"/>
      <c r="BK35" s="36">
        <f>K50</f>
        <v>0</v>
      </c>
      <c r="BL35" s="36">
        <f>H50</f>
        <v>0</v>
      </c>
      <c r="BM35" s="897"/>
      <c r="BN35" s="897"/>
      <c r="BP35" s="896"/>
      <c r="BQ35" s="896"/>
      <c r="BR35" s="904"/>
      <c r="BS35" s="904"/>
      <c r="BT35" s="904"/>
      <c r="BU35" s="904"/>
      <c r="BV35" s="896"/>
      <c r="BW35" s="896"/>
      <c r="BX35" s="896"/>
      <c r="BY35" s="896"/>
      <c r="BZ35" s="896"/>
      <c r="CA35" s="896"/>
      <c r="CB35" s="896"/>
      <c r="CC35" s="896"/>
      <c r="CD35" s="896"/>
      <c r="CE35" s="896"/>
      <c r="CF35" s="896"/>
      <c r="CG35" s="896"/>
      <c r="CH35" s="896"/>
      <c r="CI35" s="896"/>
      <c r="CL35" s="640"/>
      <c r="CM35" s="640"/>
      <c r="CN35" s="640"/>
      <c r="CO35" s="640"/>
      <c r="CP35" s="640"/>
      <c r="CQ35" s="640"/>
      <c r="CR35" s="640"/>
      <c r="CS35" s="640"/>
    </row>
    <row r="36" spans="1:168">
      <c r="B36" s="1362" t="s">
        <v>128</v>
      </c>
      <c r="C36" s="1357"/>
      <c r="D36" s="1361" t="str">
        <f t="shared" si="21"/>
        <v>&lt;AUD&gt;</v>
      </c>
      <c r="E36" s="1471"/>
      <c r="F36" s="1480"/>
      <c r="G36" s="1481" t="str">
        <f t="shared" si="22"/>
        <v>&lt;Local Currency&gt;</v>
      </c>
      <c r="H36" s="1471"/>
      <c r="I36" s="1400"/>
      <c r="J36" s="1481" t="str">
        <f>IF(ISBLANK(K36), "&lt;Select&gt;", "")</f>
        <v>&lt;Select&gt;</v>
      </c>
      <c r="K36" s="1471"/>
      <c r="L36" s="1364" t="s">
        <v>129</v>
      </c>
      <c r="M36" s="1392"/>
      <c r="N36" s="1361" t="str">
        <f t="shared" si="23"/>
        <v>&lt;AUD&gt;</v>
      </c>
      <c r="O36" s="1471"/>
      <c r="P36" s="1096"/>
      <c r="Q36" s="1361" t="str">
        <f>IF(ISBLANK(R36), "&lt;Local Currency&gt;", R36)</f>
        <v>&lt;Local Currency&gt;</v>
      </c>
      <c r="R36" s="1471"/>
      <c r="S36" s="1328"/>
      <c r="T36" s="1361" t="str">
        <f>IF(ISBLANK(U36), "&lt;Select&gt;", "")</f>
        <v>&lt;Select&gt;</v>
      </c>
      <c r="U36" s="1473"/>
      <c r="Y36" s="897"/>
      <c r="Z36" s="897"/>
      <c r="AA36" s="897"/>
      <c r="AB36" s="897"/>
      <c r="AC36" s="897"/>
      <c r="AD36" s="897"/>
      <c r="AE36" s="897"/>
      <c r="AF36" s="897"/>
      <c r="AG36" s="897"/>
      <c r="AH36" s="897"/>
      <c r="AI36" s="897"/>
      <c r="AJ36" s="897"/>
      <c r="AK36" s="897"/>
      <c r="AL36" s="897"/>
      <c r="AM36" s="897"/>
      <c r="AN36" s="897"/>
      <c r="AO36" s="897"/>
      <c r="AP36" s="897"/>
      <c r="AQ36" s="897"/>
      <c r="AR36" s="897"/>
      <c r="AS36" s="897"/>
      <c r="AT36" s="897"/>
      <c r="AU36" s="897"/>
      <c r="AV36" s="897"/>
      <c r="AW36" s="897"/>
      <c r="AX36" s="897"/>
      <c r="AY36" s="897"/>
      <c r="AZ36" s="897"/>
      <c r="BA36" s="897"/>
      <c r="BB36" s="897"/>
      <c r="BC36" s="897"/>
      <c r="BD36" s="897"/>
      <c r="BE36" s="897"/>
      <c r="BF36" s="897"/>
      <c r="BG36" s="12" t="s">
        <v>117</v>
      </c>
      <c r="BH36" s="17">
        <f>K38</f>
        <v>0</v>
      </c>
      <c r="BI36" s="17">
        <f>AD17*125%</f>
        <v>0</v>
      </c>
      <c r="BJ36" s="11"/>
      <c r="BK36" s="36">
        <f>K51</f>
        <v>0</v>
      </c>
      <c r="BL36" s="36">
        <f>H51</f>
        <v>0</v>
      </c>
      <c r="BM36" s="897"/>
      <c r="BN36" s="897"/>
      <c r="BP36" s="896"/>
      <c r="BQ36" s="896"/>
      <c r="BR36" s="904"/>
      <c r="BS36" s="904"/>
      <c r="BT36" s="904"/>
      <c r="BU36" s="904"/>
      <c r="BV36" s="896"/>
      <c r="BW36" s="896"/>
      <c r="BX36" s="896"/>
      <c r="BY36" s="896"/>
      <c r="BZ36" s="896"/>
      <c r="CA36" s="896"/>
      <c r="CB36" s="896"/>
      <c r="CC36" s="896"/>
      <c r="CD36" s="896"/>
      <c r="CE36" s="896"/>
      <c r="CF36" s="896"/>
      <c r="CG36" s="896"/>
      <c r="CH36" s="896"/>
      <c r="CI36" s="896"/>
      <c r="CL36" s="640"/>
      <c r="CM36" s="640"/>
      <c r="CN36" s="640"/>
      <c r="CO36" s="640"/>
      <c r="CP36" s="640"/>
      <c r="CQ36" s="640"/>
      <c r="CR36" s="640"/>
      <c r="CS36" s="640"/>
    </row>
    <row r="37" spans="1:168" ht="16.5">
      <c r="B37" s="1362" t="s">
        <v>131</v>
      </c>
      <c r="C37" s="1357"/>
      <c r="D37" s="1358" t="str">
        <f>IF(ISBLANK(E37), "      &lt;Enter description of above declared Loan&gt;", E37)</f>
        <v xml:space="preserve">      &lt;Enter description of above declared Loan&gt;</v>
      </c>
      <c r="E37" s="1482"/>
      <c r="F37" s="1483"/>
      <c r="G37" s="1483"/>
      <c r="H37" s="1484"/>
      <c r="I37" s="1484"/>
      <c r="J37" s="1483"/>
      <c r="K37" s="1484"/>
      <c r="L37" s="1364" t="s">
        <v>132</v>
      </c>
      <c r="M37" s="1392"/>
      <c r="N37" s="1364"/>
      <c r="O37" s="1111"/>
      <c r="P37" s="1099"/>
      <c r="Q37" s="1361" t="str">
        <f>IF(ISBLANK(R37), "&lt;Local Currency&gt;", R37)</f>
        <v>&lt;Local Currency&gt;</v>
      </c>
      <c r="R37" s="1471"/>
      <c r="S37" s="1096"/>
      <c r="T37" s="1097"/>
      <c r="U37" s="1393" t="s">
        <v>109</v>
      </c>
      <c r="Y37" s="897"/>
      <c r="Z37" s="897"/>
      <c r="AA37" s="897"/>
      <c r="AB37" s="897"/>
      <c r="AC37" s="897"/>
      <c r="AD37" s="897"/>
      <c r="AE37" s="897"/>
      <c r="AF37" s="897"/>
      <c r="AG37" s="897"/>
      <c r="AH37" s="897"/>
      <c r="AI37" s="897"/>
      <c r="AJ37" s="897"/>
      <c r="AK37" s="897"/>
      <c r="AL37" s="897"/>
      <c r="AM37" s="897"/>
      <c r="AN37" s="897"/>
      <c r="AO37" s="897"/>
      <c r="AP37" s="897"/>
      <c r="AQ37" s="897"/>
      <c r="AR37" s="897"/>
      <c r="AS37" s="897"/>
      <c r="AT37" s="897"/>
      <c r="AU37" s="897"/>
      <c r="AV37" s="897"/>
      <c r="AW37" s="897"/>
      <c r="AX37" s="897"/>
      <c r="AY37" s="897"/>
      <c r="AZ37" s="897"/>
      <c r="BA37" s="897"/>
      <c r="BB37" s="897"/>
      <c r="BC37" s="897"/>
      <c r="BD37" s="897"/>
      <c r="BE37" s="897"/>
      <c r="BF37" s="897"/>
      <c r="BG37" s="12" t="s">
        <v>119</v>
      </c>
      <c r="BH37" s="17">
        <f>U36</f>
        <v>0</v>
      </c>
      <c r="BI37" s="34">
        <f>AI15*3%</f>
        <v>0</v>
      </c>
      <c r="BJ37" s="11"/>
      <c r="BK37" s="11"/>
      <c r="BL37" s="11"/>
      <c r="BM37" s="897"/>
      <c r="BN37" s="897"/>
      <c r="BP37" s="896"/>
      <c r="BQ37" s="896"/>
      <c r="BR37" s="904"/>
      <c r="BS37" s="904"/>
      <c r="BT37" s="904"/>
      <c r="BU37" s="904"/>
      <c r="BV37" s="896"/>
      <c r="BW37" s="896"/>
      <c r="BX37" s="896"/>
      <c r="BY37" s="896"/>
      <c r="BZ37" s="899"/>
      <c r="CA37" s="896"/>
      <c r="CB37" s="896"/>
      <c r="CC37" s="896"/>
      <c r="CD37" s="896"/>
      <c r="CE37" s="896"/>
      <c r="CF37" s="896"/>
      <c r="CG37" s="896"/>
      <c r="CH37" s="896"/>
      <c r="CI37" s="896"/>
      <c r="CL37" s="640"/>
      <c r="CM37" s="640"/>
      <c r="CN37" s="640"/>
      <c r="CO37" s="640"/>
      <c r="CP37" s="640"/>
      <c r="CQ37" s="640"/>
      <c r="CR37" s="640"/>
      <c r="CS37" s="640"/>
    </row>
    <row r="38" spans="1:168">
      <c r="B38" s="1362" t="s">
        <v>127</v>
      </c>
      <c r="C38" s="1357"/>
      <c r="D38" s="1361" t="str">
        <f t="shared" si="21"/>
        <v>&lt;AUD&gt;</v>
      </c>
      <c r="E38" s="1482"/>
      <c r="F38" s="1388"/>
      <c r="G38" s="1361" t="str">
        <f t="shared" si="22"/>
        <v>&lt;Local Currency&gt;</v>
      </c>
      <c r="H38" s="1482"/>
      <c r="I38" s="1328"/>
      <c r="J38" s="1361" t="str">
        <f>IF(ISBLANK(K38), "&lt;Select&gt;", "")</f>
        <v>&lt;Select&gt;</v>
      </c>
      <c r="K38" s="1482"/>
      <c r="L38" s="1364" t="s">
        <v>133</v>
      </c>
      <c r="M38" s="1360"/>
      <c r="N38" s="1357"/>
      <c r="O38" s="1098"/>
      <c r="P38" s="1099"/>
      <c r="Q38" s="1361" t="str">
        <f>IF(ISBLANK(R38), "&lt;Local Currency&gt;", R38)</f>
        <v>&lt;Local Currency&gt;</v>
      </c>
      <c r="R38" s="1471"/>
      <c r="S38" s="1096"/>
      <c r="T38" s="1097"/>
      <c r="U38" s="1394" t="s">
        <v>109</v>
      </c>
      <c r="Y38" s="897"/>
      <c r="Z38" s="897"/>
      <c r="AA38" s="897"/>
      <c r="AB38" s="897"/>
      <c r="AC38" s="897"/>
      <c r="AD38" s="897"/>
      <c r="AE38" s="897"/>
      <c r="AF38" s="897"/>
      <c r="AG38" s="897"/>
      <c r="AH38" s="897"/>
      <c r="AI38" s="897"/>
      <c r="AJ38" s="897"/>
      <c r="AK38" s="897"/>
      <c r="AL38" s="897"/>
      <c r="AM38" s="897"/>
      <c r="AN38" s="897"/>
      <c r="AO38" s="897"/>
      <c r="AP38" s="897"/>
      <c r="AQ38" s="897"/>
      <c r="AR38" s="897"/>
      <c r="AS38" s="897"/>
      <c r="AT38" s="897"/>
      <c r="AU38" s="897"/>
      <c r="AV38" s="897"/>
      <c r="AW38" s="897"/>
      <c r="AX38" s="897"/>
      <c r="AY38" s="897"/>
      <c r="AZ38" s="897"/>
      <c r="BA38" s="897"/>
      <c r="BB38" s="897"/>
      <c r="BC38" s="897"/>
      <c r="BD38" s="897"/>
      <c r="BE38" s="897"/>
      <c r="BF38" s="897"/>
      <c r="BG38" s="12"/>
      <c r="BH38" s="12" t="s">
        <v>109</v>
      </c>
      <c r="BI38" s="34">
        <f>AI16*3%</f>
        <v>0</v>
      </c>
      <c r="BJ38" s="11"/>
      <c r="BK38" s="11"/>
      <c r="BL38" s="11"/>
      <c r="BM38" s="897"/>
      <c r="BN38" s="897"/>
      <c r="BP38" s="896"/>
      <c r="BQ38" s="896"/>
      <c r="BR38" s="904"/>
      <c r="BS38" s="904"/>
      <c r="BT38" s="904"/>
      <c r="BU38" s="904"/>
      <c r="BV38" s="896"/>
      <c r="BW38" s="896"/>
      <c r="BX38" s="896"/>
      <c r="BY38" s="896"/>
      <c r="BZ38" s="896"/>
      <c r="CA38" s="896"/>
      <c r="CB38" s="896"/>
      <c r="CC38" s="896"/>
      <c r="CD38" s="896"/>
      <c r="CE38" s="896"/>
      <c r="CF38" s="896"/>
      <c r="CG38" s="896"/>
      <c r="CH38" s="896"/>
      <c r="CI38" s="896"/>
      <c r="CL38" s="640"/>
      <c r="CM38" s="640"/>
      <c r="CN38" s="640"/>
      <c r="CO38" s="640"/>
      <c r="CP38" s="640"/>
      <c r="CQ38" s="640"/>
      <c r="CR38" s="640"/>
      <c r="CS38" s="640"/>
    </row>
    <row r="39" spans="1:168">
      <c r="B39" s="1362"/>
      <c r="C39" s="1357"/>
      <c r="D39" s="1368"/>
      <c r="E39" s="1328"/>
      <c r="F39" s="1388"/>
      <c r="G39" s="1388"/>
      <c r="H39" s="1328"/>
      <c r="I39" s="1328"/>
      <c r="J39" s="1388"/>
      <c r="K39" s="1330"/>
      <c r="L39" s="1357"/>
      <c r="M39" s="1360"/>
      <c r="N39" s="1357"/>
      <c r="O39" s="1328"/>
      <c r="P39" s="1328"/>
      <c r="Q39" s="1328"/>
      <c r="R39" s="1328"/>
      <c r="S39" s="1328"/>
      <c r="T39" s="1328"/>
      <c r="U39" s="1369"/>
      <c r="Y39" s="897"/>
      <c r="Z39" s="897"/>
      <c r="AA39" s="897"/>
      <c r="AB39" s="897"/>
      <c r="AC39" s="897"/>
      <c r="AD39" s="897"/>
      <c r="AE39" s="897"/>
      <c r="AF39" s="897"/>
      <c r="AG39" s="897"/>
      <c r="AH39" s="897"/>
      <c r="AI39" s="897"/>
      <c r="AJ39" s="897"/>
      <c r="AK39" s="897"/>
      <c r="AL39" s="897"/>
      <c r="AM39" s="897"/>
      <c r="AN39" s="897"/>
      <c r="AO39" s="897"/>
      <c r="AP39" s="897"/>
      <c r="AQ39" s="897"/>
      <c r="AR39" s="897"/>
      <c r="AS39" s="897"/>
      <c r="AT39" s="897"/>
      <c r="AU39" s="897"/>
      <c r="AV39" s="897"/>
      <c r="AW39" s="897"/>
      <c r="AX39" s="897"/>
      <c r="AY39" s="897"/>
      <c r="AZ39" s="897"/>
      <c r="BA39" s="897"/>
      <c r="BB39" s="897"/>
      <c r="BC39" s="897"/>
      <c r="BD39" s="897"/>
      <c r="BE39" s="897"/>
      <c r="BF39" s="897"/>
      <c r="BG39" s="12"/>
      <c r="BH39" s="16"/>
      <c r="BI39" s="962"/>
      <c r="BJ39" s="11"/>
      <c r="BK39" s="11"/>
      <c r="BL39" s="11"/>
      <c r="BM39" s="897"/>
      <c r="BN39" s="897"/>
      <c r="BP39" s="896"/>
      <c r="BQ39" s="896"/>
      <c r="BR39" s="904"/>
      <c r="BS39" s="904"/>
      <c r="BT39" s="904"/>
      <c r="BU39" s="904"/>
      <c r="BV39" s="896"/>
      <c r="BW39" s="896"/>
      <c r="BX39" s="896"/>
      <c r="BY39" s="896"/>
      <c r="BZ39" s="896"/>
      <c r="CA39" s="896"/>
      <c r="CB39" s="896"/>
      <c r="CC39" s="896"/>
      <c r="CD39" s="896"/>
      <c r="CE39" s="896"/>
      <c r="CF39" s="896"/>
      <c r="CG39" s="896"/>
      <c r="CH39" s="896"/>
      <c r="CI39" s="896"/>
      <c r="CL39" s="640"/>
      <c r="CM39" s="640"/>
      <c r="CN39" s="640"/>
      <c r="CO39" s="640"/>
      <c r="CP39" s="640"/>
      <c r="CQ39" s="640"/>
      <c r="CR39" s="640"/>
      <c r="CS39" s="640"/>
    </row>
    <row r="40" spans="1:168" hidden="1">
      <c r="B40" s="1356" t="s">
        <v>180</v>
      </c>
      <c r="C40" s="1357"/>
      <c r="D40" s="1368"/>
      <c r="E40" s="1103" t="str">
        <f>IFERROR(#REF!,"")</f>
        <v/>
      </c>
      <c r="F40" s="1097"/>
      <c r="G40" s="1097"/>
      <c r="H40" s="1328"/>
      <c r="I40" s="1096"/>
      <c r="J40" s="1097"/>
      <c r="K40" s="1330"/>
      <c r="L40" s="1357"/>
      <c r="M40" s="1360"/>
      <c r="N40" s="1357"/>
      <c r="O40" s="1328"/>
      <c r="P40" s="1328"/>
      <c r="Q40" s="1328"/>
      <c r="R40" s="1328"/>
      <c r="S40" s="1096"/>
      <c r="T40" s="1096"/>
      <c r="U40" s="1369"/>
      <c r="Y40" s="897"/>
      <c r="Z40" s="897"/>
      <c r="AA40" s="897"/>
      <c r="AB40" s="897"/>
      <c r="AC40" s="897"/>
      <c r="AD40" s="897"/>
      <c r="AE40" s="897"/>
      <c r="AF40" s="897"/>
      <c r="AG40" s="897"/>
      <c r="AH40" s="897"/>
      <c r="AI40" s="897"/>
      <c r="AJ40" s="897"/>
      <c r="AK40" s="897"/>
      <c r="AL40" s="897"/>
      <c r="AM40" s="897"/>
      <c r="AN40" s="897"/>
      <c r="AO40" s="897"/>
      <c r="AP40" s="897"/>
      <c r="AQ40" s="897"/>
      <c r="AR40" s="897"/>
      <c r="AS40" s="897"/>
      <c r="AT40" s="897"/>
      <c r="AU40" s="897"/>
      <c r="AV40" s="897"/>
      <c r="AW40" s="897"/>
      <c r="AX40" s="897"/>
      <c r="AY40" s="897"/>
      <c r="AZ40" s="897"/>
      <c r="BA40" s="897"/>
      <c r="BB40" s="897"/>
      <c r="BC40" s="897"/>
      <c r="BD40" s="897"/>
      <c r="BE40" s="897"/>
      <c r="BF40" s="897"/>
      <c r="BG40" s="12"/>
      <c r="BH40" s="953" t="s">
        <v>106</v>
      </c>
      <c r="BI40" s="25" t="s">
        <v>84</v>
      </c>
      <c r="BJ40" s="11"/>
      <c r="BK40" s="953" t="s">
        <v>106</v>
      </c>
      <c r="BL40" s="953"/>
      <c r="BM40" s="897"/>
      <c r="BN40" s="897"/>
      <c r="BP40" s="910"/>
      <c r="BQ40" s="910"/>
      <c r="BR40" s="925"/>
      <c r="BS40" s="925"/>
      <c r="BT40" s="925"/>
      <c r="BU40" s="904"/>
      <c r="BV40" s="896"/>
      <c r="BW40" s="896"/>
      <c r="BX40" s="896"/>
      <c r="BY40" s="896"/>
      <c r="BZ40" s="896"/>
      <c r="CA40" s="896"/>
      <c r="CB40" s="896"/>
      <c r="CC40" s="896"/>
      <c r="CD40" s="896"/>
      <c r="CE40" s="896"/>
      <c r="CF40" s="896"/>
      <c r="CG40" s="896"/>
      <c r="CH40" s="896"/>
      <c r="CI40" s="896"/>
      <c r="CL40" s="640"/>
      <c r="CM40" s="640"/>
      <c r="CN40" s="640"/>
      <c r="CO40" s="640"/>
      <c r="CP40" s="640"/>
      <c r="CQ40" s="640"/>
      <c r="CR40" s="640"/>
      <c r="CS40" s="640"/>
    </row>
    <row r="41" spans="1:168" s="654" customFormat="1" ht="16.899999999999999" customHeight="1">
      <c r="A41" s="651"/>
      <c r="B41" s="1405" t="s">
        <v>135</v>
      </c>
      <c r="C41" s="1412"/>
      <c r="D41" s="1407"/>
      <c r="E41" s="1413"/>
      <c r="F41" s="1417"/>
      <c r="G41" s="1417"/>
      <c r="H41" s="1413"/>
      <c r="I41" s="1413"/>
      <c r="J41" s="1417"/>
      <c r="K41" s="1414"/>
      <c r="L41" s="1412"/>
      <c r="M41" s="1415"/>
      <c r="N41" s="1412"/>
      <c r="O41" s="1413"/>
      <c r="P41" s="1413"/>
      <c r="Q41" s="1413"/>
      <c r="R41" s="1413"/>
      <c r="S41" s="1413"/>
      <c r="T41" s="1413"/>
      <c r="U41" s="1416"/>
      <c r="V41" s="651"/>
      <c r="W41" s="651"/>
      <c r="X41" s="645"/>
      <c r="Y41" s="897"/>
      <c r="Z41" s="897"/>
      <c r="AA41" s="897"/>
      <c r="AB41" s="897"/>
      <c r="AC41" s="897"/>
      <c r="AD41" s="897"/>
      <c r="AE41" s="897"/>
      <c r="AF41" s="897"/>
      <c r="AG41" s="897"/>
      <c r="AH41" s="897"/>
      <c r="AI41" s="897"/>
      <c r="AJ41" s="897"/>
      <c r="AK41" s="897"/>
      <c r="AL41" s="897"/>
      <c r="AM41" s="897"/>
      <c r="AN41" s="897"/>
      <c r="AO41" s="897"/>
      <c r="AP41" s="897"/>
      <c r="AQ41" s="897"/>
      <c r="AR41" s="897"/>
      <c r="AS41" s="897"/>
      <c r="AT41" s="897"/>
      <c r="AU41" s="897"/>
      <c r="AV41" s="897"/>
      <c r="AW41" s="897"/>
      <c r="AX41" s="897"/>
      <c r="AY41" s="897"/>
      <c r="AZ41" s="897"/>
      <c r="BA41" s="897"/>
      <c r="BB41" s="897"/>
      <c r="BC41" s="897"/>
      <c r="BD41" s="897"/>
      <c r="BE41" s="897"/>
      <c r="BF41" s="897"/>
      <c r="BG41" s="12"/>
      <c r="BH41" s="12" t="s">
        <v>109</v>
      </c>
      <c r="BI41" s="35">
        <f>SUMIF($BH$34:$BH$38,BH41,$BI$34:$BI$38)</f>
        <v>0</v>
      </c>
      <c r="BJ41" s="11"/>
      <c r="BK41" s="12" t="s">
        <v>109</v>
      </c>
      <c r="BL41" s="35">
        <f>SUMIF($BK$34:$BK$36,BK41,$BL$34:$BL$36)</f>
        <v>0</v>
      </c>
      <c r="BM41" s="897"/>
      <c r="BN41" s="897"/>
      <c r="BO41" s="646"/>
      <c r="BP41" s="896"/>
      <c r="BQ41" s="896"/>
      <c r="BR41" s="904"/>
      <c r="BS41" s="904"/>
      <c r="BT41" s="904"/>
      <c r="BU41" s="904"/>
      <c r="BV41" s="896"/>
      <c r="BW41" s="896"/>
      <c r="BX41" s="896"/>
      <c r="BY41" s="896"/>
      <c r="BZ41" s="896"/>
      <c r="CA41" s="896"/>
      <c r="CB41" s="896"/>
      <c r="CC41" s="896"/>
      <c r="CD41" s="896"/>
      <c r="CE41" s="896"/>
      <c r="CF41" s="896"/>
      <c r="CG41" s="896"/>
      <c r="CH41" s="896"/>
      <c r="CI41" s="896"/>
      <c r="CL41" s="651"/>
      <c r="CM41" s="651"/>
      <c r="CN41" s="651"/>
      <c r="CO41" s="651"/>
      <c r="CP41" s="651"/>
      <c r="CQ41" s="651"/>
      <c r="CR41" s="651"/>
      <c r="CS41" s="651"/>
      <c r="CT41" s="651"/>
      <c r="CU41" s="651"/>
      <c r="CV41" s="651"/>
      <c r="CW41" s="651"/>
      <c r="CX41" s="651"/>
      <c r="CY41" s="651"/>
      <c r="CZ41" s="651"/>
      <c r="DA41" s="651"/>
      <c r="DB41" s="651"/>
      <c r="DC41" s="651"/>
      <c r="DD41" s="651"/>
      <c r="DE41" s="651"/>
      <c r="DF41" s="651"/>
      <c r="DG41" s="651"/>
      <c r="DH41" s="651"/>
      <c r="DI41" s="651"/>
      <c r="DJ41" s="651"/>
      <c r="DK41" s="651"/>
      <c r="DL41" s="651"/>
      <c r="DM41" s="651"/>
      <c r="DN41" s="651"/>
      <c r="DO41" s="651"/>
      <c r="DP41" s="651"/>
      <c r="DQ41" s="651"/>
      <c r="DR41" s="651"/>
      <c r="DS41" s="651"/>
      <c r="DT41" s="651"/>
      <c r="DU41" s="651"/>
      <c r="DV41" s="651"/>
      <c r="DW41" s="651"/>
      <c r="DX41" s="651"/>
      <c r="DY41" s="651"/>
      <c r="DZ41" s="651"/>
      <c r="EA41" s="651"/>
      <c r="EB41" s="651"/>
      <c r="EC41" s="651"/>
      <c r="ED41" s="651"/>
      <c r="EE41" s="651"/>
      <c r="EF41" s="651"/>
      <c r="EG41" s="651"/>
      <c r="EH41" s="651"/>
      <c r="EI41" s="651"/>
      <c r="EJ41" s="651"/>
      <c r="EK41" s="651"/>
      <c r="EL41" s="651"/>
      <c r="EM41" s="651"/>
      <c r="EN41" s="651"/>
      <c r="EO41" s="651"/>
      <c r="EP41" s="651"/>
      <c r="EQ41" s="651"/>
      <c r="ER41" s="651"/>
      <c r="ES41" s="651"/>
      <c r="ET41" s="651"/>
      <c r="EU41" s="651"/>
      <c r="EV41" s="651"/>
      <c r="EW41" s="651"/>
      <c r="EX41" s="651"/>
      <c r="EY41" s="651"/>
      <c r="EZ41" s="651"/>
      <c r="FA41" s="651"/>
      <c r="FB41" s="651"/>
      <c r="FC41" s="651"/>
      <c r="FD41" s="651"/>
      <c r="FE41" s="651"/>
      <c r="FF41" s="651"/>
      <c r="FG41" s="651"/>
      <c r="FH41" s="651"/>
      <c r="FI41" s="651"/>
      <c r="FJ41" s="651"/>
      <c r="FK41" s="715"/>
      <c r="FL41" s="715"/>
    </row>
    <row r="42" spans="1:168" s="682" customFormat="1">
      <c r="A42" s="676"/>
      <c r="B42" s="1356" t="s">
        <v>72</v>
      </c>
      <c r="C42" s="1377"/>
      <c r="D42" s="1378"/>
      <c r="E42" s="1478" t="s">
        <v>50</v>
      </c>
      <c r="F42" s="1379"/>
      <c r="G42" s="1379"/>
      <c r="H42" s="1478" t="s">
        <v>80</v>
      </c>
      <c r="I42" s="1383"/>
      <c r="J42" s="1383"/>
      <c r="K42" s="1478" t="s">
        <v>137</v>
      </c>
      <c r="L42" s="1359" t="s">
        <v>76</v>
      </c>
      <c r="M42" s="1380"/>
      <c r="N42" s="1377"/>
      <c r="O42" s="1478" t="s">
        <v>50</v>
      </c>
      <c r="P42" s="1379"/>
      <c r="Q42" s="1379"/>
      <c r="R42" s="1478" t="s">
        <v>80</v>
      </c>
      <c r="S42" s="1383"/>
      <c r="T42" s="1383"/>
      <c r="U42" s="1479" t="s">
        <v>137</v>
      </c>
      <c r="V42" s="676"/>
      <c r="W42" s="676"/>
      <c r="X42" s="645"/>
      <c r="Y42" s="897"/>
      <c r="Z42" s="897"/>
      <c r="AA42" s="897"/>
      <c r="AB42" s="897"/>
      <c r="AC42" s="897"/>
      <c r="AD42" s="897"/>
      <c r="AE42" s="897"/>
      <c r="AF42" s="897"/>
      <c r="AG42" s="897"/>
      <c r="AH42" s="897"/>
      <c r="AI42" s="897"/>
      <c r="AJ42" s="897"/>
      <c r="AK42" s="897"/>
      <c r="AL42" s="897"/>
      <c r="AM42" s="897"/>
      <c r="AN42" s="897"/>
      <c r="AO42" s="897"/>
      <c r="AP42" s="897"/>
      <c r="AQ42" s="897"/>
      <c r="AR42" s="897"/>
      <c r="AS42" s="897"/>
      <c r="AT42" s="897"/>
      <c r="AU42" s="897"/>
      <c r="AV42" s="897"/>
      <c r="AW42" s="897"/>
      <c r="AX42" s="897"/>
      <c r="AY42" s="897"/>
      <c r="AZ42" s="897"/>
      <c r="BA42" s="897"/>
      <c r="BB42" s="897"/>
      <c r="BC42" s="897"/>
      <c r="BD42" s="897"/>
      <c r="BE42" s="897"/>
      <c r="BF42" s="897"/>
      <c r="BG42" s="12"/>
      <c r="BH42" s="12"/>
      <c r="BI42" s="11"/>
      <c r="BJ42" s="11"/>
      <c r="BK42" s="11">
        <f>'Exchange Rates'!D5</f>
        <v>4.5226600000000001</v>
      </c>
      <c r="BL42" s="11"/>
      <c r="BM42" s="897"/>
      <c r="BN42" s="897"/>
      <c r="BO42" s="646"/>
      <c r="BP42" s="896"/>
      <c r="BQ42" s="896"/>
      <c r="BR42" s="904"/>
      <c r="BS42" s="904"/>
      <c r="BT42" s="904"/>
      <c r="BU42" s="925"/>
      <c r="BV42" s="910"/>
      <c r="BW42" s="910"/>
      <c r="BX42" s="896"/>
      <c r="BY42" s="896"/>
      <c r="BZ42" s="896"/>
      <c r="CA42" s="896"/>
      <c r="CB42" s="896"/>
      <c r="CC42" s="896"/>
      <c r="CD42" s="896"/>
      <c r="CE42" s="896"/>
      <c r="CF42" s="896"/>
      <c r="CG42" s="896"/>
      <c r="CH42" s="896"/>
      <c r="CI42" s="896"/>
      <c r="CL42" s="676"/>
      <c r="CM42" s="676"/>
      <c r="CN42" s="676"/>
      <c r="CO42" s="676"/>
      <c r="CP42" s="676"/>
      <c r="CQ42" s="676"/>
      <c r="CR42" s="676"/>
      <c r="CS42" s="676"/>
      <c r="CT42" s="676"/>
      <c r="CU42" s="676"/>
      <c r="CV42" s="676"/>
      <c r="CW42" s="676"/>
      <c r="CX42" s="676"/>
      <c r="CY42" s="676"/>
      <c r="CZ42" s="676"/>
      <c r="DA42" s="676"/>
      <c r="DB42" s="676"/>
      <c r="DC42" s="676"/>
      <c r="DD42" s="676"/>
      <c r="DE42" s="676"/>
      <c r="DF42" s="676"/>
      <c r="DG42" s="676"/>
      <c r="DH42" s="676"/>
      <c r="DI42" s="676"/>
      <c r="DJ42" s="676"/>
      <c r="DK42" s="676"/>
      <c r="DL42" s="676"/>
      <c r="DM42" s="676"/>
      <c r="DN42" s="676"/>
      <c r="DO42" s="676"/>
      <c r="DP42" s="676"/>
      <c r="DQ42" s="676"/>
      <c r="DR42" s="676"/>
      <c r="DS42" s="676"/>
      <c r="DT42" s="676"/>
      <c r="DU42" s="676"/>
      <c r="DV42" s="676"/>
      <c r="DW42" s="676"/>
      <c r="DX42" s="676"/>
      <c r="DY42" s="676"/>
      <c r="DZ42" s="676"/>
      <c r="EA42" s="676"/>
      <c r="EB42" s="676"/>
      <c r="EC42" s="676"/>
      <c r="ED42" s="676"/>
      <c r="EE42" s="676"/>
      <c r="EF42" s="676"/>
      <c r="EG42" s="676"/>
      <c r="EH42" s="676"/>
      <c r="EI42" s="676"/>
      <c r="EJ42" s="676"/>
      <c r="EK42" s="676"/>
      <c r="EL42" s="676"/>
      <c r="EM42" s="676"/>
      <c r="EN42" s="676"/>
      <c r="EO42" s="676"/>
      <c r="EP42" s="676"/>
      <c r="EQ42" s="676"/>
      <c r="ER42" s="676"/>
      <c r="ES42" s="676"/>
      <c r="ET42" s="676"/>
      <c r="EU42" s="676"/>
      <c r="EV42" s="676"/>
      <c r="EW42" s="676"/>
      <c r="EX42" s="676"/>
      <c r="EY42" s="676"/>
      <c r="EZ42" s="676"/>
      <c r="FA42" s="676"/>
      <c r="FB42" s="676"/>
      <c r="FC42" s="676"/>
      <c r="FD42" s="676"/>
      <c r="FE42" s="676"/>
      <c r="FF42" s="676"/>
      <c r="FG42" s="676"/>
      <c r="FH42" s="676"/>
      <c r="FI42" s="676"/>
      <c r="FJ42" s="676"/>
      <c r="FK42" s="716"/>
      <c r="FL42" s="716"/>
    </row>
    <row r="43" spans="1:168">
      <c r="B43" s="1362" t="s">
        <v>139</v>
      </c>
      <c r="C43" s="1357"/>
      <c r="D43" s="1361"/>
      <c r="E43" s="1487"/>
      <c r="F43" s="1388"/>
      <c r="G43" s="1395"/>
      <c r="H43" s="1488"/>
      <c r="I43" s="1328"/>
      <c r="J43" s="1361" t="str">
        <f>IF(ISBLANK(K43), "&lt;Select&gt;", "")</f>
        <v>&lt;Select&gt;</v>
      </c>
      <c r="K43" s="1471"/>
      <c r="L43" s="1364" t="s">
        <v>139</v>
      </c>
      <c r="M43" s="1360"/>
      <c r="N43" s="1357"/>
      <c r="O43" s="1488"/>
      <c r="P43" s="1328"/>
      <c r="Q43" s="1328"/>
      <c r="R43" s="1488"/>
      <c r="S43" s="1328"/>
      <c r="T43" s="1361" t="str">
        <f>IF(ISBLANK(U43), "&lt;Select&gt;", "")</f>
        <v>&lt;Select&gt;</v>
      </c>
      <c r="U43" s="1473"/>
      <c r="Y43" s="897"/>
      <c r="Z43" s="897"/>
      <c r="AA43" s="897"/>
      <c r="AB43" s="897"/>
      <c r="AC43" s="897"/>
      <c r="AD43" s="897"/>
      <c r="AE43" s="897"/>
      <c r="AF43" s="897"/>
      <c r="AG43" s="897"/>
      <c r="AH43" s="897"/>
      <c r="AI43" s="897"/>
      <c r="AJ43" s="897"/>
      <c r="AK43" s="897"/>
      <c r="AL43" s="897"/>
      <c r="AM43" s="897"/>
      <c r="AN43" s="897"/>
      <c r="AO43" s="897"/>
      <c r="AP43" s="897"/>
      <c r="AQ43" s="897"/>
      <c r="AR43" s="897"/>
      <c r="AS43" s="897"/>
      <c r="AT43" s="897"/>
      <c r="AU43" s="897"/>
      <c r="AV43" s="897"/>
      <c r="AW43" s="897"/>
      <c r="AX43" s="897"/>
      <c r="AY43" s="897"/>
      <c r="AZ43" s="897"/>
      <c r="BA43" s="897"/>
      <c r="BB43" s="897"/>
      <c r="BC43" s="897"/>
      <c r="BD43" s="897"/>
      <c r="BE43" s="897"/>
      <c r="BF43" s="897"/>
      <c r="BG43" s="27"/>
      <c r="BH43" s="12"/>
      <c r="BI43" s="36"/>
      <c r="BJ43" s="11"/>
      <c r="BK43" s="12" t="s">
        <v>84</v>
      </c>
      <c r="BL43" s="36">
        <f>BL41/BK42</f>
        <v>0</v>
      </c>
      <c r="BM43" s="897"/>
      <c r="BN43" s="897"/>
      <c r="BP43" s="896"/>
      <c r="BQ43" s="896"/>
      <c r="BR43" s="904"/>
      <c r="BS43" s="904"/>
      <c r="BT43" s="904"/>
      <c r="BU43" s="904"/>
      <c r="BV43" s="896"/>
      <c r="BW43" s="896"/>
      <c r="BX43" s="910"/>
      <c r="BY43" s="910"/>
      <c r="BZ43" s="910"/>
      <c r="CA43" s="910"/>
      <c r="CB43" s="896"/>
      <c r="CC43" s="896"/>
      <c r="CD43" s="896"/>
      <c r="CE43" s="896"/>
      <c r="CF43" s="896"/>
      <c r="CG43" s="896"/>
      <c r="CH43" s="896"/>
      <c r="CI43" s="896"/>
      <c r="CL43" s="640"/>
      <c r="CM43" s="640"/>
      <c r="CN43" s="640"/>
      <c r="CO43" s="640"/>
      <c r="CP43" s="640"/>
      <c r="CQ43" s="640"/>
      <c r="CR43" s="640"/>
      <c r="CS43" s="640"/>
    </row>
    <row r="44" spans="1:168">
      <c r="B44" s="1362" t="s">
        <v>140</v>
      </c>
      <c r="C44" s="1357"/>
      <c r="D44" s="1361"/>
      <c r="E44" s="1487"/>
      <c r="F44" s="1388"/>
      <c r="G44" s="1395"/>
      <c r="H44" s="1488"/>
      <c r="I44" s="1328"/>
      <c r="J44" s="1388"/>
      <c r="K44" s="1328"/>
      <c r="L44" s="1364" t="s">
        <v>140</v>
      </c>
      <c r="M44" s="1360"/>
      <c r="N44" s="1357"/>
      <c r="O44" s="1488"/>
      <c r="P44" s="1328"/>
      <c r="Q44" s="1328"/>
      <c r="R44" s="1488"/>
      <c r="S44" s="1328"/>
      <c r="T44" s="1328"/>
      <c r="U44" s="1389"/>
      <c r="Y44" s="897"/>
      <c r="Z44" s="897"/>
      <c r="AA44" s="897"/>
      <c r="AB44" s="897"/>
      <c r="AC44" s="897"/>
      <c r="AD44" s="897"/>
      <c r="AE44" s="897"/>
      <c r="AF44" s="897"/>
      <c r="AG44" s="897"/>
      <c r="AH44" s="897"/>
      <c r="AI44" s="897"/>
      <c r="AJ44" s="897"/>
      <c r="AK44" s="897"/>
      <c r="AL44" s="897"/>
      <c r="AM44" s="897"/>
      <c r="AN44" s="897"/>
      <c r="AO44" s="897"/>
      <c r="AP44" s="897"/>
      <c r="AQ44" s="897"/>
      <c r="AR44" s="897"/>
      <c r="AS44" s="897"/>
      <c r="AT44" s="897"/>
      <c r="AU44" s="897"/>
      <c r="AV44" s="897"/>
      <c r="AW44" s="897"/>
      <c r="AX44" s="897"/>
      <c r="AY44" s="897"/>
      <c r="AZ44" s="897"/>
      <c r="BA44" s="897"/>
      <c r="BB44" s="897"/>
      <c r="BC44" s="897"/>
      <c r="BD44" s="897"/>
      <c r="BE44" s="897"/>
      <c r="BF44" s="897"/>
      <c r="BG44" s="897"/>
      <c r="BH44" s="897"/>
      <c r="BI44" s="897"/>
      <c r="BJ44" s="897"/>
      <c r="BK44" s="897"/>
      <c r="BL44" s="897"/>
      <c r="BM44" s="897"/>
      <c r="BN44" s="897"/>
      <c r="BP44" s="896"/>
      <c r="BQ44" s="896"/>
      <c r="BR44" s="904"/>
      <c r="BS44" s="904"/>
      <c r="BT44" s="904"/>
      <c r="BU44" s="904"/>
      <c r="BV44" s="896"/>
      <c r="BW44" s="896"/>
      <c r="BX44" s="896"/>
      <c r="BY44" s="896"/>
      <c r="BZ44" s="896"/>
      <c r="CA44" s="896"/>
      <c r="CB44" s="896"/>
      <c r="CC44" s="896"/>
      <c r="CD44" s="896"/>
      <c r="CE44" s="896"/>
      <c r="CF44" s="896"/>
      <c r="CG44" s="896"/>
      <c r="CH44" s="896"/>
      <c r="CI44" s="896"/>
      <c r="CL44" s="640"/>
      <c r="CM44" s="640"/>
      <c r="CN44" s="640"/>
      <c r="CO44" s="640"/>
      <c r="CP44" s="640"/>
      <c r="CQ44" s="640"/>
      <c r="CR44" s="640"/>
      <c r="CS44" s="640"/>
    </row>
    <row r="45" spans="1:168">
      <c r="B45" s="1362" t="s">
        <v>141</v>
      </c>
      <c r="C45" s="1357"/>
      <c r="D45" s="1361"/>
      <c r="E45" s="1487"/>
      <c r="F45" s="1388"/>
      <c r="G45" s="1395"/>
      <c r="H45" s="1488"/>
      <c r="I45" s="1328"/>
      <c r="J45" s="1388"/>
      <c r="K45" s="1328"/>
      <c r="L45" s="1364" t="s">
        <v>141</v>
      </c>
      <c r="M45" s="1360"/>
      <c r="N45" s="1357"/>
      <c r="O45" s="1488"/>
      <c r="P45" s="1328"/>
      <c r="Q45" s="1328"/>
      <c r="R45" s="1488"/>
      <c r="S45" s="1328"/>
      <c r="T45" s="1328"/>
      <c r="U45" s="1389"/>
      <c r="Y45" s="897"/>
      <c r="Z45" s="897"/>
      <c r="AA45" s="897"/>
      <c r="AB45" s="897"/>
      <c r="AC45" s="897"/>
      <c r="AD45" s="897"/>
      <c r="AE45" s="897"/>
      <c r="AF45" s="897"/>
      <c r="AG45" s="897"/>
      <c r="AH45" s="897"/>
      <c r="AI45" s="897"/>
      <c r="AJ45" s="897"/>
      <c r="AK45" s="897"/>
      <c r="AL45" s="897"/>
      <c r="AM45" s="897"/>
      <c r="AN45" s="897"/>
      <c r="AO45" s="897"/>
      <c r="AP45" s="897"/>
      <c r="AQ45" s="897"/>
      <c r="AR45" s="897"/>
      <c r="AS45" s="897"/>
      <c r="AT45" s="897"/>
      <c r="AU45" s="897"/>
      <c r="AV45" s="897"/>
      <c r="AW45" s="897"/>
      <c r="AX45" s="897"/>
      <c r="AY45" s="897"/>
      <c r="AZ45" s="897"/>
      <c r="BA45" s="897"/>
      <c r="BB45" s="897"/>
      <c r="BC45" s="897"/>
      <c r="BD45" s="897"/>
      <c r="BE45" s="897"/>
      <c r="BF45" s="897"/>
      <c r="BG45" s="897"/>
      <c r="BH45" s="897"/>
      <c r="BI45" s="897"/>
      <c r="BJ45" s="897"/>
      <c r="BK45" s="897"/>
      <c r="BL45" s="897"/>
      <c r="BM45" s="897"/>
      <c r="BN45" s="897"/>
      <c r="BP45" s="896"/>
      <c r="BQ45" s="904"/>
      <c r="BR45" s="904"/>
      <c r="BS45" s="904"/>
      <c r="BT45" s="904"/>
      <c r="BU45" s="896"/>
      <c r="BV45" s="896"/>
      <c r="BW45" s="901"/>
      <c r="BX45" s="901"/>
      <c r="BY45" s="901"/>
      <c r="BZ45" s="901"/>
      <c r="CA45" s="901"/>
      <c r="CB45" s="896"/>
      <c r="CC45" s="896"/>
      <c r="CD45" s="896"/>
      <c r="CE45" s="896"/>
      <c r="CF45" s="896"/>
      <c r="CG45" s="896"/>
      <c r="CH45" s="896"/>
      <c r="CI45" s="896"/>
      <c r="CL45" s="640"/>
      <c r="CM45" s="640"/>
      <c r="CN45" s="640"/>
      <c r="CO45" s="640"/>
      <c r="CP45" s="640"/>
      <c r="CQ45" s="640"/>
      <c r="CR45" s="640"/>
      <c r="CS45" s="640"/>
    </row>
    <row r="46" spans="1:168">
      <c r="B46" s="1362" t="s">
        <v>142</v>
      </c>
      <c r="C46" s="1357"/>
      <c r="D46" s="1368"/>
      <c r="E46" s="1511">
        <f>'GL&amp;EE TOOL'!F44</f>
        <v>0</v>
      </c>
      <c r="F46" s="1357"/>
      <c r="G46" s="1357"/>
      <c r="H46" s="1511">
        <f>'GL&amp;EE TOOL'!H44</f>
        <v>0</v>
      </c>
      <c r="I46" s="1328"/>
      <c r="J46" s="1388"/>
      <c r="K46" s="1106" t="s">
        <v>143</v>
      </c>
      <c r="L46" s="1364" t="s">
        <v>142</v>
      </c>
      <c r="M46" s="1360"/>
      <c r="N46" s="1357"/>
      <c r="O46" s="1512">
        <f>'GL&amp;EE TOOL'!K44</f>
        <v>0</v>
      </c>
      <c r="P46" s="1328"/>
      <c r="Q46" s="1328"/>
      <c r="R46" s="1511">
        <f>'GL&amp;EE TOOL'!M44</f>
        <v>0</v>
      </c>
      <c r="S46" s="1328"/>
      <c r="T46" s="1328"/>
      <c r="U46" s="1424" t="s">
        <v>143</v>
      </c>
      <c r="X46" s="701"/>
      <c r="Y46" s="897"/>
      <c r="Z46" s="897"/>
      <c r="AA46" s="897"/>
      <c r="AB46" s="897"/>
      <c r="AC46" s="897"/>
      <c r="AD46" s="897"/>
      <c r="AE46" s="897"/>
      <c r="AF46" s="897"/>
      <c r="AG46" s="897"/>
      <c r="AH46" s="897"/>
      <c r="AI46" s="897"/>
      <c r="AJ46" s="897"/>
      <c r="AK46" s="897"/>
      <c r="AL46" s="897"/>
      <c r="AM46" s="897"/>
      <c r="AN46" s="897"/>
      <c r="AO46" s="897"/>
      <c r="AP46" s="897"/>
      <c r="AQ46" s="897"/>
      <c r="AR46" s="897"/>
      <c r="AS46" s="897"/>
      <c r="AT46" s="897"/>
      <c r="AU46" s="897"/>
      <c r="AV46" s="897"/>
      <c r="AW46" s="897"/>
      <c r="AX46" s="897"/>
      <c r="AY46" s="897"/>
      <c r="AZ46" s="897"/>
      <c r="BA46" s="897"/>
      <c r="BB46" s="897"/>
      <c r="BC46" s="897"/>
      <c r="BD46" s="897"/>
      <c r="BE46" s="897"/>
      <c r="BF46" s="897"/>
      <c r="BG46" s="897"/>
      <c r="BH46" s="897"/>
      <c r="BI46" s="897"/>
      <c r="BJ46" s="897"/>
      <c r="BK46" s="897"/>
      <c r="BL46" s="897"/>
      <c r="BM46" s="897"/>
      <c r="BN46" s="897"/>
      <c r="BP46" s="910"/>
      <c r="BQ46" s="925"/>
      <c r="BR46" s="925"/>
      <c r="BS46" s="925"/>
      <c r="BT46" s="925"/>
      <c r="BU46" s="910"/>
      <c r="BV46" s="910"/>
      <c r="BW46" s="924"/>
      <c r="BX46" s="924"/>
      <c r="BY46" s="924"/>
      <c r="BZ46" s="924"/>
      <c r="CA46" s="924"/>
      <c r="CB46" s="896"/>
      <c r="CC46" s="896"/>
      <c r="CD46" s="896"/>
      <c r="CE46" s="896"/>
      <c r="CF46" s="896"/>
      <c r="CG46" s="896"/>
      <c r="CH46" s="896"/>
      <c r="CI46" s="896"/>
      <c r="CL46" s="640"/>
      <c r="CM46" s="640"/>
      <c r="CN46" s="640"/>
      <c r="CO46" s="640"/>
      <c r="CP46" s="640"/>
      <c r="CQ46" s="640"/>
      <c r="CR46" s="640"/>
      <c r="CS46" s="640"/>
    </row>
    <row r="47" spans="1:168">
      <c r="B47" s="1362"/>
      <c r="C47" s="1357"/>
      <c r="D47" s="1368"/>
      <c r="E47" s="1328"/>
      <c r="F47" s="1388"/>
      <c r="G47" s="1388"/>
      <c r="H47" s="1328"/>
      <c r="I47" s="1328"/>
      <c r="J47" s="1388"/>
      <c r="K47" s="1330"/>
      <c r="L47" s="1357"/>
      <c r="M47" s="1360"/>
      <c r="N47" s="1357"/>
      <c r="O47" s="1328"/>
      <c r="P47" s="1328"/>
      <c r="Q47" s="1328"/>
      <c r="R47" s="1328"/>
      <c r="S47" s="1328"/>
      <c r="T47" s="1328"/>
      <c r="U47" s="1369"/>
      <c r="Y47" s="897"/>
      <c r="Z47" s="897"/>
      <c r="AA47" s="897"/>
      <c r="AB47" s="897"/>
      <c r="AC47" s="897"/>
      <c r="AD47" s="897"/>
      <c r="AE47" s="897"/>
      <c r="AF47" s="897"/>
      <c r="AG47" s="897"/>
      <c r="AH47" s="897"/>
      <c r="AI47" s="897"/>
      <c r="AJ47" s="897"/>
      <c r="AK47" s="897"/>
      <c r="AL47" s="897"/>
      <c r="AM47" s="897"/>
      <c r="AN47" s="897"/>
      <c r="AO47" s="897"/>
      <c r="AP47" s="897"/>
      <c r="AQ47" s="897"/>
      <c r="AR47" s="897"/>
      <c r="AS47" s="897"/>
      <c r="AT47" s="897"/>
      <c r="AU47" s="897"/>
      <c r="AV47" s="897"/>
      <c r="AW47" s="897"/>
      <c r="AX47" s="897"/>
      <c r="AY47" s="897"/>
      <c r="AZ47" s="897"/>
      <c r="BA47" s="897"/>
      <c r="BB47" s="897"/>
      <c r="BC47" s="897"/>
      <c r="BD47" s="897"/>
      <c r="BE47" s="897"/>
      <c r="BF47" s="897"/>
      <c r="BG47" s="897"/>
      <c r="BH47" s="897"/>
      <c r="BI47" s="897"/>
      <c r="BJ47" s="897"/>
      <c r="BK47" s="897"/>
      <c r="BL47" s="897"/>
      <c r="BM47" s="897"/>
      <c r="BN47" s="897"/>
      <c r="BP47" s="896"/>
      <c r="BQ47" s="904"/>
      <c r="BR47" s="904"/>
      <c r="BS47" s="904"/>
      <c r="BT47" s="904"/>
      <c r="BU47" s="896"/>
      <c r="BV47" s="896"/>
      <c r="BW47" s="901"/>
      <c r="BX47" s="901"/>
      <c r="BY47" s="901"/>
      <c r="BZ47" s="901"/>
      <c r="CA47" s="901"/>
      <c r="CB47" s="896"/>
      <c r="CC47" s="896"/>
      <c r="CD47" s="896"/>
      <c r="CE47" s="896"/>
      <c r="CF47" s="896"/>
      <c r="CG47" s="896"/>
      <c r="CH47" s="896"/>
      <c r="CI47" s="896"/>
      <c r="CL47" s="640"/>
      <c r="CM47" s="640"/>
      <c r="CN47" s="640"/>
      <c r="CO47" s="640"/>
      <c r="CP47" s="640"/>
      <c r="CQ47" s="640"/>
      <c r="CR47" s="640"/>
      <c r="CS47" s="640"/>
    </row>
    <row r="48" spans="1:168">
      <c r="B48" s="1356" t="s">
        <v>144</v>
      </c>
      <c r="C48" s="1357"/>
      <c r="D48" s="1368"/>
      <c r="E48" s="1489" t="s">
        <v>50</v>
      </c>
      <c r="F48" s="1379"/>
      <c r="G48" s="1379"/>
      <c r="H48" s="1489" t="s">
        <v>80</v>
      </c>
      <c r="I48" s="1425"/>
      <c r="J48" s="1379"/>
      <c r="K48" s="1489" t="s">
        <v>89</v>
      </c>
      <c r="L48" s="1357"/>
      <c r="M48" s="1360"/>
      <c r="N48" s="1357"/>
      <c r="O48" s="1328"/>
      <c r="P48" s="1328"/>
      <c r="Q48" s="1328"/>
      <c r="R48" s="1328"/>
      <c r="S48" s="1381"/>
      <c r="T48" s="1381"/>
      <c r="U48" s="1369"/>
      <c r="Y48" s="897"/>
      <c r="Z48" s="897"/>
      <c r="AA48" s="897"/>
      <c r="AB48" s="897"/>
      <c r="AC48" s="897"/>
      <c r="AD48" s="897"/>
      <c r="AE48" s="897"/>
      <c r="AF48" s="897"/>
      <c r="AG48" s="897"/>
      <c r="AH48" s="897"/>
      <c r="AI48" s="897"/>
      <c r="AJ48" s="897"/>
      <c r="AK48" s="897"/>
      <c r="AL48" s="897"/>
      <c r="AM48" s="897"/>
      <c r="AN48" s="897"/>
      <c r="AO48" s="897"/>
      <c r="AP48" s="897"/>
      <c r="AQ48" s="897"/>
      <c r="AR48" s="897"/>
      <c r="AS48" s="897"/>
      <c r="AT48" s="897"/>
      <c r="AU48" s="897"/>
      <c r="AV48" s="897"/>
      <c r="AW48" s="897"/>
      <c r="AX48" s="897"/>
      <c r="AY48" s="897"/>
      <c r="AZ48" s="897"/>
      <c r="BA48" s="897"/>
      <c r="BB48" s="897"/>
      <c r="BC48" s="897"/>
      <c r="BD48" s="897"/>
      <c r="BE48" s="897"/>
      <c r="BF48" s="897"/>
      <c r="BG48" s="897"/>
      <c r="BH48" s="897"/>
      <c r="BI48" s="897"/>
      <c r="BJ48" s="897"/>
      <c r="BK48" s="897"/>
      <c r="BL48" s="897"/>
      <c r="BM48" s="897"/>
      <c r="BN48" s="897"/>
      <c r="BP48" s="896"/>
      <c r="BQ48" s="904"/>
      <c r="BR48" s="904"/>
      <c r="BS48" s="904"/>
      <c r="BT48" s="904"/>
      <c r="BU48" s="896"/>
      <c r="BV48" s="896"/>
      <c r="BW48" s="901"/>
      <c r="BX48" s="901"/>
      <c r="BY48" s="901"/>
      <c r="BZ48" s="901"/>
      <c r="CA48" s="901"/>
      <c r="CB48" s="901"/>
      <c r="CC48" s="901"/>
      <c r="CD48" s="901"/>
      <c r="CE48" s="901"/>
      <c r="CF48" s="901"/>
      <c r="CG48" s="901"/>
      <c r="CH48" s="901"/>
      <c r="CI48" s="929"/>
      <c r="CL48" s="640"/>
      <c r="CM48" s="640"/>
      <c r="CN48" s="640"/>
      <c r="CO48" s="640"/>
      <c r="CP48" s="640"/>
      <c r="CQ48" s="640"/>
      <c r="CR48" s="640"/>
      <c r="CS48" s="640"/>
    </row>
    <row r="49" spans="1:168">
      <c r="B49" s="1362" t="s">
        <v>146</v>
      </c>
      <c r="C49" s="1357"/>
      <c r="D49" s="1361" t="str">
        <f t="shared" ref="D49:D51" si="24">IF(ISBLANK(E49), "&lt;AUD&gt;", E49)</f>
        <v>&lt;AUD&gt;</v>
      </c>
      <c r="E49" s="1471"/>
      <c r="F49" s="1388"/>
      <c r="G49" s="1361" t="str">
        <f t="shared" ref="G49:G51" si="25">IF(ISBLANK(H49), "&lt;Local Currency&gt;", H49)</f>
        <v>&lt;Local Currency&gt;</v>
      </c>
      <c r="H49" s="1471"/>
      <c r="I49" s="1328"/>
      <c r="J49" s="1361" t="str">
        <f>IF(ISBLANK(K49), "&lt;Select&gt;", "")</f>
        <v>&lt;Select&gt;</v>
      </c>
      <c r="K49" s="1471"/>
      <c r="L49" s="1357"/>
      <c r="M49" s="1360"/>
      <c r="N49" s="1357"/>
      <c r="O49" s="1328"/>
      <c r="P49" s="1328"/>
      <c r="Q49" s="1328"/>
      <c r="R49" s="1328"/>
      <c r="S49" s="1328"/>
      <c r="T49" s="1328"/>
      <c r="U49" s="1369"/>
      <c r="Y49" s="897"/>
      <c r="Z49" s="897"/>
      <c r="AA49" s="897"/>
      <c r="AB49" s="897"/>
      <c r="AC49" s="897"/>
      <c r="AD49" s="897"/>
      <c r="AE49" s="897"/>
      <c r="AF49" s="897"/>
      <c r="AG49" s="897"/>
      <c r="AH49" s="897"/>
      <c r="AI49" s="897"/>
      <c r="AJ49" s="897"/>
      <c r="AK49" s="897"/>
      <c r="AL49" s="897"/>
      <c r="AM49" s="897"/>
      <c r="AN49" s="897"/>
      <c r="AO49" s="897"/>
      <c r="AP49" s="897"/>
      <c r="AQ49" s="897"/>
      <c r="AR49" s="897"/>
      <c r="AS49" s="897"/>
      <c r="AT49" s="897"/>
      <c r="AU49" s="897"/>
      <c r="AV49" s="897"/>
      <c r="AW49" s="897"/>
      <c r="AX49" s="897"/>
      <c r="AY49" s="897"/>
      <c r="AZ49" s="897"/>
      <c r="BA49" s="897"/>
      <c r="BB49" s="897"/>
      <c r="BC49" s="897"/>
      <c r="BD49" s="897"/>
      <c r="BE49" s="897"/>
      <c r="BF49" s="897"/>
      <c r="BG49" s="897"/>
      <c r="BH49" s="897"/>
      <c r="BI49" s="897"/>
      <c r="BJ49" s="897"/>
      <c r="BK49" s="897"/>
      <c r="BL49" s="897"/>
      <c r="BM49" s="897"/>
      <c r="BN49" s="897"/>
      <c r="BP49" s="896"/>
      <c r="BQ49" s="904"/>
      <c r="BR49" s="904"/>
      <c r="BS49" s="904"/>
      <c r="BT49" s="904"/>
      <c r="BU49" s="896"/>
      <c r="BV49" s="896"/>
      <c r="BW49" s="901"/>
      <c r="BX49" s="901"/>
      <c r="BY49" s="901"/>
      <c r="BZ49" s="901"/>
      <c r="CA49" s="901"/>
      <c r="CB49" s="901"/>
      <c r="CC49" s="901"/>
      <c r="CD49" s="901"/>
      <c r="CE49" s="901"/>
      <c r="CF49" s="901"/>
      <c r="CG49" s="901"/>
      <c r="CH49" s="901"/>
      <c r="CI49" s="929"/>
      <c r="CL49" s="640"/>
      <c r="CM49" s="640"/>
      <c r="CN49" s="640"/>
      <c r="CO49" s="640"/>
      <c r="CP49" s="640"/>
      <c r="CQ49" s="640"/>
      <c r="CR49" s="640"/>
      <c r="CS49" s="640"/>
    </row>
    <row r="50" spans="1:168">
      <c r="B50" s="1362" t="s">
        <v>148</v>
      </c>
      <c r="C50" s="1357"/>
      <c r="D50" s="1361" t="str">
        <f t="shared" si="24"/>
        <v>&lt;AUD&gt;</v>
      </c>
      <c r="E50" s="1471"/>
      <c r="F50" s="1388"/>
      <c r="G50" s="1361" t="str">
        <f t="shared" si="25"/>
        <v>&lt;Local Currency&gt;</v>
      </c>
      <c r="H50" s="1471"/>
      <c r="I50" s="1328"/>
      <c r="J50" s="1361" t="str">
        <f>IF(ISBLANK(K50), "&lt;Select&gt;", "")</f>
        <v>&lt;Select&gt;</v>
      </c>
      <c r="K50" s="1471"/>
      <c r="L50" s="1357"/>
      <c r="M50" s="1360"/>
      <c r="N50" s="1357"/>
      <c r="O50" s="1328"/>
      <c r="P50" s="1328"/>
      <c r="Q50" s="1328"/>
      <c r="R50" s="1328"/>
      <c r="S50" s="1328"/>
      <c r="T50" s="1328"/>
      <c r="U50" s="1369"/>
      <c r="Y50" s="897"/>
      <c r="Z50" s="897"/>
      <c r="AA50" s="897"/>
      <c r="AB50" s="897"/>
      <c r="AC50" s="897"/>
      <c r="AD50" s="897"/>
      <c r="AE50" s="897"/>
      <c r="AF50" s="897"/>
      <c r="AG50" s="897"/>
      <c r="AH50" s="897"/>
      <c r="AI50" s="897"/>
      <c r="AJ50" s="897"/>
      <c r="AK50" s="897"/>
      <c r="AL50" s="897"/>
      <c r="AM50" s="897"/>
      <c r="AN50" s="897"/>
      <c r="AO50" s="897"/>
      <c r="AP50" s="897"/>
      <c r="AQ50" s="897"/>
      <c r="AR50" s="897"/>
      <c r="AS50" s="897"/>
      <c r="AT50" s="897"/>
      <c r="AU50" s="897"/>
      <c r="AV50" s="897"/>
      <c r="AW50" s="897"/>
      <c r="AX50" s="897"/>
      <c r="AY50" s="897"/>
      <c r="AZ50" s="897"/>
      <c r="BA50" s="897"/>
      <c r="BB50" s="897"/>
      <c r="BC50" s="897"/>
      <c r="BD50" s="897"/>
      <c r="BE50" s="897"/>
      <c r="BF50" s="897"/>
      <c r="BG50" s="897"/>
      <c r="BH50" s="897"/>
      <c r="BI50" s="897"/>
      <c r="BJ50" s="897"/>
      <c r="BK50" s="897"/>
      <c r="BL50" s="897"/>
      <c r="BM50" s="897"/>
      <c r="BN50" s="897"/>
      <c r="BP50" s="896"/>
      <c r="BQ50" s="904"/>
      <c r="BR50" s="904"/>
      <c r="BS50" s="904"/>
      <c r="BT50" s="904"/>
      <c r="BU50" s="896"/>
      <c r="BV50" s="896"/>
      <c r="BW50" s="901"/>
      <c r="BX50" s="901"/>
      <c r="BY50" s="901"/>
      <c r="BZ50" s="901"/>
      <c r="CA50" s="901"/>
      <c r="CB50" s="901"/>
      <c r="CC50" s="901"/>
      <c r="CD50" s="901"/>
      <c r="CE50" s="901"/>
      <c r="CF50" s="901"/>
      <c r="CG50" s="901"/>
      <c r="CH50" s="901"/>
      <c r="CI50" s="929"/>
      <c r="CL50" s="640"/>
      <c r="CM50" s="640"/>
      <c r="CN50" s="640"/>
      <c r="CO50" s="640"/>
      <c r="CP50" s="640"/>
      <c r="CQ50" s="640"/>
      <c r="CR50" s="640"/>
      <c r="CS50" s="640"/>
    </row>
    <row r="51" spans="1:168">
      <c r="B51" s="1362" t="s">
        <v>155</v>
      </c>
      <c r="C51" s="1357"/>
      <c r="D51" s="1361" t="str">
        <f t="shared" si="24"/>
        <v>&lt;AUD&gt;</v>
      </c>
      <c r="E51" s="1471"/>
      <c r="F51" s="1388"/>
      <c r="G51" s="1361" t="str">
        <f t="shared" si="25"/>
        <v>&lt;Local Currency&gt;</v>
      </c>
      <c r="H51" s="1471"/>
      <c r="I51" s="1328"/>
      <c r="J51" s="1361" t="str">
        <f>IF(ISBLANK(K51), "&lt;Select&gt;", "")</f>
        <v>&lt;Select&gt;</v>
      </c>
      <c r="K51" s="1471"/>
      <c r="L51" s="1357"/>
      <c r="M51" s="1360"/>
      <c r="N51" s="1357"/>
      <c r="O51" s="1328"/>
      <c r="P51" s="1328"/>
      <c r="Q51" s="1328"/>
      <c r="R51" s="1328"/>
      <c r="S51" s="1328"/>
      <c r="T51" s="1328"/>
      <c r="U51" s="1369"/>
      <c r="Y51" s="897"/>
      <c r="Z51" s="897"/>
      <c r="AA51" s="897"/>
      <c r="AB51" s="897"/>
      <c r="AC51" s="897"/>
      <c r="AD51" s="897"/>
      <c r="AE51" s="897"/>
      <c r="AF51" s="897"/>
      <c r="AG51" s="897"/>
      <c r="AH51" s="897"/>
      <c r="AI51" s="897"/>
      <c r="AJ51" s="897"/>
      <c r="AK51" s="897"/>
      <c r="AL51" s="897"/>
      <c r="AM51" s="897"/>
      <c r="AN51" s="897"/>
      <c r="AO51" s="897"/>
      <c r="AP51" s="897"/>
      <c r="AQ51" s="897"/>
      <c r="AR51" s="897"/>
      <c r="AS51" s="897"/>
      <c r="AT51" s="897"/>
      <c r="AU51" s="897"/>
      <c r="AV51" s="897"/>
      <c r="AW51" s="897"/>
      <c r="AX51" s="897"/>
      <c r="AY51" s="897"/>
      <c r="AZ51" s="897"/>
      <c r="BA51" s="897"/>
      <c r="BB51" s="897"/>
      <c r="BC51" s="897"/>
      <c r="BD51" s="897"/>
      <c r="BE51" s="897"/>
      <c r="BF51" s="897"/>
      <c r="BG51" s="897"/>
      <c r="BH51" s="897"/>
      <c r="BI51" s="897"/>
      <c r="BJ51" s="897"/>
      <c r="BK51" s="897"/>
      <c r="BL51" s="897"/>
      <c r="BM51" s="897"/>
      <c r="BN51" s="897"/>
      <c r="BP51" s="896"/>
      <c r="BQ51" s="904"/>
      <c r="BR51" s="904"/>
      <c r="BS51" s="904"/>
      <c r="BT51" s="904"/>
      <c r="BU51" s="896"/>
      <c r="BV51" s="896"/>
      <c r="BW51" s="901"/>
      <c r="BX51" s="901"/>
      <c r="BY51" s="901"/>
      <c r="BZ51" s="901"/>
      <c r="CA51" s="901"/>
      <c r="CB51" s="901"/>
      <c r="CC51" s="901"/>
      <c r="CD51" s="901"/>
      <c r="CE51" s="901"/>
      <c r="CF51" s="901"/>
      <c r="CG51" s="901"/>
      <c r="CH51" s="901"/>
      <c r="CI51" s="929"/>
      <c r="CL51" s="640"/>
      <c r="CM51" s="640"/>
      <c r="CN51" s="640"/>
      <c r="CO51" s="640"/>
      <c r="CP51" s="640"/>
      <c r="CQ51" s="640"/>
      <c r="CR51" s="640"/>
      <c r="CS51" s="640"/>
    </row>
    <row r="52" spans="1:168">
      <c r="B52" s="1362"/>
      <c r="C52" s="1357"/>
      <c r="D52" s="1361"/>
      <c r="E52" s="1107"/>
      <c r="F52" s="1328"/>
      <c r="G52" s="1334"/>
      <c r="H52" s="1107"/>
      <c r="I52" s="1328"/>
      <c r="J52" s="1334"/>
      <c r="K52" s="1107"/>
      <c r="L52" s="1328"/>
      <c r="M52" s="1331"/>
      <c r="N52" s="1328"/>
      <c r="O52" s="1328"/>
      <c r="P52" s="1328"/>
      <c r="Q52" s="1328"/>
      <c r="R52" s="1328"/>
      <c r="S52" s="1328"/>
      <c r="T52" s="1328"/>
      <c r="U52" s="1369"/>
      <c r="Y52" s="897"/>
      <c r="Z52" s="897"/>
      <c r="AA52" s="897"/>
      <c r="AB52" s="897"/>
      <c r="AC52" s="897"/>
      <c r="AD52" s="897"/>
      <c r="AE52" s="897"/>
      <c r="AF52" s="897"/>
      <c r="AG52" s="897"/>
      <c r="AH52" s="897"/>
      <c r="AI52" s="897"/>
      <c r="AJ52" s="897"/>
      <c r="AK52" s="897"/>
      <c r="AL52" s="897"/>
      <c r="AM52" s="897"/>
      <c r="AN52" s="897"/>
      <c r="AO52" s="897"/>
      <c r="AP52" s="897"/>
      <c r="AQ52" s="897"/>
      <c r="AR52" s="897"/>
      <c r="AS52" s="897"/>
      <c r="AT52" s="897"/>
      <c r="AU52" s="897"/>
      <c r="AV52" s="897"/>
      <c r="AW52" s="897"/>
      <c r="AX52" s="897"/>
      <c r="AY52" s="897"/>
      <c r="AZ52" s="897"/>
      <c r="BA52" s="897"/>
      <c r="BB52" s="897"/>
      <c r="BC52" s="897"/>
      <c r="BD52" s="897"/>
      <c r="BE52" s="897"/>
      <c r="BF52" s="897"/>
      <c r="BG52" s="897"/>
      <c r="BH52" s="897"/>
      <c r="BI52" s="897"/>
      <c r="BJ52" s="897"/>
      <c r="BK52" s="897"/>
      <c r="BL52" s="897"/>
      <c r="BM52" s="897"/>
      <c r="BN52" s="897"/>
      <c r="BP52" s="896"/>
      <c r="BQ52" s="904"/>
      <c r="BR52" s="904"/>
      <c r="BS52" s="904"/>
      <c r="BT52" s="904"/>
      <c r="BU52" s="896"/>
      <c r="BV52" s="896"/>
      <c r="BW52" s="901"/>
      <c r="BX52" s="901"/>
      <c r="BY52" s="901"/>
      <c r="BZ52" s="901"/>
      <c r="CA52" s="901"/>
      <c r="CB52" s="901"/>
      <c r="CC52" s="901"/>
      <c r="CD52" s="901"/>
      <c r="CE52" s="901"/>
      <c r="CF52" s="901"/>
      <c r="CG52" s="901"/>
      <c r="CH52" s="901"/>
      <c r="CI52" s="929"/>
      <c r="CL52" s="640"/>
      <c r="CM52" s="640"/>
      <c r="CN52" s="640"/>
      <c r="CO52" s="640"/>
      <c r="CP52" s="640"/>
      <c r="CQ52" s="640"/>
      <c r="CR52" s="640"/>
      <c r="CS52" s="640"/>
    </row>
    <row r="53" spans="1:168">
      <c r="B53" s="1426"/>
      <c r="C53" s="1328"/>
      <c r="D53" s="1334"/>
      <c r="E53" s="1107"/>
      <c r="F53" s="1328"/>
      <c r="G53" s="1334"/>
      <c r="H53" s="1107"/>
      <c r="I53" s="1350" t="s">
        <v>181</v>
      </c>
      <c r="J53" s="1350"/>
      <c r="K53" s="1350"/>
      <c r="L53" s="1350"/>
      <c r="M53" s="1331"/>
      <c r="N53" s="1328"/>
      <c r="O53" s="1328"/>
      <c r="P53" s="1328"/>
      <c r="Q53" s="1328"/>
      <c r="R53" s="1328"/>
      <c r="S53" s="1328"/>
      <c r="T53" s="1328"/>
      <c r="U53" s="1369"/>
      <c r="Y53" s="897"/>
      <c r="Z53" s="897"/>
      <c r="AA53" s="897"/>
      <c r="AB53" s="897"/>
      <c r="AC53" s="897"/>
      <c r="AD53" s="897"/>
      <c r="AE53" s="897"/>
      <c r="AF53" s="897"/>
      <c r="AG53" s="897"/>
      <c r="AH53" s="897"/>
      <c r="AI53" s="897"/>
      <c r="AJ53" s="897"/>
      <c r="AK53" s="897"/>
      <c r="AL53" s="897"/>
      <c r="AM53" s="897"/>
      <c r="AN53" s="897"/>
      <c r="AO53" s="897"/>
      <c r="AP53" s="897"/>
      <c r="AQ53" s="897"/>
      <c r="AR53" s="897"/>
      <c r="AS53" s="897"/>
      <c r="AT53" s="897"/>
      <c r="AU53" s="897"/>
      <c r="AV53" s="897"/>
      <c r="AW53" s="897"/>
      <c r="AX53" s="897"/>
      <c r="AY53" s="897"/>
      <c r="AZ53" s="897"/>
      <c r="BA53" s="897"/>
      <c r="BB53" s="897"/>
      <c r="BC53" s="897"/>
      <c r="BD53" s="897"/>
      <c r="BE53" s="897"/>
      <c r="BF53" s="897"/>
      <c r="BG53" s="897"/>
      <c r="BH53" s="897"/>
      <c r="BI53" s="897"/>
      <c r="BJ53" s="897"/>
      <c r="BK53" s="897"/>
      <c r="BL53" s="897"/>
      <c r="BM53" s="897"/>
      <c r="BN53" s="897"/>
      <c r="BP53" s="896"/>
      <c r="BQ53" s="904"/>
      <c r="BR53" s="904"/>
      <c r="BS53" s="904"/>
      <c r="BT53" s="904"/>
      <c r="BU53" s="896"/>
      <c r="BV53" s="896"/>
      <c r="BW53" s="901"/>
      <c r="BX53" s="901"/>
      <c r="BY53" s="901"/>
      <c r="BZ53" s="901"/>
      <c r="CA53" s="901"/>
      <c r="CB53" s="901"/>
      <c r="CC53" s="901"/>
      <c r="CD53" s="901"/>
      <c r="CE53" s="901"/>
      <c r="CF53" s="901"/>
      <c r="CG53" s="901"/>
      <c r="CH53" s="901"/>
      <c r="CI53" s="929"/>
      <c r="CL53" s="640"/>
      <c r="CM53" s="640"/>
      <c r="CN53" s="640"/>
      <c r="CO53" s="640"/>
      <c r="CP53" s="640"/>
      <c r="CQ53" s="640"/>
      <c r="CR53" s="640"/>
      <c r="CS53" s="640"/>
    </row>
    <row r="54" spans="1:168">
      <c r="B54" s="1426"/>
      <c r="C54" s="1328"/>
      <c r="D54" s="1334"/>
      <c r="E54" s="1107"/>
      <c r="F54" s="1328"/>
      <c r="G54" s="1334"/>
      <c r="H54" s="1107"/>
      <c r="I54" s="1350"/>
      <c r="J54" s="1350"/>
      <c r="K54" s="1350"/>
      <c r="L54" s="1350"/>
      <c r="M54" s="1331"/>
      <c r="N54" s="1328"/>
      <c r="O54" s="1328"/>
      <c r="P54" s="1328"/>
      <c r="Q54" s="1328"/>
      <c r="R54" s="1328"/>
      <c r="S54" s="1328"/>
      <c r="T54" s="1328"/>
      <c r="U54" s="1369"/>
      <c r="Y54" s="897"/>
      <c r="Z54" s="897"/>
      <c r="AA54" s="897"/>
      <c r="AB54" s="897"/>
      <c r="AC54" s="897"/>
      <c r="AD54" s="897"/>
      <c r="AE54" s="897"/>
      <c r="AF54" s="897"/>
      <c r="AG54" s="897"/>
      <c r="AH54" s="897"/>
      <c r="AI54" s="897"/>
      <c r="AJ54" s="897"/>
      <c r="AK54" s="897"/>
      <c r="AL54" s="897"/>
      <c r="AM54" s="897"/>
      <c r="AN54" s="897"/>
      <c r="AO54" s="897"/>
      <c r="AP54" s="897"/>
      <c r="AQ54" s="897"/>
      <c r="AR54" s="897"/>
      <c r="AS54" s="897"/>
      <c r="AT54" s="897"/>
      <c r="AU54" s="897"/>
      <c r="AV54" s="897"/>
      <c r="AW54" s="897"/>
      <c r="AX54" s="897"/>
      <c r="AY54" s="897"/>
      <c r="AZ54" s="897"/>
      <c r="BA54" s="897"/>
      <c r="BB54" s="897"/>
      <c r="BC54" s="897"/>
      <c r="BD54" s="897"/>
      <c r="BE54" s="897"/>
      <c r="BF54" s="897"/>
      <c r="BG54" s="897"/>
      <c r="BH54" s="897"/>
      <c r="BI54" s="897"/>
      <c r="BJ54" s="897"/>
      <c r="BK54" s="897"/>
      <c r="BL54" s="897"/>
      <c r="BM54" s="897"/>
      <c r="BN54" s="897"/>
      <c r="BP54" s="896"/>
      <c r="BQ54" s="904"/>
      <c r="BR54" s="904"/>
      <c r="BS54" s="904"/>
      <c r="BT54" s="904"/>
      <c r="BU54" s="896"/>
      <c r="BV54" s="896"/>
      <c r="BW54" s="901"/>
      <c r="BX54" s="901"/>
      <c r="BY54" s="901"/>
      <c r="BZ54" s="901"/>
      <c r="CA54" s="901"/>
      <c r="CB54" s="901"/>
      <c r="CC54" s="901"/>
      <c r="CD54" s="901"/>
      <c r="CE54" s="901"/>
      <c r="CF54" s="901"/>
      <c r="CG54" s="901"/>
      <c r="CH54" s="901"/>
      <c r="CI54" s="929"/>
      <c r="CL54" s="640"/>
      <c r="CM54" s="640"/>
      <c r="CN54" s="640"/>
      <c r="CO54" s="640"/>
      <c r="CP54" s="640"/>
      <c r="CQ54" s="640"/>
      <c r="CR54" s="640"/>
      <c r="CS54" s="640"/>
    </row>
    <row r="55" spans="1:168" ht="7.9" customHeight="1">
      <c r="B55" s="1426"/>
      <c r="C55" s="1328"/>
      <c r="D55" s="1334"/>
      <c r="E55" s="1107"/>
      <c r="F55" s="1328"/>
      <c r="G55" s="1334"/>
      <c r="H55" s="1107"/>
      <c r="I55" s="1350"/>
      <c r="J55" s="1350"/>
      <c r="K55" s="1350"/>
      <c r="L55" s="1350"/>
      <c r="M55" s="1331"/>
      <c r="N55" s="1328"/>
      <c r="O55" s="1328"/>
      <c r="P55" s="1328"/>
      <c r="Q55" s="1328"/>
      <c r="R55" s="1328"/>
      <c r="S55" s="1328"/>
      <c r="T55" s="1328"/>
      <c r="U55" s="1369"/>
      <c r="Y55" s="897"/>
      <c r="Z55" s="897"/>
      <c r="AA55" s="897"/>
      <c r="AB55" s="897"/>
      <c r="AC55" s="897"/>
      <c r="AD55" s="897"/>
      <c r="AE55" s="897"/>
      <c r="AF55" s="897"/>
      <c r="AG55" s="897"/>
      <c r="AH55" s="897"/>
      <c r="AI55" s="897"/>
      <c r="AJ55" s="897"/>
      <c r="AK55" s="897"/>
      <c r="AL55" s="897"/>
      <c r="AM55" s="897"/>
      <c r="AN55" s="897"/>
      <c r="AO55" s="897"/>
      <c r="AP55" s="897"/>
      <c r="AQ55" s="897"/>
      <c r="AR55" s="897"/>
      <c r="AS55" s="897"/>
      <c r="AT55" s="897"/>
      <c r="AU55" s="897"/>
      <c r="AV55" s="897"/>
      <c r="AW55" s="897"/>
      <c r="AX55" s="897"/>
      <c r="AY55" s="897"/>
      <c r="AZ55" s="897"/>
      <c r="BA55" s="897"/>
      <c r="BB55" s="897"/>
      <c r="BC55" s="897"/>
      <c r="BD55" s="897"/>
      <c r="BE55" s="897"/>
      <c r="BF55" s="897"/>
      <c r="BG55" s="897"/>
      <c r="BH55" s="897"/>
      <c r="BI55" s="897"/>
      <c r="BJ55" s="897"/>
      <c r="BK55" s="897"/>
      <c r="BL55" s="897"/>
      <c r="BM55" s="897"/>
      <c r="BN55" s="897"/>
      <c r="BP55" s="896"/>
      <c r="BQ55" s="904"/>
      <c r="BR55" s="904"/>
      <c r="BS55" s="904"/>
      <c r="BT55" s="904"/>
      <c r="BU55" s="896"/>
      <c r="BV55" s="896"/>
      <c r="BW55" s="901"/>
      <c r="BX55" s="901"/>
      <c r="BY55" s="901"/>
      <c r="BZ55" s="901"/>
      <c r="CA55" s="901"/>
      <c r="CB55" s="901"/>
      <c r="CC55" s="901"/>
      <c r="CD55" s="901"/>
      <c r="CE55" s="901"/>
      <c r="CF55" s="901"/>
      <c r="CG55" s="901"/>
      <c r="CH55" s="901"/>
      <c r="CI55" s="929"/>
      <c r="CL55" s="640"/>
      <c r="CM55" s="640"/>
      <c r="CN55" s="640"/>
      <c r="CO55" s="640"/>
      <c r="CP55" s="640"/>
      <c r="CQ55" s="640"/>
      <c r="CR55" s="640"/>
      <c r="CS55" s="640"/>
    </row>
    <row r="56" spans="1:168" s="654" customFormat="1" ht="16.899999999999999" customHeight="1">
      <c r="A56" s="651"/>
      <c r="B56" s="1427"/>
      <c r="C56" s="1400"/>
      <c r="D56" s="1428"/>
      <c r="E56" s="1400"/>
      <c r="F56" s="1400"/>
      <c r="G56" s="1400"/>
      <c r="H56" s="1400"/>
      <c r="I56" s="1400"/>
      <c r="J56" s="1400"/>
      <c r="K56" s="1429"/>
      <c r="L56" s="1400"/>
      <c r="M56" s="1403"/>
      <c r="N56" s="1400"/>
      <c r="O56" s="1400"/>
      <c r="P56" s="1400"/>
      <c r="Q56" s="1400"/>
      <c r="R56" s="1400"/>
      <c r="S56" s="1400"/>
      <c r="T56" s="1400"/>
      <c r="U56" s="1404"/>
      <c r="V56" s="651"/>
      <c r="W56" s="651"/>
      <c r="X56" s="645"/>
      <c r="Y56" s="897"/>
      <c r="Z56" s="897"/>
      <c r="AA56" s="897"/>
      <c r="AB56" s="897"/>
      <c r="AC56" s="897"/>
      <c r="AD56" s="897"/>
      <c r="AE56" s="897"/>
      <c r="AF56" s="897"/>
      <c r="AG56" s="897"/>
      <c r="AH56" s="897"/>
      <c r="AI56" s="897"/>
      <c r="AJ56" s="897"/>
      <c r="AK56" s="896"/>
      <c r="AL56" s="896"/>
      <c r="AM56" s="896"/>
      <c r="AN56" s="896"/>
      <c r="AO56" s="896"/>
      <c r="AP56" s="896"/>
      <c r="AQ56" s="896"/>
      <c r="AR56" s="896"/>
      <c r="AS56" s="896"/>
      <c r="AT56" s="896"/>
      <c r="AU56" s="896"/>
      <c r="AV56" s="896"/>
      <c r="AW56" s="896"/>
      <c r="AX56" s="896"/>
      <c r="AY56" s="896"/>
      <c r="AZ56" s="896"/>
      <c r="BA56" s="896"/>
      <c r="BB56" s="896"/>
      <c r="BC56" s="896"/>
      <c r="BD56" s="896"/>
      <c r="BE56" s="896"/>
      <c r="BF56" s="896"/>
      <c r="BG56" s="896"/>
      <c r="BH56" s="896"/>
      <c r="BI56" s="896"/>
      <c r="BJ56" s="896"/>
      <c r="BK56" s="896"/>
      <c r="BL56" s="896"/>
      <c r="BM56" s="896"/>
      <c r="BN56" s="896"/>
      <c r="BO56" s="646"/>
      <c r="BP56" s="896"/>
      <c r="BQ56" s="904"/>
      <c r="BR56" s="904"/>
      <c r="BS56" s="904"/>
      <c r="BT56" s="904"/>
      <c r="BU56" s="896"/>
      <c r="BV56" s="896"/>
      <c r="BW56" s="901"/>
      <c r="BX56" s="901"/>
      <c r="BY56" s="901"/>
      <c r="BZ56" s="901"/>
      <c r="CA56" s="901"/>
      <c r="CB56" s="901"/>
      <c r="CC56" s="901"/>
      <c r="CD56" s="901"/>
      <c r="CE56" s="901"/>
      <c r="CF56" s="901"/>
      <c r="CG56" s="901"/>
      <c r="CH56" s="901"/>
      <c r="CI56" s="899"/>
      <c r="CL56" s="651"/>
      <c r="CM56" s="651"/>
      <c r="CN56" s="651"/>
      <c r="CO56" s="651"/>
      <c r="CP56" s="651"/>
      <c r="CQ56" s="651"/>
      <c r="CR56" s="651"/>
      <c r="CS56" s="651"/>
      <c r="CT56" s="651"/>
      <c r="CU56" s="651"/>
      <c r="CV56" s="651"/>
      <c r="CW56" s="651"/>
      <c r="CX56" s="651"/>
      <c r="CY56" s="651"/>
      <c r="CZ56" s="651"/>
      <c r="DA56" s="651"/>
      <c r="DB56" s="651"/>
      <c r="DC56" s="651"/>
      <c r="DD56" s="651"/>
      <c r="DE56" s="651"/>
      <c r="DF56" s="651"/>
      <c r="DG56" s="651"/>
      <c r="DH56" s="651"/>
      <c r="DI56" s="651"/>
      <c r="DJ56" s="651"/>
      <c r="DK56" s="651"/>
      <c r="DL56" s="651"/>
      <c r="DM56" s="651"/>
      <c r="DN56" s="651"/>
      <c r="DO56" s="651"/>
      <c r="DP56" s="651"/>
      <c r="DQ56" s="651"/>
      <c r="DR56" s="651"/>
      <c r="DS56" s="651"/>
      <c r="DT56" s="651"/>
      <c r="DU56" s="651"/>
      <c r="DV56" s="651"/>
      <c r="DW56" s="651"/>
      <c r="DX56" s="651"/>
      <c r="DY56" s="651"/>
      <c r="DZ56" s="651"/>
      <c r="EA56" s="651"/>
      <c r="EB56" s="651"/>
      <c r="EC56" s="651"/>
      <c r="ED56" s="651"/>
      <c r="EE56" s="651"/>
      <c r="EF56" s="651"/>
      <c r="EG56" s="651"/>
      <c r="EH56" s="651"/>
      <c r="EI56" s="651"/>
      <c r="EJ56" s="651"/>
      <c r="EK56" s="651"/>
      <c r="EL56" s="651"/>
      <c r="EM56" s="651"/>
      <c r="EN56" s="651"/>
      <c r="EO56" s="651"/>
      <c r="EP56" s="651"/>
      <c r="EQ56" s="651"/>
      <c r="ER56" s="651"/>
      <c r="ES56" s="651"/>
      <c r="ET56" s="651"/>
      <c r="EU56" s="651"/>
      <c r="EV56" s="651"/>
      <c r="EW56" s="651"/>
      <c r="EX56" s="651"/>
      <c r="EY56" s="651"/>
      <c r="EZ56" s="651"/>
      <c r="FA56" s="651"/>
      <c r="FB56" s="651"/>
      <c r="FC56" s="651"/>
      <c r="FD56" s="651"/>
      <c r="FE56" s="651"/>
      <c r="FF56" s="651"/>
      <c r="FG56" s="651"/>
      <c r="FH56" s="651"/>
      <c r="FI56" s="651"/>
      <c r="FJ56" s="651"/>
      <c r="FK56" s="715"/>
      <c r="FL56" s="715"/>
    </row>
    <row r="57" spans="1:168" s="640" customFormat="1">
      <c r="B57" s="1418" t="s">
        <v>167</v>
      </c>
      <c r="C57" s="1419"/>
      <c r="D57" s="1420"/>
      <c r="E57" s="1419"/>
      <c r="F57" s="1419"/>
      <c r="G57" s="1419"/>
      <c r="H57" s="1419"/>
      <c r="I57" s="1419"/>
      <c r="J57" s="1419"/>
      <c r="K57" s="1421"/>
      <c r="L57" s="1419"/>
      <c r="M57" s="1422"/>
      <c r="N57" s="1419"/>
      <c r="O57" s="1419"/>
      <c r="P57" s="1419"/>
      <c r="Q57" s="1419"/>
      <c r="R57" s="1419"/>
      <c r="S57" s="1419"/>
      <c r="T57" s="1419"/>
      <c r="U57" s="1423"/>
      <c r="X57" s="645"/>
      <c r="Y57" s="897"/>
      <c r="Z57" s="897"/>
      <c r="AA57" s="897"/>
      <c r="AB57" s="897"/>
      <c r="AC57" s="897"/>
      <c r="AD57" s="897"/>
      <c r="AE57" s="897"/>
      <c r="AF57" s="897"/>
      <c r="AG57" s="897"/>
      <c r="AH57" s="897"/>
      <c r="AI57" s="897"/>
      <c r="AJ57" s="897"/>
      <c r="AK57" s="896"/>
      <c r="AL57" s="896"/>
      <c r="AM57" s="896"/>
      <c r="AN57" s="896"/>
      <c r="AO57" s="896"/>
      <c r="AP57" s="896"/>
      <c r="AQ57" s="896"/>
      <c r="AR57" s="896"/>
      <c r="AS57" s="896"/>
      <c r="AT57" s="896"/>
      <c r="AU57" s="896"/>
      <c r="AV57" s="896"/>
      <c r="AW57" s="896"/>
      <c r="AX57" s="896"/>
      <c r="AY57" s="896"/>
      <c r="AZ57" s="896"/>
      <c r="BA57" s="896"/>
      <c r="BB57" s="896"/>
      <c r="BC57" s="896"/>
      <c r="BD57" s="896"/>
      <c r="BE57" s="896"/>
      <c r="BF57" s="896"/>
      <c r="BG57" s="896"/>
      <c r="BH57" s="896"/>
      <c r="BI57" s="896"/>
      <c r="BJ57" s="896"/>
      <c r="BK57" s="896"/>
      <c r="BL57" s="896"/>
      <c r="BM57" s="896"/>
      <c r="BN57" s="896"/>
      <c r="BO57" s="646"/>
      <c r="BP57" s="896"/>
      <c r="BQ57" s="904"/>
      <c r="BR57" s="904"/>
      <c r="BS57" s="904"/>
      <c r="BT57" s="904"/>
      <c r="BU57" s="896"/>
      <c r="BV57" s="896"/>
      <c r="BW57" s="901"/>
      <c r="BX57" s="901"/>
      <c r="BY57" s="901"/>
      <c r="BZ57" s="901"/>
      <c r="CA57" s="901"/>
      <c r="CB57" s="901"/>
      <c r="CC57" s="901"/>
      <c r="CD57" s="901"/>
      <c r="CE57" s="901"/>
      <c r="CF57" s="901"/>
      <c r="CG57" s="901"/>
      <c r="CH57" s="901"/>
      <c r="CI57" s="929"/>
      <c r="FK57" s="714"/>
      <c r="FL57" s="714"/>
    </row>
    <row r="58" spans="1:168" s="640" customFormat="1">
      <c r="B58" s="1332" t="str">
        <f>'Servicing Calc'!B71</f>
        <v>Version 15/05/2026</v>
      </c>
      <c r="C58" s="1318"/>
      <c r="D58" s="1318"/>
      <c r="E58" s="1318"/>
      <c r="F58" s="1318"/>
      <c r="G58" s="1318"/>
      <c r="H58" s="1318"/>
      <c r="I58" s="1318"/>
      <c r="J58" s="1318"/>
      <c r="K58" s="1319"/>
      <c r="L58" s="1318"/>
      <c r="M58" s="1318"/>
      <c r="N58" s="1318"/>
      <c r="O58" s="1318"/>
      <c r="P58" s="1318"/>
      <c r="Q58" s="1318"/>
      <c r="R58" s="1318"/>
      <c r="S58" s="1318"/>
      <c r="T58" s="1318"/>
      <c r="U58" s="1333"/>
      <c r="X58" s="645"/>
      <c r="Y58" s="897"/>
      <c r="Z58" s="897"/>
      <c r="AA58" s="897"/>
      <c r="AB58" s="897"/>
      <c r="AC58" s="897"/>
      <c r="AD58" s="897"/>
      <c r="AE58" s="897"/>
      <c r="AF58" s="897"/>
      <c r="AG58" s="897"/>
      <c r="AH58" s="897"/>
      <c r="AI58" s="897"/>
      <c r="AJ58" s="897"/>
      <c r="AK58" s="896"/>
      <c r="AL58" s="896"/>
      <c r="AM58" s="896"/>
      <c r="AN58" s="896"/>
      <c r="AO58" s="896"/>
      <c r="AP58" s="896"/>
      <c r="AQ58" s="896"/>
      <c r="AR58" s="896"/>
      <c r="AS58" s="896"/>
      <c r="AT58" s="896"/>
      <c r="AU58" s="896"/>
      <c r="AV58" s="896"/>
      <c r="AW58" s="896"/>
      <c r="AX58" s="896"/>
      <c r="AY58" s="896"/>
      <c r="AZ58" s="896"/>
      <c r="BA58" s="896"/>
      <c r="BB58" s="896"/>
      <c r="BC58" s="896"/>
      <c r="BD58" s="896"/>
      <c r="BE58" s="896"/>
      <c r="BF58" s="896"/>
      <c r="BG58" s="896"/>
      <c r="BH58" s="896"/>
      <c r="BI58" s="896"/>
      <c r="BJ58" s="896"/>
      <c r="BK58" s="896"/>
      <c r="BL58" s="896"/>
      <c r="BM58" s="896"/>
      <c r="BN58" s="896"/>
      <c r="BO58" s="646"/>
      <c r="BP58" s="896"/>
      <c r="BQ58" s="896"/>
      <c r="BR58" s="904"/>
      <c r="BS58" s="904"/>
      <c r="BT58" s="904"/>
      <c r="BU58" s="904"/>
      <c r="BV58" s="896"/>
      <c r="BW58" s="901"/>
      <c r="BX58" s="901"/>
      <c r="BY58" s="901"/>
      <c r="BZ58" s="901"/>
      <c r="CA58" s="901"/>
      <c r="CB58" s="901"/>
      <c r="CC58" s="901"/>
      <c r="CD58" s="901"/>
      <c r="CE58" s="901"/>
      <c r="CF58" s="901"/>
      <c r="CG58" s="901"/>
      <c r="CH58" s="901"/>
      <c r="CI58" s="901"/>
      <c r="FK58" s="714"/>
      <c r="FL58" s="714"/>
    </row>
    <row r="59" spans="1:168" s="640" customFormat="1" ht="15" customHeight="1">
      <c r="B59" s="1324" t="s">
        <v>495</v>
      </c>
      <c r="C59" s="1322"/>
      <c r="D59" s="1322"/>
      <c r="E59" s="1322"/>
      <c r="F59" s="1322"/>
      <c r="G59" s="1322"/>
      <c r="H59" s="1322"/>
      <c r="I59" s="1322"/>
      <c r="J59" s="1322"/>
      <c r="K59" s="1322"/>
      <c r="L59" s="1322"/>
      <c r="M59" s="1322"/>
      <c r="N59" s="1322"/>
      <c r="O59" s="1322"/>
      <c r="P59" s="1322"/>
      <c r="Q59" s="1322"/>
      <c r="R59" s="1322"/>
      <c r="S59" s="1322"/>
      <c r="T59" s="1322"/>
      <c r="U59" s="1323"/>
      <c r="X59" s="645"/>
      <c r="Y59" s="897"/>
      <c r="Z59" s="897"/>
      <c r="AA59" s="897"/>
      <c r="AB59" s="897"/>
      <c r="AC59" s="897"/>
      <c r="AD59" s="897"/>
      <c r="AE59" s="897"/>
      <c r="AF59" s="897"/>
      <c r="AG59" s="897"/>
      <c r="AH59" s="897"/>
      <c r="AI59" s="897"/>
      <c r="AJ59" s="897"/>
      <c r="AK59" s="896"/>
      <c r="AL59" s="896"/>
      <c r="AM59" s="896"/>
      <c r="AN59" s="896"/>
      <c r="AO59" s="896"/>
      <c r="AP59" s="896"/>
      <c r="AQ59" s="896"/>
      <c r="AR59" s="896"/>
      <c r="AS59" s="896"/>
      <c r="AT59" s="896"/>
      <c r="AU59" s="896"/>
      <c r="AV59" s="896"/>
      <c r="AW59" s="896"/>
      <c r="AX59" s="896"/>
      <c r="AY59" s="896"/>
      <c r="AZ59" s="896"/>
      <c r="BA59" s="896"/>
      <c r="BB59" s="896"/>
      <c r="BC59" s="896"/>
      <c r="BD59" s="896"/>
      <c r="BE59" s="896"/>
      <c r="BF59" s="896"/>
      <c r="BG59" s="896"/>
      <c r="BH59" s="896"/>
      <c r="BI59" s="896"/>
      <c r="BJ59" s="896"/>
      <c r="BK59" s="896"/>
      <c r="BL59" s="896"/>
      <c r="BM59" s="896"/>
      <c r="BN59" s="896"/>
      <c r="BO59" s="646"/>
      <c r="BP59" s="896"/>
      <c r="BQ59" s="896"/>
      <c r="BR59" s="904"/>
      <c r="BS59" s="904"/>
      <c r="BT59" s="904"/>
      <c r="BU59" s="904"/>
      <c r="BV59" s="896"/>
      <c r="BW59" s="901"/>
      <c r="BX59" s="901"/>
      <c r="BY59" s="901"/>
      <c r="BZ59" s="901"/>
      <c r="CA59" s="901"/>
      <c r="CB59" s="901"/>
      <c r="CC59" s="901"/>
      <c r="CD59" s="901"/>
      <c r="CE59" s="901"/>
      <c r="CF59" s="901"/>
      <c r="CG59" s="901"/>
      <c r="CH59" s="901"/>
      <c r="CI59" s="901"/>
      <c r="FK59" s="714"/>
      <c r="FL59" s="714"/>
    </row>
    <row r="60" spans="1:168" s="640" customFormat="1">
      <c r="B60" s="1324"/>
      <c r="C60" s="1322"/>
      <c r="D60" s="1322"/>
      <c r="E60" s="1322"/>
      <c r="F60" s="1322"/>
      <c r="G60" s="1322"/>
      <c r="H60" s="1322"/>
      <c r="I60" s="1322"/>
      <c r="J60" s="1322"/>
      <c r="K60" s="1322"/>
      <c r="L60" s="1322"/>
      <c r="M60" s="1322"/>
      <c r="N60" s="1322"/>
      <c r="O60" s="1322"/>
      <c r="P60" s="1322"/>
      <c r="Q60" s="1322"/>
      <c r="R60" s="1322"/>
      <c r="S60" s="1322"/>
      <c r="T60" s="1322"/>
      <c r="U60" s="1323"/>
      <c r="X60" s="645"/>
      <c r="Y60" s="897"/>
      <c r="Z60" s="897"/>
      <c r="AA60" s="897"/>
      <c r="AB60" s="897"/>
      <c r="AC60" s="897"/>
      <c r="AD60" s="897"/>
      <c r="AE60" s="897"/>
      <c r="AF60" s="897"/>
      <c r="AG60" s="897"/>
      <c r="AH60" s="897"/>
      <c r="AI60" s="897"/>
      <c r="AJ60" s="897"/>
      <c r="AK60" s="896"/>
      <c r="AL60" s="896"/>
      <c r="AM60" s="896"/>
      <c r="AN60" s="896"/>
      <c r="AO60" s="896"/>
      <c r="AP60" s="896"/>
      <c r="AQ60" s="896"/>
      <c r="AR60" s="896"/>
      <c r="AS60" s="896"/>
      <c r="AT60" s="896"/>
      <c r="AU60" s="896"/>
      <c r="AV60" s="896"/>
      <c r="AW60" s="896"/>
      <c r="AX60" s="896"/>
      <c r="AY60" s="896"/>
      <c r="AZ60" s="896"/>
      <c r="BA60" s="896"/>
      <c r="BB60" s="896"/>
      <c r="BC60" s="896"/>
      <c r="BD60" s="896"/>
      <c r="BE60" s="896"/>
      <c r="BF60" s="896"/>
      <c r="BG60" s="896"/>
      <c r="BH60" s="896"/>
      <c r="BI60" s="896"/>
      <c r="BJ60" s="896"/>
      <c r="BK60" s="896"/>
      <c r="BL60" s="896"/>
      <c r="BM60" s="896"/>
      <c r="BN60" s="896"/>
      <c r="BO60" s="646"/>
      <c r="BP60" s="896"/>
      <c r="BQ60" s="896"/>
      <c r="BR60" s="904"/>
      <c r="BS60" s="904"/>
      <c r="BT60" s="904"/>
      <c r="BU60" s="904"/>
      <c r="BV60" s="896"/>
      <c r="BW60" s="901"/>
      <c r="BX60" s="901"/>
      <c r="BY60" s="901"/>
      <c r="BZ60" s="901"/>
      <c r="CA60" s="901"/>
      <c r="CB60" s="901"/>
      <c r="CC60" s="901"/>
      <c r="CD60" s="901"/>
      <c r="CE60" s="901"/>
      <c r="CF60" s="901"/>
      <c r="CG60" s="901"/>
      <c r="CH60" s="901"/>
      <c r="CI60" s="901"/>
      <c r="FK60" s="714"/>
      <c r="FL60" s="714"/>
    </row>
    <row r="61" spans="1:168" s="640" customFormat="1">
      <c r="B61" s="1324"/>
      <c r="C61" s="1322"/>
      <c r="D61" s="1322"/>
      <c r="E61" s="1322"/>
      <c r="F61" s="1322"/>
      <c r="G61" s="1322"/>
      <c r="H61" s="1322"/>
      <c r="I61" s="1322"/>
      <c r="J61" s="1322"/>
      <c r="K61" s="1322"/>
      <c r="L61" s="1322"/>
      <c r="M61" s="1322"/>
      <c r="N61" s="1322"/>
      <c r="O61" s="1322"/>
      <c r="P61" s="1322"/>
      <c r="Q61" s="1322"/>
      <c r="R61" s="1322"/>
      <c r="S61" s="1322"/>
      <c r="T61" s="1322"/>
      <c r="U61" s="1323"/>
      <c r="X61" s="645"/>
      <c r="Y61" s="897"/>
      <c r="Z61" s="897"/>
      <c r="AA61" s="897"/>
      <c r="AB61" s="897"/>
      <c r="AC61" s="897"/>
      <c r="AD61" s="897"/>
      <c r="AE61" s="897"/>
      <c r="AF61" s="897"/>
      <c r="AG61" s="897"/>
      <c r="AH61" s="897"/>
      <c r="AI61" s="897"/>
      <c r="AJ61" s="897"/>
      <c r="AK61" s="896"/>
      <c r="AL61" s="896"/>
      <c r="AM61" s="896"/>
      <c r="AN61" s="896"/>
      <c r="AO61" s="896"/>
      <c r="AP61" s="896"/>
      <c r="AQ61" s="896"/>
      <c r="AR61" s="896"/>
      <c r="AS61" s="896"/>
      <c r="AT61" s="896"/>
      <c r="AU61" s="896"/>
      <c r="AV61" s="896"/>
      <c r="AW61" s="896"/>
      <c r="AX61" s="896"/>
      <c r="AY61" s="896"/>
      <c r="AZ61" s="896"/>
      <c r="BA61" s="896"/>
      <c r="BB61" s="896"/>
      <c r="BC61" s="896"/>
      <c r="BD61" s="896"/>
      <c r="BE61" s="896"/>
      <c r="BF61" s="896"/>
      <c r="BG61" s="896"/>
      <c r="BH61" s="896"/>
      <c r="BI61" s="896"/>
      <c r="BJ61" s="896"/>
      <c r="BK61" s="896"/>
      <c r="BL61" s="896"/>
      <c r="BM61" s="896"/>
      <c r="BN61" s="896"/>
      <c r="BO61" s="646"/>
      <c r="BP61" s="896"/>
      <c r="BQ61" s="896"/>
      <c r="BR61" s="904"/>
      <c r="BS61" s="904"/>
      <c r="BT61" s="904"/>
      <c r="BU61" s="904"/>
      <c r="BV61" s="896"/>
      <c r="BW61" s="901"/>
      <c r="BX61" s="901"/>
      <c r="BY61" s="901"/>
      <c r="BZ61" s="901"/>
      <c r="CA61" s="901"/>
      <c r="CB61" s="901"/>
      <c r="CC61" s="901"/>
      <c r="CD61" s="901"/>
      <c r="CE61" s="901"/>
      <c r="CF61" s="901"/>
      <c r="CG61" s="901"/>
      <c r="CH61" s="901"/>
      <c r="CI61" s="901"/>
      <c r="FK61" s="714"/>
      <c r="FL61" s="714"/>
    </row>
    <row r="62" spans="1:168" s="640" customFormat="1">
      <c r="B62" s="1324"/>
      <c r="C62" s="1322"/>
      <c r="D62" s="1322"/>
      <c r="E62" s="1322"/>
      <c r="F62" s="1322"/>
      <c r="G62" s="1322"/>
      <c r="H62" s="1322"/>
      <c r="I62" s="1322"/>
      <c r="J62" s="1322"/>
      <c r="K62" s="1322"/>
      <c r="L62" s="1322"/>
      <c r="M62" s="1322"/>
      <c r="N62" s="1322"/>
      <c r="O62" s="1322"/>
      <c r="P62" s="1322"/>
      <c r="Q62" s="1322"/>
      <c r="R62" s="1322"/>
      <c r="S62" s="1322"/>
      <c r="T62" s="1322"/>
      <c r="U62" s="1323"/>
      <c r="X62" s="645"/>
      <c r="Y62" s="897"/>
      <c r="Z62" s="897"/>
      <c r="AA62" s="897"/>
      <c r="AB62" s="897"/>
      <c r="AC62" s="897"/>
      <c r="AD62" s="897"/>
      <c r="AE62" s="897"/>
      <c r="AF62" s="897"/>
      <c r="AG62" s="897"/>
      <c r="AH62" s="897"/>
      <c r="AI62" s="897"/>
      <c r="AJ62" s="897"/>
      <c r="AK62" s="896"/>
      <c r="AL62" s="896"/>
      <c r="AM62" s="896"/>
      <c r="AN62" s="896"/>
      <c r="AO62" s="896"/>
      <c r="AP62" s="896"/>
      <c r="AQ62" s="896"/>
      <c r="AR62" s="896"/>
      <c r="AS62" s="896"/>
      <c r="AT62" s="896"/>
      <c r="AU62" s="896"/>
      <c r="AV62" s="896"/>
      <c r="AW62" s="896"/>
      <c r="AX62" s="896"/>
      <c r="AY62" s="896"/>
      <c r="AZ62" s="896"/>
      <c r="BA62" s="896"/>
      <c r="BB62" s="896"/>
      <c r="BC62" s="896"/>
      <c r="BD62" s="896"/>
      <c r="BE62" s="896"/>
      <c r="BF62" s="896"/>
      <c r="BG62" s="896"/>
      <c r="BH62" s="896"/>
      <c r="BI62" s="896"/>
      <c r="BJ62" s="896"/>
      <c r="BK62" s="896"/>
      <c r="BL62" s="896"/>
      <c r="BM62" s="896"/>
      <c r="BN62" s="896"/>
      <c r="BO62" s="646"/>
      <c r="BP62" s="896"/>
      <c r="BQ62" s="896"/>
      <c r="BR62" s="904"/>
      <c r="BS62" s="904"/>
      <c r="BT62" s="904"/>
      <c r="BU62" s="904"/>
      <c r="BV62" s="896"/>
      <c r="BW62" s="901"/>
      <c r="BX62" s="901"/>
      <c r="BY62" s="901"/>
      <c r="BZ62" s="901"/>
      <c r="CA62" s="901"/>
      <c r="CB62" s="901"/>
      <c r="CC62" s="901"/>
      <c r="CD62" s="901"/>
      <c r="CE62" s="901"/>
      <c r="CF62" s="901"/>
      <c r="CG62" s="901"/>
      <c r="CH62" s="901"/>
      <c r="CI62" s="901"/>
      <c r="FK62" s="714"/>
      <c r="FL62" s="714"/>
    </row>
    <row r="63" spans="1:168" s="640" customFormat="1">
      <c r="B63" s="1324"/>
      <c r="C63" s="1322"/>
      <c r="D63" s="1322"/>
      <c r="E63" s="1322"/>
      <c r="F63" s="1322"/>
      <c r="G63" s="1322"/>
      <c r="H63" s="1322"/>
      <c r="I63" s="1322"/>
      <c r="J63" s="1322"/>
      <c r="K63" s="1322"/>
      <c r="L63" s="1322"/>
      <c r="M63" s="1322"/>
      <c r="N63" s="1322"/>
      <c r="O63" s="1322"/>
      <c r="P63" s="1322"/>
      <c r="Q63" s="1322"/>
      <c r="R63" s="1322"/>
      <c r="S63" s="1322"/>
      <c r="T63" s="1322"/>
      <c r="U63" s="1323"/>
      <c r="X63" s="645"/>
      <c r="Y63" s="897"/>
      <c r="Z63" s="897"/>
      <c r="AA63" s="897"/>
      <c r="AB63" s="897"/>
      <c r="AC63" s="897"/>
      <c r="AD63" s="897"/>
      <c r="AE63" s="897"/>
      <c r="AF63" s="897"/>
      <c r="AG63" s="897"/>
      <c r="AH63" s="897"/>
      <c r="AI63" s="897"/>
      <c r="AJ63" s="897"/>
      <c r="AK63" s="896"/>
      <c r="AL63" s="896"/>
      <c r="AM63" s="896"/>
      <c r="AN63" s="896"/>
      <c r="AO63" s="896"/>
      <c r="AP63" s="896"/>
      <c r="AQ63" s="896"/>
      <c r="AR63" s="896"/>
      <c r="AS63" s="896"/>
      <c r="AT63" s="896"/>
      <c r="AU63" s="896"/>
      <c r="AV63" s="896"/>
      <c r="AW63" s="896"/>
      <c r="AX63" s="896"/>
      <c r="AY63" s="896"/>
      <c r="AZ63" s="896"/>
      <c r="BA63" s="896"/>
      <c r="BB63" s="896"/>
      <c r="BC63" s="896"/>
      <c r="BD63" s="896"/>
      <c r="BE63" s="896"/>
      <c r="BF63" s="896"/>
      <c r="BG63" s="896"/>
      <c r="BH63" s="896"/>
      <c r="BI63" s="896"/>
      <c r="BJ63" s="896"/>
      <c r="BK63" s="896"/>
      <c r="BL63" s="896"/>
      <c r="BM63" s="896"/>
      <c r="BN63" s="896"/>
      <c r="BO63" s="646"/>
      <c r="BP63" s="896"/>
      <c r="BQ63" s="896"/>
      <c r="BR63" s="904"/>
      <c r="BS63" s="904"/>
      <c r="BT63" s="904"/>
      <c r="BU63" s="904"/>
      <c r="BV63" s="896"/>
      <c r="BW63" s="901"/>
      <c r="BX63" s="901"/>
      <c r="BY63" s="901"/>
      <c r="BZ63" s="901"/>
      <c r="CA63" s="901"/>
      <c r="CB63" s="901"/>
      <c r="CC63" s="901"/>
      <c r="CD63" s="901"/>
      <c r="CE63" s="901"/>
      <c r="CF63" s="901"/>
      <c r="CG63" s="901"/>
      <c r="CH63" s="901"/>
      <c r="CI63" s="901"/>
      <c r="FK63" s="714"/>
      <c r="FL63" s="714"/>
    </row>
    <row r="64" spans="1:168" s="640" customFormat="1">
      <c r="B64" s="1324"/>
      <c r="C64" s="1322"/>
      <c r="D64" s="1322"/>
      <c r="E64" s="1322"/>
      <c r="F64" s="1322"/>
      <c r="G64" s="1322"/>
      <c r="H64" s="1322"/>
      <c r="I64" s="1322"/>
      <c r="J64" s="1322"/>
      <c r="K64" s="1322"/>
      <c r="L64" s="1322"/>
      <c r="M64" s="1322"/>
      <c r="N64" s="1322"/>
      <c r="O64" s="1322"/>
      <c r="P64" s="1322"/>
      <c r="Q64" s="1322"/>
      <c r="R64" s="1322"/>
      <c r="S64" s="1322"/>
      <c r="T64" s="1322"/>
      <c r="U64" s="1323"/>
      <c r="X64" s="645"/>
      <c r="Y64" s="897"/>
      <c r="Z64" s="897"/>
      <c r="AA64" s="897"/>
      <c r="AB64" s="897"/>
      <c r="AC64" s="897"/>
      <c r="AD64" s="897"/>
      <c r="AE64" s="897"/>
      <c r="AF64" s="897"/>
      <c r="AG64" s="897"/>
      <c r="AH64" s="897"/>
      <c r="AI64" s="897"/>
      <c r="AJ64" s="897"/>
      <c r="AK64" s="896"/>
      <c r="AL64" s="896"/>
      <c r="AM64" s="896"/>
      <c r="AN64" s="896"/>
      <c r="AO64" s="896"/>
      <c r="AP64" s="896"/>
      <c r="AQ64" s="896"/>
      <c r="AR64" s="896"/>
      <c r="AS64" s="896"/>
      <c r="AT64" s="896"/>
      <c r="AU64" s="896"/>
      <c r="AV64" s="896"/>
      <c r="AW64" s="896"/>
      <c r="AX64" s="896"/>
      <c r="AY64" s="896"/>
      <c r="AZ64" s="896"/>
      <c r="BA64" s="896"/>
      <c r="BB64" s="896"/>
      <c r="BC64" s="896"/>
      <c r="BD64" s="896"/>
      <c r="BE64" s="896"/>
      <c r="BF64" s="896"/>
      <c r="BG64" s="896"/>
      <c r="BH64" s="896"/>
      <c r="BI64" s="896"/>
      <c r="BJ64" s="896"/>
      <c r="BK64" s="896"/>
      <c r="BL64" s="896"/>
      <c r="BM64" s="896"/>
      <c r="BN64" s="896"/>
      <c r="BO64" s="646"/>
      <c r="BP64" s="896"/>
      <c r="BQ64" s="896"/>
      <c r="BR64" s="904"/>
      <c r="BS64" s="904"/>
      <c r="BT64" s="904"/>
      <c r="BU64" s="904"/>
      <c r="BV64" s="896"/>
      <c r="BW64" s="901"/>
      <c r="BX64" s="901"/>
      <c r="BY64" s="901"/>
      <c r="BZ64" s="901"/>
      <c r="CA64" s="901"/>
      <c r="CB64" s="901"/>
      <c r="CC64" s="901"/>
      <c r="CD64" s="901"/>
      <c r="CE64" s="901"/>
      <c r="CF64" s="901"/>
      <c r="CG64" s="901"/>
      <c r="CH64" s="901"/>
      <c r="CI64" s="901"/>
      <c r="FK64" s="714"/>
      <c r="FL64" s="714"/>
    </row>
    <row r="65" spans="2:168" s="640" customFormat="1">
      <c r="B65" s="1324"/>
      <c r="C65" s="1322"/>
      <c r="D65" s="1322"/>
      <c r="E65" s="1322"/>
      <c r="F65" s="1322"/>
      <c r="G65" s="1322"/>
      <c r="H65" s="1322"/>
      <c r="I65" s="1322"/>
      <c r="J65" s="1322"/>
      <c r="K65" s="1322"/>
      <c r="L65" s="1322"/>
      <c r="M65" s="1322"/>
      <c r="N65" s="1322"/>
      <c r="O65" s="1322"/>
      <c r="P65" s="1322"/>
      <c r="Q65" s="1322"/>
      <c r="R65" s="1322"/>
      <c r="S65" s="1322"/>
      <c r="T65" s="1322"/>
      <c r="U65" s="1323"/>
      <c r="X65" s="645"/>
      <c r="Y65" s="897"/>
      <c r="Z65" s="897"/>
      <c r="AA65" s="897"/>
      <c r="AB65" s="897"/>
      <c r="AC65" s="897"/>
      <c r="AD65" s="897"/>
      <c r="AE65" s="897"/>
      <c r="AF65" s="897"/>
      <c r="AG65" s="897"/>
      <c r="AH65" s="897"/>
      <c r="AI65" s="897"/>
      <c r="AJ65" s="897"/>
      <c r="AK65" s="896"/>
      <c r="AL65" s="896"/>
      <c r="AM65" s="896"/>
      <c r="AN65" s="896"/>
      <c r="AO65" s="896"/>
      <c r="AP65" s="896"/>
      <c r="AQ65" s="896"/>
      <c r="AR65" s="896"/>
      <c r="AS65" s="896"/>
      <c r="AT65" s="896"/>
      <c r="AU65" s="896"/>
      <c r="AV65" s="896"/>
      <c r="AW65" s="896"/>
      <c r="AX65" s="896"/>
      <c r="AY65" s="896"/>
      <c r="AZ65" s="896"/>
      <c r="BA65" s="896"/>
      <c r="BB65" s="896"/>
      <c r="BC65" s="896"/>
      <c r="BD65" s="896"/>
      <c r="BE65" s="896"/>
      <c r="BF65" s="896"/>
      <c r="BG65" s="896"/>
      <c r="BH65" s="896"/>
      <c r="BI65" s="896"/>
      <c r="BJ65" s="896"/>
      <c r="BK65" s="896"/>
      <c r="BL65" s="896"/>
      <c r="BM65" s="896"/>
      <c r="BN65" s="896"/>
      <c r="BO65" s="646"/>
      <c r="BP65" s="896"/>
      <c r="BQ65" s="896"/>
      <c r="BR65" s="904"/>
      <c r="BS65" s="904"/>
      <c r="BT65" s="904"/>
      <c r="BU65" s="904"/>
      <c r="BV65" s="896"/>
      <c r="BW65" s="901"/>
      <c r="BX65" s="901"/>
      <c r="BY65" s="901"/>
      <c r="BZ65" s="901"/>
      <c r="CA65" s="901"/>
      <c r="CB65" s="901"/>
      <c r="CC65" s="901"/>
      <c r="CD65" s="901"/>
      <c r="CE65" s="901"/>
      <c r="CF65" s="901"/>
      <c r="CG65" s="901"/>
      <c r="CH65" s="901"/>
      <c r="CI65" s="901"/>
      <c r="FK65" s="714"/>
      <c r="FL65" s="714"/>
    </row>
    <row r="66" spans="2:168" s="640" customFormat="1">
      <c r="B66" s="1324"/>
      <c r="C66" s="1322"/>
      <c r="D66" s="1322"/>
      <c r="E66" s="1322"/>
      <c r="F66" s="1322"/>
      <c r="G66" s="1322"/>
      <c r="H66" s="1322"/>
      <c r="I66" s="1322"/>
      <c r="J66" s="1322"/>
      <c r="K66" s="1322"/>
      <c r="L66" s="1322"/>
      <c r="M66" s="1322"/>
      <c r="N66" s="1322"/>
      <c r="O66" s="1322"/>
      <c r="P66" s="1322"/>
      <c r="Q66" s="1322"/>
      <c r="R66" s="1322"/>
      <c r="S66" s="1322"/>
      <c r="T66" s="1322"/>
      <c r="U66" s="1323"/>
      <c r="X66" s="645"/>
      <c r="Y66" s="897"/>
      <c r="Z66" s="897"/>
      <c r="AA66" s="897"/>
      <c r="AB66" s="897"/>
      <c r="AC66" s="897"/>
      <c r="AD66" s="897"/>
      <c r="AE66" s="897"/>
      <c r="AF66" s="897"/>
      <c r="AG66" s="897"/>
      <c r="AH66" s="897"/>
      <c r="AI66" s="897"/>
      <c r="AJ66" s="897"/>
      <c r="AK66" s="896"/>
      <c r="AL66" s="896"/>
      <c r="AM66" s="896"/>
      <c r="AN66" s="896"/>
      <c r="AO66" s="896"/>
      <c r="AP66" s="896"/>
      <c r="AQ66" s="896"/>
      <c r="AR66" s="896"/>
      <c r="AS66" s="896"/>
      <c r="AT66" s="896"/>
      <c r="AU66" s="896"/>
      <c r="AV66" s="896"/>
      <c r="AW66" s="896"/>
      <c r="AX66" s="896"/>
      <c r="AY66" s="896"/>
      <c r="AZ66" s="896"/>
      <c r="BA66" s="896"/>
      <c r="BB66" s="896"/>
      <c r="BC66" s="896"/>
      <c r="BD66" s="896"/>
      <c r="BE66" s="896"/>
      <c r="BF66" s="896"/>
      <c r="BG66" s="896"/>
      <c r="BH66" s="896"/>
      <c r="BI66" s="896"/>
      <c r="BJ66" s="896"/>
      <c r="BK66" s="896"/>
      <c r="BL66" s="896"/>
      <c r="BM66" s="896"/>
      <c r="BN66" s="896"/>
      <c r="BO66" s="646"/>
      <c r="BP66" s="896"/>
      <c r="BQ66" s="896"/>
      <c r="BR66" s="904"/>
      <c r="BS66" s="904"/>
      <c r="BT66" s="904"/>
      <c r="BU66" s="904"/>
      <c r="BV66" s="896"/>
      <c r="BW66" s="901"/>
      <c r="BX66" s="901"/>
      <c r="BY66" s="901"/>
      <c r="BZ66" s="901"/>
      <c r="CA66" s="901"/>
      <c r="CB66" s="901"/>
      <c r="CC66" s="901"/>
      <c r="CD66" s="901"/>
      <c r="CE66" s="901"/>
      <c r="CF66" s="901"/>
      <c r="CG66" s="901"/>
      <c r="CH66" s="901"/>
      <c r="CI66" s="901"/>
      <c r="FK66" s="714"/>
      <c r="FL66" s="714"/>
    </row>
    <row r="67" spans="2:168" s="640" customFormat="1" ht="30.75" customHeight="1">
      <c r="B67" s="1325"/>
      <c r="C67" s="1326"/>
      <c r="D67" s="1326"/>
      <c r="E67" s="1326"/>
      <c r="F67" s="1326"/>
      <c r="G67" s="1326"/>
      <c r="H67" s="1326"/>
      <c r="I67" s="1326"/>
      <c r="J67" s="1326"/>
      <c r="K67" s="1326"/>
      <c r="L67" s="1326"/>
      <c r="M67" s="1326"/>
      <c r="N67" s="1326"/>
      <c r="O67" s="1326"/>
      <c r="P67" s="1326"/>
      <c r="Q67" s="1326"/>
      <c r="R67" s="1326"/>
      <c r="S67" s="1326"/>
      <c r="T67" s="1326"/>
      <c r="U67" s="1327"/>
      <c r="X67" s="645"/>
      <c r="Y67" s="897"/>
      <c r="Z67" s="897"/>
      <c r="AA67" s="897"/>
      <c r="AB67" s="897"/>
      <c r="AC67" s="897"/>
      <c r="AD67" s="897"/>
      <c r="AE67" s="897"/>
      <c r="AF67" s="897"/>
      <c r="AG67" s="897"/>
      <c r="AH67" s="897"/>
      <c r="AI67" s="897"/>
      <c r="AJ67" s="897"/>
      <c r="AK67" s="896"/>
      <c r="AL67" s="896"/>
      <c r="AM67" s="896"/>
      <c r="AN67" s="896"/>
      <c r="AO67" s="896"/>
      <c r="AP67" s="896"/>
      <c r="AQ67" s="896"/>
      <c r="AR67" s="896"/>
      <c r="AS67" s="896"/>
      <c r="AT67" s="896"/>
      <c r="AU67" s="896"/>
      <c r="AV67" s="896"/>
      <c r="AW67" s="896"/>
      <c r="AX67" s="896"/>
      <c r="AY67" s="896"/>
      <c r="AZ67" s="896"/>
      <c r="BA67" s="896"/>
      <c r="BB67" s="896"/>
      <c r="BC67" s="896"/>
      <c r="BD67" s="896"/>
      <c r="BE67" s="896"/>
      <c r="BF67" s="896"/>
      <c r="BG67" s="896"/>
      <c r="BH67" s="896"/>
      <c r="BI67" s="896"/>
      <c r="BJ67" s="896"/>
      <c r="BK67" s="896"/>
      <c r="BL67" s="896"/>
      <c r="BM67" s="896"/>
      <c r="BN67" s="896"/>
      <c r="BO67" s="646"/>
      <c r="BP67" s="896"/>
      <c r="BQ67" s="896"/>
      <c r="BR67" s="904"/>
      <c r="BS67" s="904"/>
      <c r="BT67" s="904"/>
      <c r="BU67" s="904"/>
      <c r="BV67" s="896"/>
      <c r="BW67" s="901"/>
      <c r="BX67" s="901"/>
      <c r="BY67" s="901"/>
      <c r="BZ67" s="901"/>
      <c r="CA67" s="901"/>
      <c r="CB67" s="901"/>
      <c r="CC67" s="901"/>
      <c r="CD67" s="901"/>
      <c r="CE67" s="901"/>
      <c r="CF67" s="901"/>
      <c r="CG67" s="901"/>
      <c r="CH67" s="901"/>
      <c r="CI67" s="901"/>
      <c r="FK67" s="714"/>
      <c r="FL67" s="714"/>
    </row>
    <row r="68" spans="2:168" s="640" customFormat="1" ht="15.75" customHeight="1">
      <c r="D68" s="641"/>
      <c r="G68" s="642"/>
      <c r="J68" s="642"/>
      <c r="K68" s="643"/>
      <c r="M68" s="644"/>
      <c r="N68" s="642"/>
      <c r="Q68" s="642"/>
      <c r="T68" s="642"/>
      <c r="U68" s="643"/>
      <c r="X68" s="645"/>
      <c r="Y68" s="646"/>
      <c r="Z68" s="673"/>
      <c r="AA68" s="646"/>
      <c r="AB68" s="646"/>
      <c r="AC68" s="646"/>
      <c r="AD68" s="646"/>
      <c r="AE68" s="646"/>
      <c r="AF68" s="646"/>
      <c r="AG68" s="646"/>
      <c r="AH68" s="646"/>
      <c r="AI68" s="646"/>
      <c r="AJ68" s="646"/>
      <c r="AK68" s="646"/>
      <c r="AL68" s="646"/>
      <c r="AM68" s="646"/>
      <c r="AN68" s="646"/>
      <c r="AO68" s="646"/>
      <c r="AP68" s="646"/>
      <c r="AQ68" s="646"/>
      <c r="AR68" s="646"/>
      <c r="AS68" s="646"/>
      <c r="AT68" s="646"/>
      <c r="AU68" s="646"/>
      <c r="AV68" s="646"/>
      <c r="AW68" s="646"/>
      <c r="AX68" s="646"/>
      <c r="AY68" s="646"/>
      <c r="AZ68" s="646"/>
      <c r="BA68" s="646"/>
      <c r="BB68" s="646"/>
      <c r="BC68" s="646"/>
      <c r="BD68" s="646"/>
      <c r="BE68" s="646"/>
      <c r="BF68" s="646"/>
      <c r="BG68" s="646"/>
      <c r="BH68" s="646"/>
      <c r="BI68" s="646"/>
      <c r="BJ68" s="646"/>
      <c r="BK68" s="646"/>
      <c r="BL68" s="646"/>
      <c r="BM68" s="646"/>
      <c r="BN68" s="646"/>
      <c r="BO68" s="646"/>
      <c r="BP68" s="646"/>
      <c r="BQ68" s="646"/>
      <c r="BR68" s="645"/>
      <c r="BS68" s="645"/>
      <c r="BT68" s="645"/>
      <c r="BU68" s="645"/>
      <c r="BV68" s="646"/>
      <c r="BW68" s="647"/>
      <c r="BX68" s="647"/>
      <c r="BY68" s="647"/>
      <c r="BZ68" s="647"/>
      <c r="CA68" s="647"/>
      <c r="CB68" s="647"/>
      <c r="CC68" s="647"/>
      <c r="CD68" s="647"/>
      <c r="CE68" s="647"/>
      <c r="CF68" s="647"/>
      <c r="CG68" s="647"/>
      <c r="CH68" s="647"/>
      <c r="CI68" s="647"/>
      <c r="FK68" s="714"/>
      <c r="FL68" s="714"/>
    </row>
    <row r="69" spans="2:168" s="640" customFormat="1" ht="15.75" customHeight="1">
      <c r="D69" s="641"/>
      <c r="G69" s="642"/>
      <c r="J69" s="642"/>
      <c r="K69" s="643"/>
      <c r="M69" s="644"/>
      <c r="N69" s="642"/>
      <c r="Q69" s="642"/>
      <c r="T69" s="642"/>
      <c r="U69" s="643"/>
      <c r="X69" s="645"/>
      <c r="Y69" s="646"/>
      <c r="Z69" s="673"/>
      <c r="AA69" s="646"/>
      <c r="AB69" s="646"/>
      <c r="AC69" s="646"/>
      <c r="AD69" s="646"/>
      <c r="AE69" s="646"/>
      <c r="AF69" s="646"/>
      <c r="AG69" s="646"/>
      <c r="AH69" s="646"/>
      <c r="AI69" s="646"/>
      <c r="AJ69" s="646"/>
      <c r="AK69" s="646"/>
      <c r="AL69" s="646"/>
      <c r="AM69" s="646"/>
      <c r="AN69" s="646"/>
      <c r="AO69" s="646"/>
      <c r="AP69" s="646"/>
      <c r="AQ69" s="646"/>
      <c r="AR69" s="646"/>
      <c r="AS69" s="646"/>
      <c r="AT69" s="646"/>
      <c r="AU69" s="646"/>
      <c r="AV69" s="646"/>
      <c r="AW69" s="646"/>
      <c r="AX69" s="646"/>
      <c r="AY69" s="646"/>
      <c r="AZ69" s="646"/>
      <c r="BA69" s="646"/>
      <c r="BB69" s="646"/>
      <c r="BC69" s="646"/>
      <c r="BD69" s="646"/>
      <c r="BE69" s="646"/>
      <c r="BF69" s="646"/>
      <c r="BG69" s="646"/>
      <c r="BH69" s="646"/>
      <c r="BI69" s="646"/>
      <c r="BJ69" s="646"/>
      <c r="BK69" s="646"/>
      <c r="BL69" s="646"/>
      <c r="BM69" s="646"/>
      <c r="BN69" s="646"/>
      <c r="BO69" s="646"/>
      <c r="BP69" s="646"/>
      <c r="BQ69" s="646"/>
      <c r="BR69" s="645"/>
      <c r="BS69" s="645"/>
      <c r="BT69" s="645"/>
      <c r="BU69" s="645"/>
      <c r="BV69" s="646"/>
      <c r="BW69" s="647"/>
      <c r="BX69" s="647"/>
      <c r="BY69" s="647"/>
      <c r="BZ69" s="647"/>
      <c r="CA69" s="647"/>
      <c r="CB69" s="647"/>
      <c r="CC69" s="647"/>
      <c r="CD69" s="647"/>
      <c r="CE69" s="647"/>
      <c r="CF69" s="647"/>
      <c r="CG69" s="647"/>
      <c r="CH69" s="647"/>
      <c r="CI69" s="647"/>
      <c r="FK69" s="714"/>
      <c r="FL69" s="714"/>
    </row>
    <row r="70" spans="2:168" s="640" customFormat="1" ht="15.75" customHeight="1">
      <c r="D70" s="641"/>
      <c r="G70" s="642"/>
      <c r="J70" s="642"/>
      <c r="K70" s="643"/>
      <c r="M70" s="644"/>
      <c r="N70" s="642"/>
      <c r="Q70" s="642"/>
      <c r="T70" s="642"/>
      <c r="U70" s="643"/>
      <c r="X70" s="645"/>
      <c r="Y70" s="646"/>
      <c r="Z70" s="673"/>
      <c r="AA70" s="646"/>
      <c r="AB70" s="646"/>
      <c r="AC70" s="646"/>
      <c r="AD70" s="646"/>
      <c r="AE70" s="646"/>
      <c r="AF70" s="646"/>
      <c r="AG70" s="646"/>
      <c r="AH70" s="646"/>
      <c r="AI70" s="646"/>
      <c r="AJ70" s="646"/>
      <c r="AK70" s="646"/>
      <c r="AL70" s="646"/>
      <c r="AM70" s="646"/>
      <c r="AN70" s="646"/>
      <c r="AO70" s="646"/>
      <c r="AP70" s="646"/>
      <c r="AQ70" s="646"/>
      <c r="AR70" s="646"/>
      <c r="AS70" s="646"/>
      <c r="AT70" s="646"/>
      <c r="AU70" s="646"/>
      <c r="AV70" s="646"/>
      <c r="AW70" s="646"/>
      <c r="AX70" s="646"/>
      <c r="AY70" s="646"/>
      <c r="AZ70" s="646"/>
      <c r="BA70" s="646"/>
      <c r="BB70" s="646"/>
      <c r="BC70" s="646"/>
      <c r="BD70" s="646"/>
      <c r="BE70" s="646"/>
      <c r="BF70" s="646"/>
      <c r="BG70" s="646"/>
      <c r="BH70" s="646"/>
      <c r="BI70" s="646"/>
      <c r="BJ70" s="646"/>
      <c r="BK70" s="646"/>
      <c r="BL70" s="646"/>
      <c r="BM70" s="646"/>
      <c r="BN70" s="646"/>
      <c r="BO70" s="646"/>
      <c r="BP70" s="646"/>
      <c r="BQ70" s="646"/>
      <c r="BR70" s="645"/>
      <c r="BS70" s="645"/>
      <c r="BT70" s="645"/>
      <c r="BU70" s="645"/>
      <c r="BV70" s="646"/>
      <c r="BW70" s="647"/>
      <c r="BX70" s="647"/>
      <c r="BY70" s="647"/>
      <c r="BZ70" s="647"/>
      <c r="CA70" s="647"/>
      <c r="CB70" s="647"/>
      <c r="CC70" s="647"/>
      <c r="CD70" s="647"/>
      <c r="CE70" s="647"/>
      <c r="CF70" s="647"/>
      <c r="CG70" s="647"/>
      <c r="CH70" s="647"/>
      <c r="CI70" s="647"/>
      <c r="FK70" s="714"/>
      <c r="FL70" s="714"/>
    </row>
    <row r="71" spans="2:168" s="640" customFormat="1" ht="15.75" customHeight="1">
      <c r="D71" s="641"/>
      <c r="G71" s="642"/>
      <c r="J71" s="642"/>
      <c r="K71" s="643"/>
      <c r="M71" s="644"/>
      <c r="N71" s="642"/>
      <c r="Q71" s="642"/>
      <c r="T71" s="642"/>
      <c r="U71" s="643"/>
      <c r="X71" s="645"/>
      <c r="Y71" s="646"/>
      <c r="Z71" s="673"/>
      <c r="AA71" s="646"/>
      <c r="AB71" s="646"/>
      <c r="AC71" s="646"/>
      <c r="AD71" s="646"/>
      <c r="AE71" s="646"/>
      <c r="AF71" s="646"/>
      <c r="AG71" s="646"/>
      <c r="AH71" s="646"/>
      <c r="AI71" s="646"/>
      <c r="AJ71" s="646"/>
      <c r="AK71" s="646"/>
      <c r="AL71" s="646"/>
      <c r="AM71" s="646"/>
      <c r="AN71" s="646"/>
      <c r="AO71" s="646"/>
      <c r="AP71" s="646"/>
      <c r="AQ71" s="646"/>
      <c r="AR71" s="646"/>
      <c r="AS71" s="646"/>
      <c r="AT71" s="646"/>
      <c r="AU71" s="646"/>
      <c r="AV71" s="646"/>
      <c r="AW71" s="646"/>
      <c r="AX71" s="646"/>
      <c r="AY71" s="646"/>
      <c r="AZ71" s="646"/>
      <c r="BA71" s="646"/>
      <c r="BB71" s="646"/>
      <c r="BC71" s="646"/>
      <c r="BD71" s="646"/>
      <c r="BE71" s="646"/>
      <c r="BF71" s="646"/>
      <c r="BG71" s="646"/>
      <c r="BH71" s="646"/>
      <c r="BI71" s="646"/>
      <c r="BJ71" s="646"/>
      <c r="BK71" s="646"/>
      <c r="BL71" s="646"/>
      <c r="BM71" s="646"/>
      <c r="BN71" s="646"/>
      <c r="BO71" s="646"/>
      <c r="BP71" s="646"/>
      <c r="BQ71" s="646"/>
      <c r="BR71" s="645"/>
      <c r="BS71" s="645"/>
      <c r="BT71" s="645"/>
      <c r="BU71" s="645"/>
      <c r="BV71" s="646"/>
      <c r="BW71" s="647"/>
      <c r="BX71" s="647"/>
      <c r="BY71" s="647"/>
      <c r="BZ71" s="647"/>
      <c r="CA71" s="647"/>
      <c r="CB71" s="647"/>
      <c r="CC71" s="647"/>
      <c r="CD71" s="647"/>
      <c r="CE71" s="647"/>
      <c r="CF71" s="647"/>
      <c r="CG71" s="647"/>
      <c r="CH71" s="647"/>
      <c r="CI71" s="647"/>
      <c r="FK71" s="714"/>
      <c r="FL71" s="714"/>
    </row>
    <row r="72" spans="2:168" s="640" customFormat="1" ht="15.75" customHeight="1">
      <c r="D72" s="641"/>
      <c r="G72" s="642"/>
      <c r="J72" s="642"/>
      <c r="K72" s="643"/>
      <c r="M72" s="644"/>
      <c r="N72" s="642"/>
      <c r="Q72" s="642"/>
      <c r="T72" s="642"/>
      <c r="U72" s="643"/>
      <c r="X72" s="645"/>
      <c r="Y72" s="646"/>
      <c r="Z72" s="673"/>
      <c r="AA72" s="646"/>
      <c r="AB72" s="646"/>
      <c r="AC72" s="646"/>
      <c r="AD72" s="646"/>
      <c r="AE72" s="646"/>
      <c r="AF72" s="646"/>
      <c r="AG72" s="646"/>
      <c r="AH72" s="646"/>
      <c r="AI72" s="646"/>
      <c r="AJ72" s="646"/>
      <c r="AK72" s="646"/>
      <c r="AL72" s="646"/>
      <c r="AM72" s="646"/>
      <c r="AN72" s="646"/>
      <c r="AO72" s="646"/>
      <c r="AP72" s="646"/>
      <c r="AQ72" s="646"/>
      <c r="AR72" s="646"/>
      <c r="AS72" s="646"/>
      <c r="AT72" s="646"/>
      <c r="AU72" s="646"/>
      <c r="AV72" s="646"/>
      <c r="AW72" s="646"/>
      <c r="AX72" s="646"/>
      <c r="AY72" s="646"/>
      <c r="AZ72" s="646"/>
      <c r="BA72" s="646"/>
      <c r="BB72" s="646"/>
      <c r="BC72" s="646"/>
      <c r="BD72" s="646"/>
      <c r="BE72" s="646"/>
      <c r="BF72" s="646"/>
      <c r="BG72" s="646"/>
      <c r="BH72" s="646"/>
      <c r="BI72" s="646"/>
      <c r="BJ72" s="646"/>
      <c r="BK72" s="646"/>
      <c r="BL72" s="646"/>
      <c r="BM72" s="646"/>
      <c r="BN72" s="646"/>
      <c r="BO72" s="646"/>
      <c r="BP72" s="646"/>
      <c r="BQ72" s="646"/>
      <c r="BR72" s="645"/>
      <c r="BS72" s="645"/>
      <c r="BT72" s="645"/>
      <c r="BU72" s="645"/>
      <c r="BV72" s="646"/>
      <c r="BW72" s="647"/>
      <c r="BX72" s="647"/>
      <c r="BY72" s="647"/>
      <c r="BZ72" s="647"/>
      <c r="CA72" s="647"/>
      <c r="CB72" s="647"/>
      <c r="CC72" s="647"/>
      <c r="CD72" s="647"/>
      <c r="CE72" s="647"/>
      <c r="CF72" s="647"/>
      <c r="CG72" s="647"/>
      <c r="CH72" s="647"/>
      <c r="CI72" s="647"/>
      <c r="FK72" s="714"/>
      <c r="FL72" s="714"/>
    </row>
    <row r="73" spans="2:168" s="640" customFormat="1" ht="15.75" customHeight="1">
      <c r="D73" s="641"/>
      <c r="G73" s="642"/>
      <c r="J73" s="642"/>
      <c r="K73" s="643"/>
      <c r="M73" s="644"/>
      <c r="N73" s="642"/>
      <c r="Q73" s="642"/>
      <c r="T73" s="642"/>
      <c r="U73" s="643"/>
      <c r="X73" s="645"/>
      <c r="Y73" s="646"/>
      <c r="Z73" s="673"/>
      <c r="AA73" s="646"/>
      <c r="AB73" s="646"/>
      <c r="AC73" s="646"/>
      <c r="AD73" s="646"/>
      <c r="AE73" s="646"/>
      <c r="AF73" s="646"/>
      <c r="AG73" s="646"/>
      <c r="AH73" s="646"/>
      <c r="AI73" s="646"/>
      <c r="AJ73" s="646"/>
      <c r="AK73" s="646"/>
      <c r="AL73" s="646"/>
      <c r="AM73" s="646"/>
      <c r="AN73" s="646"/>
      <c r="AO73" s="646"/>
      <c r="AP73" s="646"/>
      <c r="AQ73" s="646"/>
      <c r="AR73" s="646"/>
      <c r="AS73" s="646"/>
      <c r="AT73" s="646"/>
      <c r="AU73" s="646"/>
      <c r="AV73" s="646"/>
      <c r="AW73" s="646"/>
      <c r="AX73" s="646"/>
      <c r="AY73" s="646"/>
      <c r="AZ73" s="646"/>
      <c r="BA73" s="646"/>
      <c r="BB73" s="646"/>
      <c r="BC73" s="646"/>
      <c r="BD73" s="646"/>
      <c r="BE73" s="646"/>
      <c r="BF73" s="646"/>
      <c r="BG73" s="646"/>
      <c r="BH73" s="646"/>
      <c r="BI73" s="646"/>
      <c r="BJ73" s="646"/>
      <c r="BK73" s="646"/>
      <c r="BL73" s="646"/>
      <c r="BM73" s="646"/>
      <c r="BN73" s="646"/>
      <c r="BO73" s="646"/>
      <c r="BP73" s="646"/>
      <c r="BQ73" s="646"/>
      <c r="BR73" s="645"/>
      <c r="BS73" s="645"/>
      <c r="BT73" s="645"/>
      <c r="BU73" s="645"/>
      <c r="BV73" s="646"/>
      <c r="BW73" s="647"/>
      <c r="BX73" s="647"/>
      <c r="BY73" s="647"/>
      <c r="BZ73" s="647"/>
      <c r="CA73" s="647"/>
      <c r="CB73" s="647"/>
      <c r="CC73" s="647"/>
      <c r="CD73" s="647"/>
      <c r="CE73" s="647"/>
      <c r="CF73" s="647"/>
      <c r="CG73" s="647"/>
      <c r="CH73" s="647"/>
      <c r="CI73" s="647"/>
      <c r="FK73" s="714"/>
      <c r="FL73" s="714"/>
    </row>
    <row r="74" spans="2:168" s="640" customFormat="1" ht="15.75" customHeight="1">
      <c r="D74" s="641"/>
      <c r="G74" s="642"/>
      <c r="J74" s="642"/>
      <c r="K74" s="643"/>
      <c r="M74" s="644"/>
      <c r="N74" s="642"/>
      <c r="Q74" s="642"/>
      <c r="T74" s="642"/>
      <c r="U74" s="643"/>
      <c r="X74" s="645"/>
      <c r="Y74" s="646"/>
      <c r="Z74" s="673"/>
      <c r="AA74" s="646"/>
      <c r="AB74" s="646"/>
      <c r="AC74" s="646"/>
      <c r="AD74" s="646"/>
      <c r="AE74" s="646"/>
      <c r="AF74" s="646"/>
      <c r="AG74" s="646"/>
      <c r="AH74" s="646"/>
      <c r="AI74" s="646"/>
      <c r="AJ74" s="646"/>
      <c r="AK74" s="646"/>
      <c r="AL74" s="646"/>
      <c r="AM74" s="646"/>
      <c r="AN74" s="646"/>
      <c r="AO74" s="646"/>
      <c r="AP74" s="646"/>
      <c r="AQ74" s="646"/>
      <c r="AR74" s="646"/>
      <c r="AS74" s="646"/>
      <c r="AT74" s="646"/>
      <c r="AU74" s="646"/>
      <c r="AV74" s="646"/>
      <c r="AW74" s="646"/>
      <c r="AX74" s="646"/>
      <c r="AY74" s="646"/>
      <c r="AZ74" s="646"/>
      <c r="BA74" s="646"/>
      <c r="BB74" s="646"/>
      <c r="BC74" s="646"/>
      <c r="BD74" s="646"/>
      <c r="BE74" s="646"/>
      <c r="BF74" s="646"/>
      <c r="BG74" s="646"/>
      <c r="BH74" s="646"/>
      <c r="BI74" s="646"/>
      <c r="BJ74" s="646"/>
      <c r="BK74" s="646"/>
      <c r="BL74" s="646"/>
      <c r="BM74" s="646"/>
      <c r="BN74" s="646"/>
      <c r="BO74" s="646"/>
      <c r="BP74" s="646"/>
      <c r="BQ74" s="646"/>
      <c r="BR74" s="645"/>
      <c r="BS74" s="645"/>
      <c r="BT74" s="645"/>
      <c r="BU74" s="645"/>
      <c r="BV74" s="646"/>
      <c r="BW74" s="647"/>
      <c r="BX74" s="647"/>
      <c r="BY74" s="647"/>
      <c r="BZ74" s="647"/>
      <c r="CA74" s="647"/>
      <c r="CB74" s="647"/>
      <c r="CC74" s="647"/>
      <c r="CD74" s="647"/>
      <c r="CE74" s="647"/>
      <c r="CF74" s="647"/>
      <c r="CG74" s="647"/>
      <c r="CH74" s="647"/>
      <c r="CI74" s="647"/>
      <c r="FK74" s="714"/>
      <c r="FL74" s="714"/>
    </row>
    <row r="75" spans="2:168" s="640" customFormat="1" ht="15.75" customHeight="1">
      <c r="D75" s="641"/>
      <c r="G75" s="642"/>
      <c r="J75" s="642"/>
      <c r="K75" s="643"/>
      <c r="M75" s="644"/>
      <c r="N75" s="642"/>
      <c r="Q75" s="642"/>
      <c r="T75" s="642"/>
      <c r="U75" s="643"/>
      <c r="X75" s="645"/>
      <c r="Y75" s="646"/>
      <c r="Z75" s="673"/>
      <c r="AA75" s="646"/>
      <c r="AB75" s="646"/>
      <c r="AC75" s="646"/>
      <c r="AD75" s="646"/>
      <c r="AE75" s="646"/>
      <c r="AF75" s="646"/>
      <c r="AG75" s="646"/>
      <c r="AH75" s="646"/>
      <c r="AI75" s="646"/>
      <c r="AJ75" s="646"/>
      <c r="AK75" s="646"/>
      <c r="AL75" s="646"/>
      <c r="AM75" s="646"/>
      <c r="AN75" s="646"/>
      <c r="AO75" s="646"/>
      <c r="AP75" s="646"/>
      <c r="AQ75" s="646"/>
      <c r="AR75" s="646"/>
      <c r="AS75" s="646"/>
      <c r="AT75" s="646"/>
      <c r="AU75" s="646"/>
      <c r="AV75" s="646"/>
      <c r="AW75" s="646"/>
      <c r="AX75" s="646"/>
      <c r="AY75" s="646"/>
      <c r="AZ75" s="646"/>
      <c r="BA75" s="646"/>
      <c r="BB75" s="646"/>
      <c r="BC75" s="646"/>
      <c r="BD75" s="646"/>
      <c r="BE75" s="646"/>
      <c r="BF75" s="646"/>
      <c r="BG75" s="646"/>
      <c r="BH75" s="646"/>
      <c r="BI75" s="646"/>
      <c r="BJ75" s="646"/>
      <c r="BK75" s="646"/>
      <c r="BL75" s="646"/>
      <c r="BM75" s="646"/>
      <c r="BN75" s="646"/>
      <c r="BO75" s="646"/>
      <c r="BP75" s="646"/>
      <c r="BQ75" s="646"/>
      <c r="BR75" s="645"/>
      <c r="BS75" s="645"/>
      <c r="BT75" s="645"/>
      <c r="BU75" s="645"/>
      <c r="BV75" s="646"/>
      <c r="BW75" s="647"/>
      <c r="BX75" s="647"/>
      <c r="BY75" s="647"/>
      <c r="BZ75" s="647"/>
      <c r="CA75" s="647"/>
      <c r="CB75" s="647"/>
      <c r="CC75" s="647"/>
      <c r="CD75" s="647"/>
      <c r="CE75" s="647"/>
      <c r="CF75" s="647"/>
      <c r="CG75" s="647"/>
      <c r="CH75" s="647"/>
      <c r="CI75" s="647"/>
      <c r="FK75" s="714"/>
      <c r="FL75" s="714"/>
    </row>
    <row r="76" spans="2:168" s="640" customFormat="1" ht="15.75" customHeight="1">
      <c r="D76" s="641"/>
      <c r="G76" s="642"/>
      <c r="J76" s="642"/>
      <c r="K76" s="643"/>
      <c r="M76" s="644"/>
      <c r="N76" s="642"/>
      <c r="Q76" s="642"/>
      <c r="T76" s="642"/>
      <c r="U76" s="643"/>
      <c r="X76" s="645"/>
      <c r="Y76" s="646"/>
      <c r="Z76" s="673"/>
      <c r="AA76" s="646"/>
      <c r="AB76" s="646"/>
      <c r="AC76" s="646"/>
      <c r="AD76" s="646"/>
      <c r="AE76" s="646"/>
      <c r="AF76" s="646"/>
      <c r="AG76" s="646"/>
      <c r="AH76" s="646"/>
      <c r="AI76" s="646"/>
      <c r="AJ76" s="646"/>
      <c r="AK76" s="646"/>
      <c r="AL76" s="646"/>
      <c r="AM76" s="646"/>
      <c r="AN76" s="646"/>
      <c r="AO76" s="646"/>
      <c r="AP76" s="646"/>
      <c r="AQ76" s="646"/>
      <c r="AR76" s="646"/>
      <c r="AS76" s="646"/>
      <c r="AT76" s="646"/>
      <c r="AU76" s="646"/>
      <c r="AV76" s="646"/>
      <c r="AW76" s="646"/>
      <c r="AX76" s="646"/>
      <c r="AY76" s="646"/>
      <c r="AZ76" s="646"/>
      <c r="BA76" s="646"/>
      <c r="BB76" s="646"/>
      <c r="BC76" s="646"/>
      <c r="BD76" s="646"/>
      <c r="BE76" s="646"/>
      <c r="BF76" s="646"/>
      <c r="BG76" s="646"/>
      <c r="BH76" s="646"/>
      <c r="BI76" s="646"/>
      <c r="BJ76" s="646"/>
      <c r="BK76" s="646"/>
      <c r="BL76" s="646"/>
      <c r="BM76" s="646"/>
      <c r="BN76" s="646"/>
      <c r="BO76" s="646"/>
      <c r="BP76" s="646"/>
      <c r="BQ76" s="646"/>
      <c r="BR76" s="645"/>
      <c r="BS76" s="645"/>
      <c r="BT76" s="645"/>
      <c r="BU76" s="645"/>
      <c r="BV76" s="646"/>
      <c r="BW76" s="647"/>
      <c r="BX76" s="647"/>
      <c r="BY76" s="647"/>
      <c r="BZ76" s="647"/>
      <c r="CA76" s="647"/>
      <c r="CB76" s="647"/>
      <c r="CC76" s="647"/>
      <c r="CD76" s="647"/>
      <c r="CE76" s="647"/>
      <c r="CF76" s="647"/>
      <c r="CG76" s="647"/>
      <c r="CH76" s="647"/>
      <c r="CI76" s="647"/>
      <c r="FK76" s="714"/>
      <c r="FL76" s="714"/>
    </row>
    <row r="77" spans="2:168" s="640" customFormat="1" ht="15.75" customHeight="1">
      <c r="D77" s="641"/>
      <c r="G77" s="642"/>
      <c r="J77" s="642"/>
      <c r="K77" s="643"/>
      <c r="M77" s="644"/>
      <c r="N77" s="642"/>
      <c r="Q77" s="642"/>
      <c r="T77" s="642"/>
      <c r="U77" s="643"/>
      <c r="X77" s="645"/>
      <c r="Y77" s="646"/>
      <c r="Z77" s="673"/>
      <c r="AA77" s="646"/>
      <c r="AB77" s="646"/>
      <c r="AC77" s="646"/>
      <c r="AD77" s="646"/>
      <c r="AE77" s="646"/>
      <c r="AF77" s="646"/>
      <c r="AG77" s="646"/>
      <c r="AH77" s="646"/>
      <c r="AI77" s="646"/>
      <c r="AJ77" s="646"/>
      <c r="AK77" s="646"/>
      <c r="AL77" s="646"/>
      <c r="AM77" s="646"/>
      <c r="AN77" s="646"/>
      <c r="AO77" s="646"/>
      <c r="AP77" s="646"/>
      <c r="AQ77" s="646"/>
      <c r="AR77" s="646"/>
      <c r="AS77" s="646"/>
      <c r="AT77" s="646"/>
      <c r="AU77" s="646"/>
      <c r="AV77" s="646"/>
      <c r="AW77" s="646"/>
      <c r="AX77" s="646"/>
      <c r="AY77" s="646"/>
      <c r="AZ77" s="646"/>
      <c r="BA77" s="646"/>
      <c r="BB77" s="646"/>
      <c r="BC77" s="646"/>
      <c r="BD77" s="646"/>
      <c r="BE77" s="646"/>
      <c r="BF77" s="646"/>
      <c r="BG77" s="646"/>
      <c r="BH77" s="646"/>
      <c r="BI77" s="646"/>
      <c r="BJ77" s="646"/>
      <c r="BK77" s="646"/>
      <c r="BL77" s="646"/>
      <c r="BM77" s="646"/>
      <c r="BN77" s="646"/>
      <c r="BO77" s="646"/>
      <c r="BP77" s="646"/>
      <c r="BQ77" s="646"/>
      <c r="BR77" s="645"/>
      <c r="BS77" s="645"/>
      <c r="BT77" s="645"/>
      <c r="BU77" s="645"/>
      <c r="BV77" s="646"/>
      <c r="BW77" s="647"/>
      <c r="BX77" s="647"/>
      <c r="BY77" s="647"/>
      <c r="BZ77" s="647"/>
      <c r="CA77" s="647"/>
      <c r="CB77" s="647"/>
      <c r="CC77" s="647"/>
      <c r="CD77" s="647"/>
      <c r="CE77" s="647"/>
      <c r="CF77" s="647"/>
      <c r="CG77" s="647"/>
      <c r="CH77" s="647"/>
      <c r="CI77" s="647"/>
      <c r="FK77" s="714"/>
      <c r="FL77" s="714"/>
    </row>
    <row r="78" spans="2:168" s="640" customFormat="1" ht="15.75" customHeight="1">
      <c r="D78" s="641"/>
      <c r="G78" s="642"/>
      <c r="J78" s="642"/>
      <c r="K78" s="643"/>
      <c r="M78" s="644"/>
      <c r="N78" s="642"/>
      <c r="Q78" s="642"/>
      <c r="T78" s="642"/>
      <c r="U78" s="643"/>
      <c r="X78" s="645"/>
      <c r="Y78" s="646"/>
      <c r="Z78" s="673"/>
      <c r="AA78" s="646"/>
      <c r="AB78" s="646"/>
      <c r="AC78" s="646"/>
      <c r="AD78" s="646"/>
      <c r="AE78" s="646"/>
      <c r="AF78" s="646"/>
      <c r="AG78" s="646"/>
      <c r="AH78" s="646"/>
      <c r="AI78" s="646"/>
      <c r="AJ78" s="646"/>
      <c r="AK78" s="646"/>
      <c r="AL78" s="646"/>
      <c r="AM78" s="646"/>
      <c r="AN78" s="646"/>
      <c r="AO78" s="646"/>
      <c r="AP78" s="646"/>
      <c r="AQ78" s="646"/>
      <c r="AR78" s="646"/>
      <c r="AS78" s="646"/>
      <c r="AT78" s="646"/>
      <c r="AU78" s="646"/>
      <c r="AV78" s="646"/>
      <c r="AW78" s="646"/>
      <c r="AX78" s="646"/>
      <c r="AY78" s="646"/>
      <c r="AZ78" s="646"/>
      <c r="BA78" s="646"/>
      <c r="BB78" s="646"/>
      <c r="BC78" s="646"/>
      <c r="BD78" s="646"/>
      <c r="BE78" s="646"/>
      <c r="BF78" s="646"/>
      <c r="BG78" s="646"/>
      <c r="BH78" s="646"/>
      <c r="BI78" s="646"/>
      <c r="BJ78" s="646"/>
      <c r="BK78" s="646"/>
      <c r="BL78" s="646"/>
      <c r="BM78" s="646"/>
      <c r="BN78" s="646"/>
      <c r="BO78" s="646"/>
      <c r="BP78" s="646"/>
      <c r="BQ78" s="646"/>
      <c r="BR78" s="645"/>
      <c r="BS78" s="645"/>
      <c r="BT78" s="645"/>
      <c r="BU78" s="645"/>
      <c r="BV78" s="646"/>
      <c r="BW78" s="647"/>
      <c r="BX78" s="647"/>
      <c r="BY78" s="647"/>
      <c r="BZ78" s="647"/>
      <c r="CA78" s="647"/>
      <c r="CB78" s="647"/>
      <c r="CC78" s="647"/>
      <c r="CD78" s="647"/>
      <c r="CE78" s="647"/>
      <c r="CF78" s="647"/>
      <c r="CG78" s="647"/>
      <c r="CH78" s="647"/>
      <c r="CI78" s="647"/>
      <c r="FK78" s="714"/>
      <c r="FL78" s="714"/>
    </row>
    <row r="79" spans="2:168" s="640" customFormat="1" ht="15.75" customHeight="1">
      <c r="D79" s="641"/>
      <c r="G79" s="642"/>
      <c r="J79" s="642"/>
      <c r="K79" s="643"/>
      <c r="M79" s="644"/>
      <c r="N79" s="642"/>
      <c r="Q79" s="642"/>
      <c r="T79" s="642"/>
      <c r="U79" s="643"/>
      <c r="X79" s="645"/>
      <c r="Y79" s="646"/>
      <c r="Z79" s="673"/>
      <c r="AA79" s="646"/>
      <c r="AB79" s="646"/>
      <c r="AC79" s="646"/>
      <c r="AD79" s="646"/>
      <c r="AE79" s="646"/>
      <c r="AF79" s="646"/>
      <c r="AG79" s="646"/>
      <c r="AH79" s="646"/>
      <c r="AI79" s="646"/>
      <c r="AJ79" s="646"/>
      <c r="AK79" s="646"/>
      <c r="AL79" s="646"/>
      <c r="AM79" s="646"/>
      <c r="AN79" s="646"/>
      <c r="AO79" s="646"/>
      <c r="AP79" s="646"/>
      <c r="AQ79" s="646"/>
      <c r="AR79" s="646"/>
      <c r="AS79" s="646"/>
      <c r="AT79" s="646"/>
      <c r="AU79" s="646"/>
      <c r="AV79" s="646"/>
      <c r="AW79" s="646"/>
      <c r="AX79" s="646"/>
      <c r="AY79" s="646"/>
      <c r="AZ79" s="646"/>
      <c r="BA79" s="646"/>
      <c r="BB79" s="646"/>
      <c r="BC79" s="646"/>
      <c r="BD79" s="646"/>
      <c r="BE79" s="646"/>
      <c r="BF79" s="646"/>
      <c r="BG79" s="646"/>
      <c r="BH79" s="646"/>
      <c r="BI79" s="646"/>
      <c r="BJ79" s="646"/>
      <c r="BK79" s="646"/>
      <c r="BL79" s="646"/>
      <c r="BM79" s="646"/>
      <c r="BN79" s="646"/>
      <c r="BO79" s="646"/>
      <c r="BP79" s="646"/>
      <c r="BQ79" s="646"/>
      <c r="BR79" s="645"/>
      <c r="BS79" s="645"/>
      <c r="BT79" s="645"/>
      <c r="BU79" s="645"/>
      <c r="BV79" s="646"/>
      <c r="BW79" s="647"/>
      <c r="BX79" s="647"/>
      <c r="BY79" s="647"/>
      <c r="BZ79" s="647"/>
      <c r="CA79" s="647"/>
      <c r="CB79" s="647"/>
      <c r="CC79" s="647"/>
      <c r="CD79" s="647"/>
      <c r="CE79" s="647"/>
      <c r="CF79" s="647"/>
      <c r="CG79" s="647"/>
      <c r="CH79" s="647"/>
      <c r="CI79" s="647"/>
      <c r="FK79" s="714"/>
      <c r="FL79" s="714"/>
    </row>
    <row r="80" spans="2:168" s="640" customFormat="1" ht="15.75" customHeight="1">
      <c r="D80" s="641"/>
      <c r="G80" s="642"/>
      <c r="J80" s="642"/>
      <c r="K80" s="643"/>
      <c r="M80" s="644"/>
      <c r="N80" s="642"/>
      <c r="Q80" s="642"/>
      <c r="T80" s="642"/>
      <c r="U80" s="643"/>
      <c r="X80" s="645"/>
      <c r="Y80" s="646"/>
      <c r="Z80" s="673"/>
      <c r="AA80" s="646"/>
      <c r="AB80" s="646"/>
      <c r="AC80" s="646"/>
      <c r="AD80" s="646"/>
      <c r="AE80" s="646"/>
      <c r="AF80" s="646"/>
      <c r="AG80" s="646"/>
      <c r="AH80" s="646"/>
      <c r="AI80" s="646"/>
      <c r="AJ80" s="646"/>
      <c r="AK80" s="646"/>
      <c r="AL80" s="646"/>
      <c r="AM80" s="646"/>
      <c r="AN80" s="646"/>
      <c r="AO80" s="646"/>
      <c r="AP80" s="646"/>
      <c r="AQ80" s="646"/>
      <c r="AR80" s="646"/>
      <c r="AS80" s="646"/>
      <c r="AT80" s="646"/>
      <c r="AU80" s="646"/>
      <c r="AV80" s="646"/>
      <c r="AW80" s="646"/>
      <c r="AX80" s="646"/>
      <c r="AY80" s="646"/>
      <c r="AZ80" s="646"/>
      <c r="BA80" s="646"/>
      <c r="BB80" s="646"/>
      <c r="BC80" s="646"/>
      <c r="BD80" s="646"/>
      <c r="BE80" s="646"/>
      <c r="BF80" s="646"/>
      <c r="BG80" s="646"/>
      <c r="BH80" s="646"/>
      <c r="BI80" s="646"/>
      <c r="BJ80" s="646"/>
      <c r="BK80" s="646"/>
      <c r="BL80" s="646"/>
      <c r="BM80" s="646"/>
      <c r="BN80" s="646"/>
      <c r="BO80" s="646"/>
      <c r="BP80" s="646"/>
      <c r="BQ80" s="646"/>
      <c r="BR80" s="645"/>
      <c r="BS80" s="645"/>
      <c r="BT80" s="645"/>
      <c r="BU80" s="645"/>
      <c r="BV80" s="646"/>
      <c r="BW80" s="647"/>
      <c r="BX80" s="647"/>
      <c r="BY80" s="647"/>
      <c r="BZ80" s="647"/>
      <c r="CA80" s="647"/>
      <c r="CB80" s="647"/>
      <c r="CC80" s="647"/>
      <c r="CD80" s="647"/>
      <c r="CE80" s="647"/>
      <c r="CF80" s="647"/>
      <c r="CG80" s="647"/>
      <c r="CH80" s="647"/>
      <c r="CI80" s="647"/>
      <c r="FK80" s="714"/>
      <c r="FL80" s="714"/>
    </row>
    <row r="81" spans="4:168" s="640" customFormat="1" ht="15.75" customHeight="1">
      <c r="D81" s="641"/>
      <c r="G81" s="642"/>
      <c r="J81" s="642"/>
      <c r="K81" s="643"/>
      <c r="M81" s="644"/>
      <c r="N81" s="642"/>
      <c r="Q81" s="642"/>
      <c r="T81" s="642"/>
      <c r="U81" s="643"/>
      <c r="X81" s="645"/>
      <c r="Y81" s="646"/>
      <c r="Z81" s="673"/>
      <c r="AA81" s="646"/>
      <c r="AB81" s="646"/>
      <c r="AC81" s="646"/>
      <c r="AD81" s="646"/>
      <c r="AE81" s="646"/>
      <c r="AF81" s="646"/>
      <c r="AG81" s="646"/>
      <c r="AH81" s="646"/>
      <c r="AI81" s="646"/>
      <c r="AJ81" s="646"/>
      <c r="AK81" s="646"/>
      <c r="AL81" s="646"/>
      <c r="AM81" s="646"/>
      <c r="AN81" s="646"/>
      <c r="AO81" s="646"/>
      <c r="AP81" s="646"/>
      <c r="AQ81" s="646"/>
      <c r="AR81" s="646"/>
      <c r="AS81" s="646"/>
      <c r="AT81" s="646"/>
      <c r="AU81" s="646"/>
      <c r="AV81" s="646"/>
      <c r="AW81" s="646"/>
      <c r="AX81" s="646"/>
      <c r="AY81" s="646"/>
      <c r="AZ81" s="646"/>
      <c r="BA81" s="646"/>
      <c r="BB81" s="646"/>
      <c r="BC81" s="646"/>
      <c r="BD81" s="646"/>
      <c r="BE81" s="646"/>
      <c r="BF81" s="646"/>
      <c r="BG81" s="646"/>
      <c r="BH81" s="646"/>
      <c r="BI81" s="646"/>
      <c r="BJ81" s="646"/>
      <c r="BK81" s="646"/>
      <c r="BL81" s="646"/>
      <c r="BM81" s="646"/>
      <c r="BN81" s="646"/>
      <c r="BO81" s="646"/>
      <c r="BP81" s="646"/>
      <c r="BQ81" s="646"/>
      <c r="BR81" s="645"/>
      <c r="BS81" s="645"/>
      <c r="BT81" s="645"/>
      <c r="BU81" s="645"/>
      <c r="BV81" s="646"/>
      <c r="BW81" s="647"/>
      <c r="BX81" s="647"/>
      <c r="BY81" s="647"/>
      <c r="BZ81" s="647"/>
      <c r="CA81" s="647"/>
      <c r="CB81" s="647"/>
      <c r="CC81" s="647"/>
      <c r="CD81" s="647"/>
      <c r="CE81" s="647"/>
      <c r="CF81" s="647"/>
      <c r="CG81" s="647"/>
      <c r="CH81" s="647"/>
      <c r="CI81" s="647"/>
      <c r="FK81" s="714"/>
      <c r="FL81" s="714"/>
    </row>
    <row r="82" spans="4:168" s="640" customFormat="1" ht="15.75" customHeight="1">
      <c r="D82" s="641"/>
      <c r="G82" s="642"/>
      <c r="J82" s="642"/>
      <c r="K82" s="643"/>
      <c r="M82" s="644"/>
      <c r="N82" s="642"/>
      <c r="Q82" s="642"/>
      <c r="T82" s="642"/>
      <c r="U82" s="643"/>
      <c r="X82" s="645"/>
      <c r="Y82" s="646"/>
      <c r="Z82" s="673"/>
      <c r="AA82" s="646"/>
      <c r="AB82" s="646"/>
      <c r="AC82" s="646"/>
      <c r="AD82" s="646"/>
      <c r="AE82" s="646"/>
      <c r="AF82" s="646"/>
      <c r="AG82" s="646"/>
      <c r="AH82" s="646"/>
      <c r="AI82" s="646"/>
      <c r="AJ82" s="646"/>
      <c r="AK82" s="646"/>
      <c r="AL82" s="646"/>
      <c r="AM82" s="646"/>
      <c r="AN82" s="646"/>
      <c r="AO82" s="646"/>
      <c r="AP82" s="646"/>
      <c r="AQ82" s="646"/>
      <c r="AR82" s="646"/>
      <c r="AS82" s="646"/>
      <c r="AT82" s="646"/>
      <c r="AU82" s="646"/>
      <c r="AV82" s="646"/>
      <c r="AW82" s="646"/>
      <c r="AX82" s="646"/>
      <c r="AY82" s="646"/>
      <c r="AZ82" s="646"/>
      <c r="BA82" s="646"/>
      <c r="BB82" s="646"/>
      <c r="BC82" s="646"/>
      <c r="BD82" s="646"/>
      <c r="BE82" s="646"/>
      <c r="BF82" s="646"/>
      <c r="BG82" s="646"/>
      <c r="BH82" s="646"/>
      <c r="BI82" s="646"/>
      <c r="BJ82" s="646"/>
      <c r="BK82" s="646"/>
      <c r="BL82" s="646"/>
      <c r="BM82" s="646"/>
      <c r="BN82" s="646"/>
      <c r="BO82" s="646"/>
      <c r="BP82" s="646"/>
      <c r="BQ82" s="646"/>
      <c r="BR82" s="645"/>
      <c r="BS82" s="645"/>
      <c r="BT82" s="645"/>
      <c r="BU82" s="645"/>
      <c r="BV82" s="646"/>
      <c r="BW82" s="647"/>
      <c r="BX82" s="647"/>
      <c r="BY82" s="647"/>
      <c r="BZ82" s="647"/>
      <c r="CA82" s="647"/>
      <c r="CB82" s="647"/>
      <c r="CC82" s="647"/>
      <c r="CD82" s="647"/>
      <c r="CE82" s="647"/>
      <c r="CF82" s="647"/>
      <c r="CG82" s="647"/>
      <c r="CH82" s="647"/>
      <c r="CI82" s="647"/>
      <c r="FK82" s="714"/>
      <c r="FL82" s="714"/>
    </row>
    <row r="83" spans="4:168" s="640" customFormat="1" ht="15.75" customHeight="1">
      <c r="D83" s="641"/>
      <c r="G83" s="642"/>
      <c r="J83" s="642"/>
      <c r="K83" s="643"/>
      <c r="M83" s="644"/>
      <c r="N83" s="642"/>
      <c r="Q83" s="642"/>
      <c r="T83" s="642"/>
      <c r="U83" s="643"/>
      <c r="X83" s="645"/>
      <c r="Y83" s="646"/>
      <c r="Z83" s="673"/>
      <c r="AA83" s="646"/>
      <c r="AB83" s="646"/>
      <c r="AC83" s="646"/>
      <c r="AD83" s="646"/>
      <c r="AE83" s="646"/>
      <c r="AF83" s="646"/>
      <c r="AG83" s="646"/>
      <c r="AH83" s="646"/>
      <c r="AI83" s="646"/>
      <c r="AJ83" s="646"/>
      <c r="AK83" s="646"/>
      <c r="AL83" s="646"/>
      <c r="AM83" s="646"/>
      <c r="AN83" s="646"/>
      <c r="AO83" s="646"/>
      <c r="AP83" s="646"/>
      <c r="AQ83" s="646"/>
      <c r="AR83" s="646"/>
      <c r="AS83" s="646"/>
      <c r="AT83" s="646"/>
      <c r="AU83" s="646"/>
      <c r="AV83" s="646"/>
      <c r="AW83" s="646"/>
      <c r="AX83" s="646"/>
      <c r="AY83" s="646"/>
      <c r="AZ83" s="646"/>
      <c r="BA83" s="646"/>
      <c r="BB83" s="646"/>
      <c r="BC83" s="646"/>
      <c r="BD83" s="646"/>
      <c r="BE83" s="646"/>
      <c r="BF83" s="646"/>
      <c r="BG83" s="646"/>
      <c r="BH83" s="646"/>
      <c r="BI83" s="646"/>
      <c r="BJ83" s="646"/>
      <c r="BK83" s="646"/>
      <c r="BL83" s="646"/>
      <c r="BM83" s="646"/>
      <c r="BN83" s="646"/>
      <c r="BO83" s="646"/>
      <c r="BP83" s="646"/>
      <c r="BQ83" s="646"/>
      <c r="BR83" s="645"/>
      <c r="BS83" s="645"/>
      <c r="BT83" s="645"/>
      <c r="BU83" s="645"/>
      <c r="BV83" s="646"/>
      <c r="BW83" s="647"/>
      <c r="BX83" s="647"/>
      <c r="BY83" s="647"/>
      <c r="BZ83" s="647"/>
      <c r="CA83" s="647"/>
      <c r="CB83" s="647"/>
      <c r="CC83" s="647"/>
      <c r="CD83" s="647"/>
      <c r="CE83" s="647"/>
      <c r="CF83" s="647"/>
      <c r="CG83" s="647"/>
      <c r="CH83" s="647"/>
      <c r="CI83" s="647"/>
      <c r="FK83" s="714"/>
      <c r="FL83" s="714"/>
    </row>
    <row r="84" spans="4:168" s="640" customFormat="1" ht="15.75" customHeight="1">
      <c r="D84" s="641"/>
      <c r="G84" s="642"/>
      <c r="J84" s="642"/>
      <c r="K84" s="643"/>
      <c r="M84" s="644"/>
      <c r="N84" s="642"/>
      <c r="Q84" s="642"/>
      <c r="T84" s="642"/>
      <c r="U84" s="643"/>
      <c r="X84" s="645"/>
      <c r="Y84" s="646"/>
      <c r="Z84" s="673"/>
      <c r="AA84" s="646"/>
      <c r="AB84" s="646"/>
      <c r="AC84" s="646"/>
      <c r="AD84" s="646"/>
      <c r="AE84" s="646"/>
      <c r="AF84" s="646"/>
      <c r="AG84" s="646"/>
      <c r="AH84" s="646"/>
      <c r="AI84" s="646"/>
      <c r="AJ84" s="646"/>
      <c r="AK84" s="646"/>
      <c r="AL84" s="646"/>
      <c r="AM84" s="646"/>
      <c r="AN84" s="646"/>
      <c r="AO84" s="646"/>
      <c r="AP84" s="646"/>
      <c r="AQ84" s="646"/>
      <c r="AR84" s="646"/>
      <c r="AS84" s="646"/>
      <c r="AT84" s="646"/>
      <c r="AU84" s="646"/>
      <c r="AV84" s="646"/>
      <c r="AW84" s="646"/>
      <c r="AX84" s="646"/>
      <c r="AY84" s="646"/>
      <c r="AZ84" s="646"/>
      <c r="BA84" s="646"/>
      <c r="BB84" s="646"/>
      <c r="BC84" s="646"/>
      <c r="BD84" s="646"/>
      <c r="BE84" s="646"/>
      <c r="BF84" s="646"/>
      <c r="BG84" s="646"/>
      <c r="BH84" s="646"/>
      <c r="BI84" s="646"/>
      <c r="BJ84" s="646"/>
      <c r="BK84" s="646"/>
      <c r="BL84" s="646"/>
      <c r="BM84" s="646"/>
      <c r="BN84" s="646"/>
      <c r="BO84" s="646"/>
      <c r="BP84" s="646"/>
      <c r="BQ84" s="646"/>
      <c r="BR84" s="645"/>
      <c r="BS84" s="645"/>
      <c r="BT84" s="645"/>
      <c r="BU84" s="645"/>
      <c r="BV84" s="646"/>
      <c r="BW84" s="647"/>
      <c r="BX84" s="647"/>
      <c r="BY84" s="647"/>
      <c r="BZ84" s="647"/>
      <c r="CA84" s="647"/>
      <c r="CB84" s="647"/>
      <c r="CC84" s="647"/>
      <c r="CD84" s="647"/>
      <c r="CE84" s="647"/>
      <c r="CF84" s="647"/>
      <c r="CG84" s="647"/>
      <c r="CH84" s="647"/>
      <c r="CI84" s="647"/>
      <c r="FK84" s="714"/>
      <c r="FL84" s="714"/>
    </row>
    <row r="85" spans="4:168" s="640" customFormat="1" ht="15.75" customHeight="1">
      <c r="D85" s="641"/>
      <c r="G85" s="642"/>
      <c r="J85" s="642"/>
      <c r="K85" s="643"/>
      <c r="M85" s="644"/>
      <c r="N85" s="642"/>
      <c r="Q85" s="642"/>
      <c r="T85" s="642"/>
      <c r="U85" s="643"/>
      <c r="X85" s="645"/>
      <c r="Y85" s="646"/>
      <c r="Z85" s="673"/>
      <c r="AA85" s="646"/>
      <c r="AB85" s="646"/>
      <c r="AC85" s="646"/>
      <c r="AD85" s="646"/>
      <c r="AE85" s="646"/>
      <c r="AF85" s="646"/>
      <c r="AG85" s="646"/>
      <c r="AH85" s="646"/>
      <c r="AI85" s="646"/>
      <c r="AJ85" s="646"/>
      <c r="AK85" s="646"/>
      <c r="AL85" s="646"/>
      <c r="AM85" s="646"/>
      <c r="AN85" s="646"/>
      <c r="AO85" s="646"/>
      <c r="AP85" s="646"/>
      <c r="AQ85" s="646"/>
      <c r="AR85" s="646"/>
      <c r="AS85" s="646"/>
      <c r="AT85" s="646"/>
      <c r="AU85" s="646"/>
      <c r="AV85" s="646"/>
      <c r="AW85" s="646"/>
      <c r="AX85" s="646"/>
      <c r="AY85" s="646"/>
      <c r="AZ85" s="646"/>
      <c r="BA85" s="646"/>
      <c r="BB85" s="646"/>
      <c r="BC85" s="646"/>
      <c r="BD85" s="646"/>
      <c r="BE85" s="646"/>
      <c r="BF85" s="646"/>
      <c r="BG85" s="646"/>
      <c r="BH85" s="646"/>
      <c r="BI85" s="646"/>
      <c r="BJ85" s="646"/>
      <c r="BK85" s="646"/>
      <c r="BL85" s="646"/>
      <c r="BM85" s="646"/>
      <c r="BN85" s="646"/>
      <c r="BO85" s="646"/>
      <c r="BP85" s="646"/>
      <c r="BQ85" s="646"/>
      <c r="BR85" s="645"/>
      <c r="BS85" s="645"/>
      <c r="BT85" s="645"/>
      <c r="BU85" s="645"/>
      <c r="BV85" s="646"/>
      <c r="BW85" s="647"/>
      <c r="BX85" s="647"/>
      <c r="BY85" s="647"/>
      <c r="BZ85" s="647"/>
      <c r="CA85" s="647"/>
      <c r="CB85" s="647"/>
      <c r="CC85" s="647"/>
      <c r="CD85" s="647"/>
      <c r="CE85" s="647"/>
      <c r="CF85" s="647"/>
      <c r="CG85" s="647"/>
      <c r="CH85" s="647"/>
      <c r="CI85" s="647"/>
      <c r="FK85" s="714"/>
      <c r="FL85" s="714"/>
    </row>
    <row r="86" spans="4:168" s="640" customFormat="1" ht="15.75" customHeight="1">
      <c r="D86" s="641"/>
      <c r="G86" s="642"/>
      <c r="J86" s="642"/>
      <c r="K86" s="643"/>
      <c r="M86" s="644"/>
      <c r="N86" s="642"/>
      <c r="Q86" s="642"/>
      <c r="T86" s="642"/>
      <c r="U86" s="643"/>
      <c r="X86" s="645"/>
      <c r="Y86" s="646"/>
      <c r="Z86" s="673"/>
      <c r="AA86" s="646"/>
      <c r="AB86" s="646"/>
      <c r="AC86" s="646"/>
      <c r="AD86" s="646"/>
      <c r="AE86" s="646"/>
      <c r="AF86" s="646"/>
      <c r="AG86" s="646"/>
      <c r="AH86" s="646"/>
      <c r="AI86" s="646"/>
      <c r="AJ86" s="646"/>
      <c r="AK86" s="646"/>
      <c r="AL86" s="646"/>
      <c r="AM86" s="646"/>
      <c r="AN86" s="646"/>
      <c r="AO86" s="646"/>
      <c r="AP86" s="646"/>
      <c r="AQ86" s="646"/>
      <c r="AR86" s="646"/>
      <c r="AS86" s="646"/>
      <c r="AT86" s="646"/>
      <c r="AU86" s="646"/>
      <c r="AV86" s="646"/>
      <c r="AW86" s="646"/>
      <c r="AX86" s="646"/>
      <c r="AY86" s="646"/>
      <c r="AZ86" s="646"/>
      <c r="BA86" s="646"/>
      <c r="BB86" s="646"/>
      <c r="BC86" s="646"/>
      <c r="BD86" s="646"/>
      <c r="BE86" s="646"/>
      <c r="BF86" s="646"/>
      <c r="BG86" s="646"/>
      <c r="BH86" s="646"/>
      <c r="BI86" s="646"/>
      <c r="BJ86" s="646"/>
      <c r="BK86" s="646"/>
      <c r="BL86" s="646"/>
      <c r="BM86" s="646"/>
      <c r="BN86" s="646"/>
      <c r="BO86" s="646"/>
      <c r="BP86" s="646"/>
      <c r="BQ86" s="646"/>
      <c r="BR86" s="645"/>
      <c r="BS86" s="645"/>
      <c r="BT86" s="645"/>
      <c r="BU86" s="645"/>
      <c r="BV86" s="646"/>
      <c r="BW86" s="647"/>
      <c r="BX86" s="647"/>
      <c r="BY86" s="647"/>
      <c r="BZ86" s="647"/>
      <c r="CA86" s="647"/>
      <c r="CB86" s="647"/>
      <c r="CC86" s="647"/>
      <c r="CD86" s="647"/>
      <c r="CE86" s="647"/>
      <c r="CF86" s="647"/>
      <c r="CG86" s="647"/>
      <c r="CH86" s="647"/>
      <c r="CI86" s="647"/>
      <c r="FK86" s="714"/>
      <c r="FL86" s="714"/>
    </row>
    <row r="87" spans="4:168" s="640" customFormat="1" ht="15.75" customHeight="1">
      <c r="D87" s="641"/>
      <c r="G87" s="642"/>
      <c r="J87" s="642"/>
      <c r="K87" s="643"/>
      <c r="M87" s="644"/>
      <c r="N87" s="642"/>
      <c r="Q87" s="642"/>
      <c r="T87" s="642"/>
      <c r="U87" s="643"/>
      <c r="X87" s="645"/>
      <c r="Y87" s="646"/>
      <c r="Z87" s="673"/>
      <c r="AA87" s="646"/>
      <c r="AB87" s="646"/>
      <c r="AC87" s="646"/>
      <c r="AD87" s="646"/>
      <c r="AE87" s="646"/>
      <c r="AF87" s="646"/>
      <c r="AG87" s="646"/>
      <c r="AH87" s="646"/>
      <c r="AI87" s="646"/>
      <c r="AJ87" s="646"/>
      <c r="AK87" s="646"/>
      <c r="AL87" s="646"/>
      <c r="AM87" s="646"/>
      <c r="AN87" s="646"/>
      <c r="AO87" s="646"/>
      <c r="AP87" s="646"/>
      <c r="AQ87" s="646"/>
      <c r="AR87" s="646"/>
      <c r="AS87" s="646"/>
      <c r="AT87" s="646"/>
      <c r="AU87" s="646"/>
      <c r="AV87" s="646"/>
      <c r="AW87" s="646"/>
      <c r="AX87" s="646"/>
      <c r="AY87" s="646"/>
      <c r="AZ87" s="646"/>
      <c r="BA87" s="646"/>
      <c r="BB87" s="646"/>
      <c r="BC87" s="646"/>
      <c r="BD87" s="646"/>
      <c r="BE87" s="646"/>
      <c r="BF87" s="646"/>
      <c r="BG87" s="646"/>
      <c r="BH87" s="646"/>
      <c r="BI87" s="646"/>
      <c r="BJ87" s="646"/>
      <c r="BK87" s="646"/>
      <c r="BL87" s="646"/>
      <c r="BM87" s="646"/>
      <c r="BN87" s="646"/>
      <c r="BO87" s="646"/>
      <c r="BP87" s="646"/>
      <c r="BQ87" s="646"/>
      <c r="BR87" s="645"/>
      <c r="BS87" s="645"/>
      <c r="BT87" s="645"/>
      <c r="BU87" s="645"/>
      <c r="BV87" s="646"/>
      <c r="BW87" s="647"/>
      <c r="BX87" s="647"/>
      <c r="BY87" s="647"/>
      <c r="BZ87" s="647"/>
      <c r="CA87" s="647"/>
      <c r="CB87" s="647"/>
      <c r="CC87" s="647"/>
      <c r="CD87" s="647"/>
      <c r="CE87" s="647"/>
      <c r="CF87" s="647"/>
      <c r="CG87" s="647"/>
      <c r="CH87" s="647"/>
      <c r="CI87" s="647"/>
      <c r="FK87" s="714"/>
      <c r="FL87" s="714"/>
    </row>
    <row r="88" spans="4:168" s="640" customFormat="1" ht="15.75" customHeight="1">
      <c r="D88" s="641"/>
      <c r="G88" s="642"/>
      <c r="J88" s="642"/>
      <c r="K88" s="643"/>
      <c r="M88" s="644"/>
      <c r="N88" s="642"/>
      <c r="Q88" s="642"/>
      <c r="T88" s="642"/>
      <c r="U88" s="643"/>
      <c r="X88" s="645"/>
      <c r="Y88" s="646"/>
      <c r="Z88" s="673"/>
      <c r="AA88" s="646"/>
      <c r="AB88" s="646"/>
      <c r="AC88" s="646"/>
      <c r="AD88" s="646"/>
      <c r="AE88" s="646"/>
      <c r="AF88" s="646"/>
      <c r="AG88" s="646"/>
      <c r="AH88" s="646"/>
      <c r="AI88" s="646"/>
      <c r="AJ88" s="646"/>
      <c r="AK88" s="646"/>
      <c r="AL88" s="646"/>
      <c r="AM88" s="646"/>
      <c r="AN88" s="646"/>
      <c r="AO88" s="646"/>
      <c r="AP88" s="646"/>
      <c r="AQ88" s="646"/>
      <c r="AR88" s="646"/>
      <c r="AS88" s="646"/>
      <c r="AT88" s="646"/>
      <c r="AU88" s="646"/>
      <c r="AV88" s="646"/>
      <c r="AW88" s="646"/>
      <c r="AX88" s="646"/>
      <c r="AY88" s="646"/>
      <c r="AZ88" s="646"/>
      <c r="BA88" s="646"/>
      <c r="BB88" s="646"/>
      <c r="BC88" s="646"/>
      <c r="BD88" s="646"/>
      <c r="BE88" s="646"/>
      <c r="BF88" s="646"/>
      <c r="BG88" s="646"/>
      <c r="BH88" s="646"/>
      <c r="BI88" s="646"/>
      <c r="BJ88" s="646"/>
      <c r="BK88" s="646"/>
      <c r="BL88" s="646"/>
      <c r="BM88" s="646"/>
      <c r="BN88" s="646"/>
      <c r="BO88" s="646"/>
      <c r="BP88" s="646"/>
      <c r="BQ88" s="646"/>
      <c r="BR88" s="645"/>
      <c r="BS88" s="645"/>
      <c r="BT88" s="645"/>
      <c r="BU88" s="645"/>
      <c r="BV88" s="646"/>
      <c r="BW88" s="647"/>
      <c r="BX88" s="647"/>
      <c r="BY88" s="647"/>
      <c r="BZ88" s="647"/>
      <c r="CA88" s="647"/>
      <c r="CB88" s="647"/>
      <c r="CC88" s="647"/>
      <c r="CD88" s="647"/>
      <c r="CE88" s="647"/>
      <c r="CF88" s="647"/>
      <c r="CG88" s="647"/>
      <c r="CH88" s="647"/>
      <c r="CI88" s="647"/>
      <c r="FK88" s="714"/>
      <c r="FL88" s="714"/>
    </row>
    <row r="89" spans="4:168" s="640" customFormat="1" ht="15.75" customHeight="1">
      <c r="D89" s="641"/>
      <c r="G89" s="642"/>
      <c r="J89" s="642"/>
      <c r="K89" s="643"/>
      <c r="M89" s="644"/>
      <c r="N89" s="642"/>
      <c r="Q89" s="642"/>
      <c r="T89" s="642"/>
      <c r="U89" s="643"/>
      <c r="X89" s="645"/>
      <c r="Y89" s="646"/>
      <c r="Z89" s="673"/>
      <c r="AA89" s="646"/>
      <c r="AB89" s="646"/>
      <c r="AC89" s="646"/>
      <c r="AD89" s="646"/>
      <c r="AE89" s="646"/>
      <c r="AF89" s="646"/>
      <c r="AG89" s="646"/>
      <c r="AH89" s="646"/>
      <c r="AI89" s="646"/>
      <c r="AJ89" s="646"/>
      <c r="AK89" s="646"/>
      <c r="AL89" s="646"/>
      <c r="AM89" s="646"/>
      <c r="AN89" s="646"/>
      <c r="AO89" s="646"/>
      <c r="AP89" s="646"/>
      <c r="AQ89" s="646"/>
      <c r="AR89" s="646"/>
      <c r="AS89" s="646"/>
      <c r="AT89" s="646"/>
      <c r="AU89" s="646"/>
      <c r="AV89" s="646"/>
      <c r="AW89" s="646"/>
      <c r="AX89" s="646"/>
      <c r="AY89" s="646"/>
      <c r="AZ89" s="646"/>
      <c r="BA89" s="646"/>
      <c r="BB89" s="646"/>
      <c r="BC89" s="646"/>
      <c r="BD89" s="646"/>
      <c r="BE89" s="646"/>
      <c r="BF89" s="646"/>
      <c r="BG89" s="646"/>
      <c r="BH89" s="646"/>
      <c r="BI89" s="646"/>
      <c r="BJ89" s="646"/>
      <c r="BK89" s="646"/>
      <c r="BL89" s="646"/>
      <c r="BM89" s="646"/>
      <c r="BN89" s="646"/>
      <c r="BO89" s="646"/>
      <c r="BP89" s="646"/>
      <c r="BQ89" s="646"/>
      <c r="BR89" s="645"/>
      <c r="BS89" s="645"/>
      <c r="BT89" s="645"/>
      <c r="BU89" s="645"/>
      <c r="BV89" s="646"/>
      <c r="BW89" s="647"/>
      <c r="BX89" s="647"/>
      <c r="BY89" s="647"/>
      <c r="BZ89" s="647"/>
      <c r="CA89" s="647"/>
      <c r="CB89" s="647"/>
      <c r="CC89" s="647"/>
      <c r="CD89" s="647"/>
      <c r="CE89" s="647"/>
      <c r="CF89" s="647"/>
      <c r="CG89" s="647"/>
      <c r="CH89" s="647"/>
      <c r="CI89" s="647"/>
      <c r="FK89" s="714"/>
      <c r="FL89" s="714"/>
    </row>
    <row r="90" spans="4:168" s="640" customFormat="1" ht="15.75" customHeight="1">
      <c r="D90" s="641"/>
      <c r="G90" s="642"/>
      <c r="J90" s="642"/>
      <c r="K90" s="643"/>
      <c r="M90" s="644"/>
      <c r="N90" s="642"/>
      <c r="Q90" s="642"/>
      <c r="T90" s="642"/>
      <c r="U90" s="643"/>
      <c r="X90" s="645"/>
      <c r="Y90" s="646"/>
      <c r="Z90" s="673"/>
      <c r="AA90" s="646"/>
      <c r="AB90" s="646"/>
      <c r="AC90" s="646"/>
      <c r="AD90" s="646"/>
      <c r="AE90" s="646"/>
      <c r="AF90" s="646"/>
      <c r="AG90" s="646"/>
      <c r="AH90" s="646"/>
      <c r="AI90" s="646"/>
      <c r="AJ90" s="646"/>
      <c r="AK90" s="646"/>
      <c r="AL90" s="646"/>
      <c r="AM90" s="646"/>
      <c r="AN90" s="646"/>
      <c r="AO90" s="646"/>
      <c r="AP90" s="646"/>
      <c r="AQ90" s="646"/>
      <c r="AR90" s="646"/>
      <c r="AS90" s="646"/>
      <c r="AT90" s="646"/>
      <c r="AU90" s="646"/>
      <c r="AV90" s="646"/>
      <c r="AW90" s="646"/>
      <c r="AX90" s="646"/>
      <c r="AY90" s="646"/>
      <c r="AZ90" s="646"/>
      <c r="BA90" s="646"/>
      <c r="BB90" s="646"/>
      <c r="BC90" s="646"/>
      <c r="BD90" s="646"/>
      <c r="BE90" s="646"/>
      <c r="BF90" s="646"/>
      <c r="BG90" s="646"/>
      <c r="BH90" s="646"/>
      <c r="BI90" s="646"/>
      <c r="BJ90" s="646"/>
      <c r="BK90" s="646"/>
      <c r="BL90" s="646"/>
      <c r="BM90" s="646"/>
      <c r="BN90" s="646"/>
      <c r="BO90" s="646"/>
      <c r="BP90" s="646"/>
      <c r="BQ90" s="646"/>
      <c r="BR90" s="645"/>
      <c r="BS90" s="645"/>
      <c r="BT90" s="645"/>
      <c r="BU90" s="645"/>
      <c r="BV90" s="646"/>
      <c r="BW90" s="647"/>
      <c r="BX90" s="647"/>
      <c r="BY90" s="647"/>
      <c r="BZ90" s="647"/>
      <c r="CA90" s="647"/>
      <c r="CB90" s="647"/>
      <c r="CC90" s="647"/>
      <c r="CD90" s="647"/>
      <c r="CE90" s="647"/>
      <c r="CF90" s="647"/>
      <c r="CG90" s="647"/>
      <c r="CH90" s="647"/>
      <c r="CI90" s="647"/>
      <c r="FK90" s="714"/>
      <c r="FL90" s="714"/>
    </row>
    <row r="91" spans="4:168" s="640" customFormat="1" ht="15.75" customHeight="1">
      <c r="D91" s="641"/>
      <c r="G91" s="642"/>
      <c r="J91" s="642"/>
      <c r="K91" s="643"/>
      <c r="M91" s="644"/>
      <c r="N91" s="642"/>
      <c r="Q91" s="642"/>
      <c r="T91" s="642"/>
      <c r="U91" s="643"/>
      <c r="X91" s="645"/>
      <c r="Y91" s="646"/>
      <c r="Z91" s="673"/>
      <c r="AA91" s="646"/>
      <c r="AB91" s="646"/>
      <c r="AC91" s="646"/>
      <c r="AD91" s="646"/>
      <c r="AE91" s="646"/>
      <c r="AF91" s="646"/>
      <c r="AG91" s="646"/>
      <c r="AH91" s="646"/>
      <c r="AI91" s="646"/>
      <c r="AJ91" s="646"/>
      <c r="AK91" s="646"/>
      <c r="AL91" s="646"/>
      <c r="AM91" s="646"/>
      <c r="AN91" s="646"/>
      <c r="AO91" s="646"/>
      <c r="AP91" s="646"/>
      <c r="AQ91" s="646"/>
      <c r="AR91" s="646"/>
      <c r="AS91" s="646"/>
      <c r="AT91" s="646"/>
      <c r="AU91" s="646"/>
      <c r="AV91" s="646"/>
      <c r="AW91" s="646"/>
      <c r="AX91" s="646"/>
      <c r="AY91" s="646"/>
      <c r="AZ91" s="646"/>
      <c r="BA91" s="646"/>
      <c r="BB91" s="646"/>
      <c r="BC91" s="646"/>
      <c r="BD91" s="646"/>
      <c r="BE91" s="646"/>
      <c r="BF91" s="646"/>
      <c r="BG91" s="646"/>
      <c r="BH91" s="646"/>
      <c r="BI91" s="646"/>
      <c r="BJ91" s="646"/>
      <c r="BK91" s="646"/>
      <c r="BL91" s="646"/>
      <c r="BM91" s="646"/>
      <c r="BN91" s="646"/>
      <c r="BO91" s="646"/>
      <c r="BP91" s="646"/>
      <c r="BQ91" s="646"/>
      <c r="BR91" s="645"/>
      <c r="BS91" s="645"/>
      <c r="BT91" s="645"/>
      <c r="BU91" s="645"/>
      <c r="BV91" s="646"/>
      <c r="BW91" s="647"/>
      <c r="BX91" s="647"/>
      <c r="BY91" s="647"/>
      <c r="BZ91" s="647"/>
      <c r="CA91" s="647"/>
      <c r="CB91" s="647"/>
      <c r="CC91" s="647"/>
      <c r="CD91" s="647"/>
      <c r="CE91" s="647"/>
      <c r="CF91" s="647"/>
      <c r="CG91" s="647"/>
      <c r="CH91" s="647"/>
      <c r="CI91" s="647"/>
      <c r="FK91" s="714"/>
      <c r="FL91" s="714"/>
    </row>
    <row r="92" spans="4:168" s="640" customFormat="1" ht="15.75" customHeight="1">
      <c r="D92" s="641"/>
      <c r="G92" s="642"/>
      <c r="J92" s="642"/>
      <c r="K92" s="643"/>
      <c r="M92" s="644"/>
      <c r="N92" s="642"/>
      <c r="Q92" s="642"/>
      <c r="T92" s="642"/>
      <c r="U92" s="643"/>
      <c r="X92" s="645"/>
      <c r="Y92" s="646"/>
      <c r="Z92" s="673"/>
      <c r="AA92" s="646"/>
      <c r="AB92" s="646"/>
      <c r="AC92" s="646"/>
      <c r="AD92" s="646"/>
      <c r="AE92" s="646"/>
      <c r="AF92" s="646"/>
      <c r="AG92" s="646"/>
      <c r="AH92" s="646"/>
      <c r="AI92" s="646"/>
      <c r="AJ92" s="646"/>
      <c r="AK92" s="646"/>
      <c r="AL92" s="646"/>
      <c r="AM92" s="646"/>
      <c r="AN92" s="646"/>
      <c r="AO92" s="646"/>
      <c r="AP92" s="646"/>
      <c r="AQ92" s="646"/>
      <c r="AR92" s="646"/>
      <c r="AS92" s="646"/>
      <c r="AT92" s="646"/>
      <c r="AU92" s="646"/>
      <c r="AV92" s="646"/>
      <c r="AW92" s="646"/>
      <c r="AX92" s="646"/>
      <c r="AY92" s="646"/>
      <c r="AZ92" s="646"/>
      <c r="BA92" s="646"/>
      <c r="BB92" s="646"/>
      <c r="BC92" s="646"/>
      <c r="BD92" s="646"/>
      <c r="BE92" s="646"/>
      <c r="BF92" s="646"/>
      <c r="BG92" s="646"/>
      <c r="BH92" s="646"/>
      <c r="BI92" s="646"/>
      <c r="BJ92" s="646"/>
      <c r="BK92" s="646"/>
      <c r="BL92" s="646"/>
      <c r="BM92" s="646"/>
      <c r="BN92" s="646"/>
      <c r="BO92" s="646"/>
      <c r="BP92" s="646"/>
      <c r="BQ92" s="646"/>
      <c r="BR92" s="645"/>
      <c r="BS92" s="645"/>
      <c r="BT92" s="645"/>
      <c r="BU92" s="645"/>
      <c r="BV92" s="646"/>
      <c r="BW92" s="647"/>
      <c r="BX92" s="647"/>
      <c r="BY92" s="647"/>
      <c r="BZ92" s="647"/>
      <c r="CA92" s="647"/>
      <c r="CB92" s="647"/>
      <c r="CC92" s="647"/>
      <c r="CD92" s="647"/>
      <c r="CE92" s="647"/>
      <c r="CF92" s="647"/>
      <c r="CG92" s="647"/>
      <c r="CH92" s="647"/>
      <c r="CI92" s="647"/>
      <c r="FK92" s="714"/>
      <c r="FL92" s="714"/>
    </row>
    <row r="93" spans="4:168" s="640" customFormat="1" ht="15.75" customHeight="1">
      <c r="D93" s="641"/>
      <c r="G93" s="642"/>
      <c r="J93" s="642"/>
      <c r="K93" s="643"/>
      <c r="M93" s="644"/>
      <c r="N93" s="642"/>
      <c r="Q93" s="642"/>
      <c r="T93" s="642"/>
      <c r="U93" s="643"/>
      <c r="X93" s="645"/>
      <c r="Y93" s="646"/>
      <c r="Z93" s="673"/>
      <c r="AA93" s="646"/>
      <c r="AB93" s="646"/>
      <c r="AC93" s="646"/>
      <c r="AD93" s="646"/>
      <c r="AE93" s="646"/>
      <c r="AF93" s="646"/>
      <c r="AG93" s="646"/>
      <c r="AH93" s="646"/>
      <c r="AI93" s="646"/>
      <c r="AJ93" s="646"/>
      <c r="AK93" s="646"/>
      <c r="AL93" s="646"/>
      <c r="AM93" s="646"/>
      <c r="AN93" s="646"/>
      <c r="AO93" s="646"/>
      <c r="AP93" s="646"/>
      <c r="AQ93" s="646"/>
      <c r="AR93" s="646"/>
      <c r="AS93" s="646"/>
      <c r="AT93" s="646"/>
      <c r="AU93" s="646"/>
      <c r="AV93" s="646"/>
      <c r="AW93" s="646"/>
      <c r="AX93" s="646"/>
      <c r="AY93" s="646"/>
      <c r="AZ93" s="646"/>
      <c r="BA93" s="646"/>
      <c r="BB93" s="646"/>
      <c r="BC93" s="646"/>
      <c r="BD93" s="646"/>
      <c r="BE93" s="646"/>
      <c r="BF93" s="646"/>
      <c r="BG93" s="646"/>
      <c r="BH93" s="646"/>
      <c r="BI93" s="646"/>
      <c r="BJ93" s="646"/>
      <c r="BK93" s="646"/>
      <c r="BL93" s="646"/>
      <c r="BM93" s="646"/>
      <c r="BN93" s="646"/>
      <c r="BO93" s="646"/>
      <c r="BP93" s="646"/>
      <c r="BQ93" s="646"/>
      <c r="BR93" s="645"/>
      <c r="BS93" s="645"/>
      <c r="BT93" s="645"/>
      <c r="BU93" s="645"/>
      <c r="BV93" s="646"/>
      <c r="BW93" s="647"/>
      <c r="BX93" s="647"/>
      <c r="BY93" s="647"/>
      <c r="BZ93" s="647"/>
      <c r="CA93" s="647"/>
      <c r="CB93" s="647"/>
      <c r="CC93" s="647"/>
      <c r="CD93" s="647"/>
      <c r="CE93" s="647"/>
      <c r="CF93" s="647"/>
      <c r="CG93" s="647"/>
      <c r="CH93" s="647"/>
      <c r="CI93" s="647"/>
      <c r="FK93" s="714"/>
      <c r="FL93" s="714"/>
    </row>
    <row r="94" spans="4:168" s="640" customFormat="1" ht="15.75" customHeight="1">
      <c r="D94" s="641"/>
      <c r="G94" s="642"/>
      <c r="J94" s="642"/>
      <c r="K94" s="643"/>
      <c r="M94" s="644"/>
      <c r="N94" s="642"/>
      <c r="Q94" s="642"/>
      <c r="T94" s="642"/>
      <c r="U94" s="643"/>
      <c r="X94" s="645"/>
      <c r="Y94" s="646"/>
      <c r="Z94" s="673"/>
      <c r="AA94" s="646"/>
      <c r="AB94" s="646"/>
      <c r="AC94" s="646"/>
      <c r="AD94" s="646"/>
      <c r="AE94" s="646"/>
      <c r="AF94" s="646"/>
      <c r="AG94" s="646"/>
      <c r="AH94" s="646"/>
      <c r="AI94" s="646"/>
      <c r="AJ94" s="646"/>
      <c r="AK94" s="646"/>
      <c r="AL94" s="646"/>
      <c r="AM94" s="646"/>
      <c r="AN94" s="646"/>
      <c r="AO94" s="646"/>
      <c r="AP94" s="646"/>
      <c r="AQ94" s="646"/>
      <c r="AR94" s="646"/>
      <c r="AS94" s="646"/>
      <c r="AT94" s="646"/>
      <c r="AU94" s="646"/>
      <c r="AV94" s="646"/>
      <c r="AW94" s="646"/>
      <c r="AX94" s="646"/>
      <c r="AY94" s="646"/>
      <c r="AZ94" s="646"/>
      <c r="BA94" s="646"/>
      <c r="BB94" s="646"/>
      <c r="BC94" s="646"/>
      <c r="BD94" s="646"/>
      <c r="BE94" s="646"/>
      <c r="BF94" s="646"/>
      <c r="BG94" s="646"/>
      <c r="BH94" s="646"/>
      <c r="BI94" s="646"/>
      <c r="BJ94" s="646"/>
      <c r="BK94" s="646"/>
      <c r="BL94" s="646"/>
      <c r="BM94" s="646"/>
      <c r="BN94" s="646"/>
      <c r="BO94" s="646"/>
      <c r="BP94" s="646"/>
      <c r="BQ94" s="646"/>
      <c r="BR94" s="645"/>
      <c r="BS94" s="645"/>
      <c r="BT94" s="645"/>
      <c r="BU94" s="645"/>
      <c r="BV94" s="646"/>
      <c r="BW94" s="647"/>
      <c r="BX94" s="647"/>
      <c r="BY94" s="647"/>
      <c r="BZ94" s="647"/>
      <c r="CA94" s="647"/>
      <c r="CB94" s="647"/>
      <c r="CC94" s="647"/>
      <c r="CD94" s="647"/>
      <c r="CE94" s="647"/>
      <c r="CF94" s="647"/>
      <c r="CG94" s="647"/>
      <c r="CH94" s="647"/>
      <c r="CI94" s="647"/>
      <c r="FK94" s="714"/>
      <c r="FL94" s="714"/>
    </row>
    <row r="95" spans="4:168" s="640" customFormat="1" ht="15.75" customHeight="1">
      <c r="D95" s="641"/>
      <c r="G95" s="642"/>
      <c r="J95" s="642"/>
      <c r="K95" s="643"/>
      <c r="M95" s="644"/>
      <c r="N95" s="642"/>
      <c r="Q95" s="642"/>
      <c r="T95" s="642"/>
      <c r="U95" s="643"/>
      <c r="X95" s="645"/>
      <c r="Y95" s="646"/>
      <c r="Z95" s="673"/>
      <c r="AA95" s="646"/>
      <c r="AB95" s="646"/>
      <c r="AC95" s="646"/>
      <c r="AD95" s="646"/>
      <c r="AE95" s="646"/>
      <c r="AF95" s="646"/>
      <c r="AG95" s="646"/>
      <c r="AH95" s="646"/>
      <c r="AI95" s="646"/>
      <c r="AJ95" s="646"/>
      <c r="AK95" s="646"/>
      <c r="AL95" s="646"/>
      <c r="AM95" s="646"/>
      <c r="AN95" s="646"/>
      <c r="AO95" s="646"/>
      <c r="AP95" s="646"/>
      <c r="AQ95" s="646"/>
      <c r="AR95" s="646"/>
      <c r="AS95" s="646"/>
      <c r="AT95" s="646"/>
      <c r="AU95" s="646"/>
      <c r="AV95" s="646"/>
      <c r="AW95" s="646"/>
      <c r="AX95" s="646"/>
      <c r="AY95" s="646"/>
      <c r="AZ95" s="646"/>
      <c r="BA95" s="646"/>
      <c r="BB95" s="646"/>
      <c r="BC95" s="646"/>
      <c r="BD95" s="646"/>
      <c r="BE95" s="646"/>
      <c r="BF95" s="646"/>
      <c r="BG95" s="646"/>
      <c r="BH95" s="646"/>
      <c r="BI95" s="646"/>
      <c r="BJ95" s="646"/>
      <c r="BK95" s="646"/>
      <c r="BL95" s="646"/>
      <c r="BM95" s="646"/>
      <c r="BN95" s="646"/>
      <c r="BO95" s="646"/>
      <c r="BP95" s="646"/>
      <c r="BQ95" s="646"/>
      <c r="BR95" s="645"/>
      <c r="BS95" s="645"/>
      <c r="BT95" s="645"/>
      <c r="BU95" s="645"/>
      <c r="BV95" s="646"/>
      <c r="BW95" s="647"/>
      <c r="BX95" s="647"/>
      <c r="BY95" s="647"/>
      <c r="BZ95" s="647"/>
      <c r="CA95" s="647"/>
      <c r="CB95" s="647"/>
      <c r="CC95" s="647"/>
      <c r="CD95" s="647"/>
      <c r="CE95" s="647"/>
      <c r="CF95" s="647"/>
      <c r="CG95" s="647"/>
      <c r="CH95" s="647"/>
      <c r="CI95" s="647"/>
      <c r="FK95" s="714"/>
      <c r="FL95" s="714"/>
    </row>
    <row r="96" spans="4:168" s="640" customFormat="1" ht="15.75" customHeight="1">
      <c r="D96" s="641"/>
      <c r="G96" s="642"/>
      <c r="J96" s="642"/>
      <c r="K96" s="643"/>
      <c r="M96" s="644"/>
      <c r="N96" s="642"/>
      <c r="Q96" s="642"/>
      <c r="T96" s="642"/>
      <c r="U96" s="643"/>
      <c r="X96" s="645"/>
      <c r="Y96" s="646"/>
      <c r="Z96" s="673"/>
      <c r="AA96" s="646"/>
      <c r="AB96" s="646"/>
      <c r="AC96" s="646"/>
      <c r="AD96" s="646"/>
      <c r="AE96" s="646"/>
      <c r="AF96" s="646"/>
      <c r="AG96" s="646"/>
      <c r="AH96" s="646"/>
      <c r="AI96" s="646"/>
      <c r="AJ96" s="646"/>
      <c r="AK96" s="646"/>
      <c r="AL96" s="646"/>
      <c r="AM96" s="646"/>
      <c r="AN96" s="646"/>
      <c r="AO96" s="646"/>
      <c r="AP96" s="646"/>
      <c r="AQ96" s="646"/>
      <c r="AR96" s="646"/>
      <c r="AS96" s="646"/>
      <c r="AT96" s="646"/>
      <c r="AU96" s="646"/>
      <c r="AV96" s="646"/>
      <c r="AW96" s="646"/>
      <c r="AX96" s="646"/>
      <c r="AY96" s="646"/>
      <c r="AZ96" s="646"/>
      <c r="BA96" s="646"/>
      <c r="BB96" s="646"/>
      <c r="BC96" s="646"/>
      <c r="BD96" s="646"/>
      <c r="BE96" s="646"/>
      <c r="BF96" s="646"/>
      <c r="BG96" s="646"/>
      <c r="BH96" s="646"/>
      <c r="BI96" s="646"/>
      <c r="BJ96" s="646"/>
      <c r="BK96" s="646"/>
      <c r="BL96" s="646"/>
      <c r="BM96" s="646"/>
      <c r="BN96" s="646"/>
      <c r="BO96" s="646"/>
      <c r="BP96" s="646"/>
      <c r="BQ96" s="646"/>
      <c r="BR96" s="645"/>
      <c r="BS96" s="645"/>
      <c r="BT96" s="645"/>
      <c r="BU96" s="645"/>
      <c r="BV96" s="646"/>
      <c r="BW96" s="647"/>
      <c r="BX96" s="647"/>
      <c r="BY96" s="647"/>
      <c r="BZ96" s="647"/>
      <c r="CA96" s="647"/>
      <c r="CB96" s="647"/>
      <c r="CC96" s="647"/>
      <c r="CD96" s="647"/>
      <c r="CE96" s="647"/>
      <c r="CF96" s="647"/>
      <c r="CG96" s="647"/>
      <c r="CH96" s="647"/>
      <c r="CI96" s="647"/>
      <c r="FK96" s="714"/>
      <c r="FL96" s="714"/>
    </row>
    <row r="97" spans="4:168" s="640" customFormat="1" ht="15.75" customHeight="1">
      <c r="D97" s="641"/>
      <c r="G97" s="642"/>
      <c r="J97" s="642"/>
      <c r="K97" s="643"/>
      <c r="M97" s="644"/>
      <c r="N97" s="642"/>
      <c r="Q97" s="642"/>
      <c r="T97" s="642"/>
      <c r="U97" s="643"/>
      <c r="X97" s="645"/>
      <c r="Y97" s="646"/>
      <c r="Z97" s="673"/>
      <c r="AA97" s="646"/>
      <c r="AB97" s="646"/>
      <c r="AC97" s="646"/>
      <c r="AD97" s="646"/>
      <c r="AE97" s="646"/>
      <c r="AF97" s="646"/>
      <c r="AG97" s="646"/>
      <c r="AH97" s="646"/>
      <c r="AI97" s="646"/>
      <c r="AJ97" s="646"/>
      <c r="AK97" s="646"/>
      <c r="AL97" s="646"/>
      <c r="AM97" s="646"/>
      <c r="AN97" s="646"/>
      <c r="AO97" s="646"/>
      <c r="AP97" s="646"/>
      <c r="AQ97" s="646"/>
      <c r="AR97" s="646"/>
      <c r="AS97" s="646"/>
      <c r="AT97" s="646"/>
      <c r="AU97" s="646"/>
      <c r="AV97" s="646"/>
      <c r="AW97" s="646"/>
      <c r="AX97" s="646"/>
      <c r="AY97" s="646"/>
      <c r="AZ97" s="646"/>
      <c r="BA97" s="646"/>
      <c r="BB97" s="646"/>
      <c r="BC97" s="646"/>
      <c r="BD97" s="646"/>
      <c r="BE97" s="646"/>
      <c r="BF97" s="646"/>
      <c r="BG97" s="646"/>
      <c r="BH97" s="646"/>
      <c r="BI97" s="646"/>
      <c r="BJ97" s="646"/>
      <c r="BK97" s="646"/>
      <c r="BL97" s="646"/>
      <c r="BM97" s="646"/>
      <c r="BN97" s="646"/>
      <c r="BO97" s="646"/>
      <c r="BP97" s="646"/>
      <c r="BQ97" s="646"/>
      <c r="BR97" s="645"/>
      <c r="BS97" s="645"/>
      <c r="BT97" s="645"/>
      <c r="BU97" s="645"/>
      <c r="BV97" s="646"/>
      <c r="BW97" s="647"/>
      <c r="BX97" s="647"/>
      <c r="BY97" s="647"/>
      <c r="BZ97" s="647"/>
      <c r="CA97" s="647"/>
      <c r="CB97" s="647"/>
      <c r="CC97" s="647"/>
      <c r="CD97" s="647"/>
      <c r="CE97" s="647"/>
      <c r="CF97" s="647"/>
      <c r="CG97" s="647"/>
      <c r="CH97" s="647"/>
      <c r="CI97" s="647"/>
      <c r="FK97" s="714"/>
      <c r="FL97" s="714"/>
    </row>
    <row r="98" spans="4:168" s="640" customFormat="1" ht="15.75" customHeight="1">
      <c r="D98" s="641"/>
      <c r="G98" s="642"/>
      <c r="J98" s="642"/>
      <c r="K98" s="643"/>
      <c r="M98" s="644"/>
      <c r="N98" s="642"/>
      <c r="Q98" s="642"/>
      <c r="T98" s="642"/>
      <c r="U98" s="643"/>
      <c r="X98" s="645"/>
      <c r="Y98" s="646"/>
      <c r="Z98" s="673"/>
      <c r="AA98" s="646"/>
      <c r="AB98" s="646"/>
      <c r="AC98" s="646"/>
      <c r="AD98" s="646"/>
      <c r="AE98" s="646"/>
      <c r="AF98" s="646"/>
      <c r="AG98" s="646"/>
      <c r="AH98" s="646"/>
      <c r="AI98" s="646"/>
      <c r="AJ98" s="646"/>
      <c r="AK98" s="646"/>
      <c r="AL98" s="646"/>
      <c r="AM98" s="646"/>
      <c r="AN98" s="646"/>
      <c r="AO98" s="646"/>
      <c r="AP98" s="646"/>
      <c r="AQ98" s="646"/>
      <c r="AR98" s="646"/>
      <c r="AS98" s="646"/>
      <c r="AT98" s="646"/>
      <c r="AU98" s="646"/>
      <c r="AV98" s="646"/>
      <c r="AW98" s="646"/>
      <c r="AX98" s="646"/>
      <c r="AY98" s="646"/>
      <c r="AZ98" s="646"/>
      <c r="BA98" s="646"/>
      <c r="BB98" s="646"/>
      <c r="BC98" s="646"/>
      <c r="BD98" s="646"/>
      <c r="BE98" s="646"/>
      <c r="BF98" s="646"/>
      <c r="BG98" s="646"/>
      <c r="BH98" s="646"/>
      <c r="BI98" s="646"/>
      <c r="BJ98" s="646"/>
      <c r="BK98" s="646"/>
      <c r="BL98" s="646"/>
      <c r="BM98" s="646"/>
      <c r="BN98" s="646"/>
      <c r="BO98" s="646"/>
      <c r="BP98" s="646"/>
      <c r="BQ98" s="646"/>
      <c r="BR98" s="645"/>
      <c r="BS98" s="645"/>
      <c r="BT98" s="645"/>
      <c r="BU98" s="645"/>
      <c r="BV98" s="646"/>
      <c r="BW98" s="647"/>
      <c r="BX98" s="647"/>
      <c r="BY98" s="647"/>
      <c r="BZ98" s="647"/>
      <c r="CA98" s="647"/>
      <c r="CB98" s="647"/>
      <c r="CC98" s="647"/>
      <c r="CD98" s="647"/>
      <c r="CE98" s="647"/>
      <c r="CF98" s="647"/>
      <c r="CG98" s="647"/>
      <c r="CH98" s="647"/>
      <c r="CI98" s="647"/>
      <c r="FK98" s="714"/>
      <c r="FL98" s="714"/>
    </row>
    <row r="99" spans="4:168" s="640" customFormat="1" ht="15.75" customHeight="1">
      <c r="D99" s="641"/>
      <c r="G99" s="642"/>
      <c r="J99" s="642"/>
      <c r="K99" s="643"/>
      <c r="M99" s="644"/>
      <c r="N99" s="642"/>
      <c r="Q99" s="642"/>
      <c r="T99" s="642"/>
      <c r="U99" s="643"/>
      <c r="X99" s="645"/>
      <c r="Y99" s="646"/>
      <c r="Z99" s="673"/>
      <c r="AA99" s="646"/>
      <c r="AB99" s="646"/>
      <c r="AC99" s="646"/>
      <c r="AD99" s="646"/>
      <c r="AE99" s="646"/>
      <c r="AF99" s="646"/>
      <c r="AG99" s="646"/>
      <c r="AH99" s="646"/>
      <c r="AI99" s="646"/>
      <c r="AJ99" s="646"/>
      <c r="AK99" s="646"/>
      <c r="AL99" s="646"/>
      <c r="AM99" s="646"/>
      <c r="AN99" s="646"/>
      <c r="AO99" s="646"/>
      <c r="AP99" s="646"/>
      <c r="AQ99" s="646"/>
      <c r="AR99" s="646"/>
      <c r="AS99" s="646"/>
      <c r="AT99" s="646"/>
      <c r="AU99" s="646"/>
      <c r="AV99" s="646"/>
      <c r="AW99" s="646"/>
      <c r="AX99" s="646"/>
      <c r="AY99" s="646"/>
      <c r="AZ99" s="646"/>
      <c r="BA99" s="646"/>
      <c r="BB99" s="646"/>
      <c r="BC99" s="646"/>
      <c r="BD99" s="646"/>
      <c r="BE99" s="646"/>
      <c r="BF99" s="646"/>
      <c r="BG99" s="646"/>
      <c r="BH99" s="646"/>
      <c r="BI99" s="646"/>
      <c r="BJ99" s="646"/>
      <c r="BK99" s="646"/>
      <c r="BL99" s="646"/>
      <c r="BM99" s="646"/>
      <c r="BN99" s="646"/>
      <c r="BO99" s="646"/>
      <c r="BP99" s="646"/>
      <c r="BQ99" s="646"/>
      <c r="BR99" s="645"/>
      <c r="BS99" s="645"/>
      <c r="BT99" s="645"/>
      <c r="BU99" s="645"/>
      <c r="BV99" s="646"/>
      <c r="BW99" s="647"/>
      <c r="BX99" s="647"/>
      <c r="BY99" s="647"/>
      <c r="BZ99" s="647"/>
      <c r="CA99" s="647"/>
      <c r="CB99" s="647"/>
      <c r="CC99" s="647"/>
      <c r="CD99" s="647"/>
      <c r="CE99" s="647"/>
      <c r="CF99" s="647"/>
      <c r="CG99" s="647"/>
      <c r="CH99" s="647"/>
      <c r="CI99" s="647"/>
      <c r="FK99" s="714"/>
      <c r="FL99" s="714"/>
    </row>
    <row r="100" spans="4:168" s="640" customFormat="1" ht="15.75" customHeight="1">
      <c r="D100" s="641"/>
      <c r="G100" s="642"/>
      <c r="J100" s="642"/>
      <c r="K100" s="643"/>
      <c r="M100" s="644"/>
      <c r="N100" s="642"/>
      <c r="Q100" s="642"/>
      <c r="T100" s="642"/>
      <c r="U100" s="643"/>
      <c r="X100" s="645"/>
      <c r="Y100" s="646"/>
      <c r="Z100" s="673"/>
      <c r="AA100" s="646"/>
      <c r="AB100" s="646"/>
      <c r="AC100" s="646"/>
      <c r="AD100" s="646"/>
      <c r="AE100" s="646"/>
      <c r="AF100" s="646"/>
      <c r="AG100" s="646"/>
      <c r="AH100" s="646"/>
      <c r="AI100" s="646"/>
      <c r="AJ100" s="646"/>
      <c r="AK100" s="646"/>
      <c r="AL100" s="646"/>
      <c r="AM100" s="646"/>
      <c r="AN100" s="646"/>
      <c r="AO100" s="646"/>
      <c r="AP100" s="646"/>
      <c r="AQ100" s="646"/>
      <c r="AR100" s="646"/>
      <c r="AS100" s="646"/>
      <c r="AT100" s="646"/>
      <c r="AU100" s="646"/>
      <c r="AV100" s="646"/>
      <c r="AW100" s="646"/>
      <c r="AX100" s="646"/>
      <c r="AY100" s="646"/>
      <c r="AZ100" s="646"/>
      <c r="BA100" s="646"/>
      <c r="BB100" s="646"/>
      <c r="BC100" s="646"/>
      <c r="BD100" s="646"/>
      <c r="BE100" s="646"/>
      <c r="BF100" s="646"/>
      <c r="BG100" s="646"/>
      <c r="BH100" s="646"/>
      <c r="BI100" s="646"/>
      <c r="BJ100" s="646"/>
      <c r="BK100" s="646"/>
      <c r="BL100" s="646"/>
      <c r="BM100" s="646"/>
      <c r="BN100" s="646"/>
      <c r="BO100" s="646"/>
      <c r="BP100" s="646"/>
      <c r="BQ100" s="646"/>
      <c r="BR100" s="645"/>
      <c r="BS100" s="645"/>
      <c r="BT100" s="645"/>
      <c r="BU100" s="645"/>
      <c r="BV100" s="646"/>
      <c r="BW100" s="647"/>
      <c r="BX100" s="647"/>
      <c r="BY100" s="647"/>
      <c r="BZ100" s="647"/>
      <c r="CA100" s="647"/>
      <c r="CB100" s="647"/>
      <c r="CC100" s="647"/>
      <c r="CD100" s="647"/>
      <c r="CE100" s="647"/>
      <c r="CF100" s="647"/>
      <c r="CG100" s="647"/>
      <c r="CH100" s="647"/>
      <c r="CI100" s="647"/>
      <c r="FK100" s="714"/>
      <c r="FL100" s="714"/>
    </row>
    <row r="101" spans="4:168" s="640" customFormat="1" ht="15.75" customHeight="1">
      <c r="D101" s="641"/>
      <c r="G101" s="642"/>
      <c r="J101" s="642"/>
      <c r="K101" s="643"/>
      <c r="M101" s="644"/>
      <c r="N101" s="642"/>
      <c r="Q101" s="642"/>
      <c r="T101" s="642"/>
      <c r="U101" s="643"/>
      <c r="X101" s="645"/>
      <c r="Y101" s="646"/>
      <c r="Z101" s="673"/>
      <c r="AA101" s="646"/>
      <c r="AB101" s="646"/>
      <c r="AC101" s="646"/>
      <c r="AD101" s="646"/>
      <c r="AE101" s="646"/>
      <c r="AF101" s="646"/>
      <c r="AG101" s="646"/>
      <c r="AH101" s="646"/>
      <c r="AI101" s="646"/>
      <c r="AJ101" s="646"/>
      <c r="AK101" s="646"/>
      <c r="AL101" s="646"/>
      <c r="AM101" s="646"/>
      <c r="AN101" s="646"/>
      <c r="AO101" s="646"/>
      <c r="AP101" s="646"/>
      <c r="AQ101" s="646"/>
      <c r="AR101" s="646"/>
      <c r="AS101" s="646"/>
      <c r="AT101" s="646"/>
      <c r="AU101" s="646"/>
      <c r="AV101" s="646"/>
      <c r="AW101" s="646"/>
      <c r="AX101" s="646"/>
      <c r="AY101" s="646"/>
      <c r="AZ101" s="646"/>
      <c r="BA101" s="646"/>
      <c r="BB101" s="646"/>
      <c r="BC101" s="646"/>
      <c r="BD101" s="646"/>
      <c r="BE101" s="646"/>
      <c r="BF101" s="646"/>
      <c r="BG101" s="646"/>
      <c r="BH101" s="646"/>
      <c r="BI101" s="646"/>
      <c r="BJ101" s="646"/>
      <c r="BK101" s="646"/>
      <c r="BL101" s="646"/>
      <c r="BM101" s="646"/>
      <c r="BN101" s="646"/>
      <c r="BO101" s="646"/>
      <c r="BP101" s="646"/>
      <c r="BQ101" s="646"/>
      <c r="BR101" s="645"/>
      <c r="BS101" s="645"/>
      <c r="BT101" s="645"/>
      <c r="BU101" s="645"/>
      <c r="BV101" s="646"/>
      <c r="BW101" s="647"/>
      <c r="BX101" s="647"/>
      <c r="BY101" s="647"/>
      <c r="BZ101" s="647"/>
      <c r="CA101" s="647"/>
      <c r="CB101" s="647"/>
      <c r="CC101" s="647"/>
      <c r="CD101" s="647"/>
      <c r="CE101" s="647"/>
      <c r="CF101" s="647"/>
      <c r="CG101" s="647"/>
      <c r="CH101" s="647"/>
      <c r="CI101" s="647"/>
      <c r="FK101" s="714"/>
      <c r="FL101" s="714"/>
    </row>
    <row r="102" spans="4:168" s="640" customFormat="1" ht="15.75" customHeight="1">
      <c r="D102" s="641"/>
      <c r="G102" s="642"/>
      <c r="J102" s="642"/>
      <c r="K102" s="643"/>
      <c r="M102" s="644"/>
      <c r="N102" s="642"/>
      <c r="Q102" s="642"/>
      <c r="T102" s="642"/>
      <c r="U102" s="643"/>
      <c r="X102" s="645"/>
      <c r="Y102" s="646"/>
      <c r="Z102" s="673"/>
      <c r="AA102" s="646"/>
      <c r="AB102" s="646"/>
      <c r="AC102" s="646"/>
      <c r="AD102" s="646"/>
      <c r="AE102" s="646"/>
      <c r="AF102" s="646"/>
      <c r="AG102" s="646"/>
      <c r="AH102" s="646"/>
      <c r="AI102" s="646"/>
      <c r="AJ102" s="646"/>
      <c r="AK102" s="646"/>
      <c r="AL102" s="646"/>
      <c r="AM102" s="646"/>
      <c r="AN102" s="646"/>
      <c r="AO102" s="646"/>
      <c r="AP102" s="646"/>
      <c r="AQ102" s="646"/>
      <c r="AR102" s="646"/>
      <c r="AS102" s="646"/>
      <c r="AT102" s="646"/>
      <c r="AU102" s="646"/>
      <c r="AV102" s="646"/>
      <c r="AW102" s="646"/>
      <c r="AX102" s="646"/>
      <c r="AY102" s="646"/>
      <c r="AZ102" s="646"/>
      <c r="BA102" s="646"/>
      <c r="BB102" s="646"/>
      <c r="BC102" s="646"/>
      <c r="BD102" s="646"/>
      <c r="BE102" s="646"/>
      <c r="BF102" s="646"/>
      <c r="BG102" s="646"/>
      <c r="BH102" s="646"/>
      <c r="BI102" s="646"/>
      <c r="BJ102" s="646"/>
      <c r="BK102" s="646"/>
      <c r="BL102" s="646"/>
      <c r="BM102" s="646"/>
      <c r="BN102" s="646"/>
      <c r="BO102" s="646"/>
      <c r="BP102" s="646"/>
      <c r="BQ102" s="646"/>
      <c r="BR102" s="645"/>
      <c r="BS102" s="645"/>
      <c r="BT102" s="645"/>
      <c r="BU102" s="645"/>
      <c r="BV102" s="646"/>
      <c r="BW102" s="647"/>
      <c r="BX102" s="647"/>
      <c r="BY102" s="647"/>
      <c r="BZ102" s="647"/>
      <c r="CA102" s="647"/>
      <c r="CB102" s="647"/>
      <c r="CC102" s="647"/>
      <c r="CD102" s="647"/>
      <c r="CE102" s="647"/>
      <c r="CF102" s="647"/>
      <c r="CG102" s="647"/>
      <c r="CH102" s="647"/>
      <c r="CI102" s="647"/>
      <c r="FK102" s="714"/>
      <c r="FL102" s="714"/>
    </row>
    <row r="103" spans="4:168" s="640" customFormat="1" ht="15.75" customHeight="1">
      <c r="D103" s="641"/>
      <c r="G103" s="642"/>
      <c r="J103" s="642"/>
      <c r="K103" s="643"/>
      <c r="M103" s="644"/>
      <c r="N103" s="642"/>
      <c r="Q103" s="642"/>
      <c r="T103" s="642"/>
      <c r="U103" s="643"/>
      <c r="X103" s="645"/>
      <c r="Y103" s="646"/>
      <c r="Z103" s="673"/>
      <c r="AA103" s="646"/>
      <c r="AB103" s="646"/>
      <c r="AC103" s="646"/>
      <c r="AD103" s="646"/>
      <c r="AE103" s="646"/>
      <c r="AF103" s="646"/>
      <c r="AG103" s="646"/>
      <c r="AH103" s="646"/>
      <c r="AI103" s="646"/>
      <c r="AJ103" s="646"/>
      <c r="AK103" s="646"/>
      <c r="AL103" s="646"/>
      <c r="AM103" s="646"/>
      <c r="AN103" s="646"/>
      <c r="AO103" s="646"/>
      <c r="AP103" s="646"/>
      <c r="AQ103" s="646"/>
      <c r="AR103" s="646"/>
      <c r="AS103" s="646"/>
      <c r="AT103" s="646"/>
      <c r="AU103" s="646"/>
      <c r="AV103" s="646"/>
      <c r="AW103" s="646"/>
      <c r="AX103" s="646"/>
      <c r="AY103" s="646"/>
      <c r="AZ103" s="646"/>
      <c r="BA103" s="646"/>
      <c r="BB103" s="646"/>
      <c r="BC103" s="646"/>
      <c r="BD103" s="646"/>
      <c r="BE103" s="646"/>
      <c r="BF103" s="646"/>
      <c r="BG103" s="646"/>
      <c r="BH103" s="646"/>
      <c r="BI103" s="646"/>
      <c r="BJ103" s="646"/>
      <c r="BK103" s="646"/>
      <c r="BL103" s="646"/>
      <c r="BM103" s="646"/>
      <c r="BN103" s="646"/>
      <c r="BO103" s="646"/>
      <c r="BP103" s="646"/>
      <c r="BQ103" s="646"/>
      <c r="BR103" s="645"/>
      <c r="BS103" s="645"/>
      <c r="BT103" s="645"/>
      <c r="BU103" s="645"/>
      <c r="BV103" s="646"/>
      <c r="BW103" s="647"/>
      <c r="BX103" s="647"/>
      <c r="BY103" s="647"/>
      <c r="BZ103" s="647"/>
      <c r="CA103" s="647"/>
      <c r="CB103" s="647"/>
      <c r="CC103" s="647"/>
      <c r="CD103" s="647"/>
      <c r="CE103" s="647"/>
      <c r="CF103" s="647"/>
      <c r="CG103" s="647"/>
      <c r="CH103" s="647"/>
      <c r="CI103" s="647"/>
      <c r="FK103" s="714"/>
      <c r="FL103" s="714"/>
    </row>
    <row r="104" spans="4:168" s="640" customFormat="1" ht="15.75" customHeight="1">
      <c r="D104" s="641"/>
      <c r="G104" s="642"/>
      <c r="J104" s="642"/>
      <c r="K104" s="643"/>
      <c r="M104" s="644"/>
      <c r="N104" s="642"/>
      <c r="Q104" s="642"/>
      <c r="T104" s="642"/>
      <c r="U104" s="643"/>
      <c r="X104" s="645"/>
      <c r="Y104" s="646"/>
      <c r="Z104" s="673"/>
      <c r="AA104" s="646"/>
      <c r="AB104" s="646"/>
      <c r="AC104" s="646"/>
      <c r="AD104" s="646"/>
      <c r="AE104" s="646"/>
      <c r="AF104" s="646"/>
      <c r="AG104" s="646"/>
      <c r="AH104" s="646"/>
      <c r="AI104" s="646"/>
      <c r="AJ104" s="646"/>
      <c r="AK104" s="646"/>
      <c r="AL104" s="646"/>
      <c r="AM104" s="646"/>
      <c r="AN104" s="646"/>
      <c r="AO104" s="646"/>
      <c r="AP104" s="646"/>
      <c r="AQ104" s="646"/>
      <c r="AR104" s="646"/>
      <c r="AS104" s="646"/>
      <c r="AT104" s="646"/>
      <c r="AU104" s="646"/>
      <c r="AV104" s="646"/>
      <c r="AW104" s="646"/>
      <c r="AX104" s="646"/>
      <c r="AY104" s="646"/>
      <c r="AZ104" s="646"/>
      <c r="BA104" s="646"/>
      <c r="BB104" s="646"/>
      <c r="BC104" s="646"/>
      <c r="BD104" s="646"/>
      <c r="BE104" s="646"/>
      <c r="BF104" s="646"/>
      <c r="BG104" s="646"/>
      <c r="BH104" s="646"/>
      <c r="BI104" s="646"/>
      <c r="BJ104" s="646"/>
      <c r="BK104" s="646"/>
      <c r="BL104" s="646"/>
      <c r="BM104" s="646"/>
      <c r="BN104" s="646"/>
      <c r="BO104" s="646"/>
      <c r="BP104" s="646"/>
      <c r="BQ104" s="646"/>
      <c r="BR104" s="645"/>
      <c r="BS104" s="645"/>
      <c r="BT104" s="645"/>
      <c r="BU104" s="645"/>
      <c r="BV104" s="646"/>
      <c r="BW104" s="647"/>
      <c r="BX104" s="647"/>
      <c r="BY104" s="647"/>
      <c r="BZ104" s="647"/>
      <c r="CA104" s="647"/>
      <c r="CB104" s="647"/>
      <c r="CC104" s="647"/>
      <c r="CD104" s="647"/>
      <c r="CE104" s="647"/>
      <c r="CF104" s="647"/>
      <c r="CG104" s="647"/>
      <c r="CH104" s="647"/>
      <c r="CI104" s="647"/>
      <c r="FK104" s="714"/>
      <c r="FL104" s="714"/>
    </row>
    <row r="105" spans="4:168" s="640" customFormat="1" ht="15.75" customHeight="1">
      <c r="D105" s="641"/>
      <c r="G105" s="642"/>
      <c r="J105" s="642"/>
      <c r="K105" s="643"/>
      <c r="M105" s="644"/>
      <c r="N105" s="642"/>
      <c r="Q105" s="642"/>
      <c r="T105" s="642"/>
      <c r="U105" s="643"/>
      <c r="X105" s="645"/>
      <c r="Y105" s="646"/>
      <c r="Z105" s="673"/>
      <c r="AA105" s="646"/>
      <c r="AB105" s="646"/>
      <c r="AC105" s="646"/>
      <c r="AD105" s="646"/>
      <c r="AE105" s="646"/>
      <c r="AF105" s="646"/>
      <c r="AG105" s="646"/>
      <c r="AH105" s="646"/>
      <c r="AI105" s="646"/>
      <c r="AJ105" s="646"/>
      <c r="AK105" s="646"/>
      <c r="AL105" s="646"/>
      <c r="AM105" s="646"/>
      <c r="AN105" s="646"/>
      <c r="AO105" s="646"/>
      <c r="AP105" s="646"/>
      <c r="AQ105" s="646"/>
      <c r="AR105" s="646"/>
      <c r="AS105" s="646"/>
      <c r="AT105" s="646"/>
      <c r="AU105" s="646"/>
      <c r="AV105" s="646"/>
      <c r="AW105" s="646"/>
      <c r="AX105" s="646"/>
      <c r="AY105" s="646"/>
      <c r="AZ105" s="646"/>
      <c r="BA105" s="646"/>
      <c r="BB105" s="646"/>
      <c r="BC105" s="646"/>
      <c r="BD105" s="646"/>
      <c r="BE105" s="646"/>
      <c r="BF105" s="646"/>
      <c r="BG105" s="646"/>
      <c r="BH105" s="646"/>
      <c r="BI105" s="646"/>
      <c r="BJ105" s="646"/>
      <c r="BK105" s="646"/>
      <c r="BL105" s="646"/>
      <c r="BM105" s="646"/>
      <c r="BN105" s="646"/>
      <c r="BO105" s="646"/>
      <c r="BP105" s="646"/>
      <c r="BQ105" s="646"/>
      <c r="BR105" s="645"/>
      <c r="BS105" s="645"/>
      <c r="BT105" s="645"/>
      <c r="BU105" s="645"/>
      <c r="BV105" s="646"/>
      <c r="BW105" s="647"/>
      <c r="BX105" s="647"/>
      <c r="BY105" s="647"/>
      <c r="BZ105" s="647"/>
      <c r="CA105" s="647"/>
      <c r="CB105" s="647"/>
      <c r="CC105" s="647"/>
      <c r="CD105" s="647"/>
      <c r="CE105" s="647"/>
      <c r="CF105" s="647"/>
      <c r="CG105" s="647"/>
      <c r="CH105" s="647"/>
      <c r="CI105" s="647"/>
      <c r="FK105" s="714"/>
      <c r="FL105" s="714"/>
    </row>
    <row r="106" spans="4:168" s="640" customFormat="1" ht="15.75" customHeight="1">
      <c r="D106" s="641"/>
      <c r="G106" s="642"/>
      <c r="J106" s="642"/>
      <c r="K106" s="643"/>
      <c r="M106" s="644"/>
      <c r="N106" s="642"/>
      <c r="Q106" s="642"/>
      <c r="T106" s="642"/>
      <c r="U106" s="643"/>
      <c r="X106" s="645"/>
      <c r="Y106" s="646"/>
      <c r="Z106" s="673"/>
      <c r="AA106" s="646"/>
      <c r="AB106" s="646"/>
      <c r="AC106" s="646"/>
      <c r="AD106" s="646"/>
      <c r="AE106" s="646"/>
      <c r="AF106" s="646"/>
      <c r="AG106" s="646"/>
      <c r="AH106" s="646"/>
      <c r="AI106" s="646"/>
      <c r="AJ106" s="646"/>
      <c r="AK106" s="646"/>
      <c r="AL106" s="646"/>
      <c r="AM106" s="646"/>
      <c r="AN106" s="646"/>
      <c r="AO106" s="646"/>
      <c r="AP106" s="646"/>
      <c r="AQ106" s="646"/>
      <c r="AR106" s="646"/>
      <c r="AS106" s="646"/>
      <c r="AT106" s="646"/>
      <c r="AU106" s="646"/>
      <c r="AV106" s="646"/>
      <c r="AW106" s="646"/>
      <c r="AX106" s="646"/>
      <c r="AY106" s="646"/>
      <c r="AZ106" s="646"/>
      <c r="BA106" s="646"/>
      <c r="BB106" s="646"/>
      <c r="BC106" s="646"/>
      <c r="BD106" s="646"/>
      <c r="BE106" s="646"/>
      <c r="BF106" s="646"/>
      <c r="BG106" s="646"/>
      <c r="BH106" s="646"/>
      <c r="BI106" s="646"/>
      <c r="BJ106" s="646"/>
      <c r="BK106" s="646"/>
      <c r="BL106" s="646"/>
      <c r="BM106" s="646"/>
      <c r="BN106" s="646"/>
      <c r="BO106" s="646"/>
      <c r="BP106" s="646"/>
      <c r="BQ106" s="646"/>
      <c r="BR106" s="645"/>
      <c r="BS106" s="645"/>
      <c r="BT106" s="645"/>
      <c r="BU106" s="645"/>
      <c r="BV106" s="646"/>
      <c r="BW106" s="647"/>
      <c r="BX106" s="647"/>
      <c r="BY106" s="647"/>
      <c r="BZ106" s="647"/>
      <c r="CA106" s="647"/>
      <c r="CB106" s="647"/>
      <c r="CC106" s="647"/>
      <c r="CD106" s="647"/>
      <c r="CE106" s="647"/>
      <c r="CF106" s="647"/>
      <c r="CG106" s="647"/>
      <c r="CH106" s="647"/>
      <c r="CI106" s="647"/>
      <c r="FK106" s="714"/>
      <c r="FL106" s="714"/>
    </row>
    <row r="107" spans="4:168" s="640" customFormat="1" ht="15.75" customHeight="1">
      <c r="D107" s="641"/>
      <c r="G107" s="642"/>
      <c r="J107" s="642"/>
      <c r="K107" s="643"/>
      <c r="M107" s="644"/>
      <c r="N107" s="642"/>
      <c r="Q107" s="642"/>
      <c r="T107" s="642"/>
      <c r="U107" s="643"/>
      <c r="X107" s="645"/>
      <c r="Y107" s="646"/>
      <c r="Z107" s="673"/>
      <c r="AA107" s="646"/>
      <c r="AB107" s="646"/>
      <c r="AC107" s="646"/>
      <c r="AD107" s="646"/>
      <c r="AE107" s="646"/>
      <c r="AF107" s="646"/>
      <c r="AG107" s="646"/>
      <c r="AH107" s="646"/>
      <c r="AI107" s="646"/>
      <c r="AJ107" s="646"/>
      <c r="AK107" s="646"/>
      <c r="AL107" s="646"/>
      <c r="AM107" s="646"/>
      <c r="AN107" s="646"/>
      <c r="AO107" s="646"/>
      <c r="AP107" s="646"/>
      <c r="AQ107" s="646"/>
      <c r="AR107" s="646"/>
      <c r="AS107" s="646"/>
      <c r="AT107" s="646"/>
      <c r="AU107" s="646"/>
      <c r="AV107" s="646"/>
      <c r="AW107" s="646"/>
      <c r="AX107" s="646"/>
      <c r="AY107" s="646"/>
      <c r="AZ107" s="646"/>
      <c r="BA107" s="646"/>
      <c r="BB107" s="646"/>
      <c r="BC107" s="646"/>
      <c r="BD107" s="646"/>
      <c r="BE107" s="646"/>
      <c r="BF107" s="646"/>
      <c r="BG107" s="646"/>
      <c r="BH107" s="646"/>
      <c r="BI107" s="646"/>
      <c r="BJ107" s="646"/>
      <c r="BK107" s="646"/>
      <c r="BL107" s="646"/>
      <c r="BM107" s="646"/>
      <c r="BN107" s="646"/>
      <c r="BO107" s="646"/>
      <c r="BP107" s="646"/>
      <c r="BQ107" s="646"/>
      <c r="BR107" s="645"/>
      <c r="BS107" s="645"/>
      <c r="BT107" s="645"/>
      <c r="BU107" s="645"/>
      <c r="BV107" s="646"/>
      <c r="BW107" s="647"/>
      <c r="BX107" s="647"/>
      <c r="BY107" s="647"/>
      <c r="BZ107" s="647"/>
      <c r="CA107" s="647"/>
      <c r="CB107" s="647"/>
      <c r="CC107" s="647"/>
      <c r="CD107" s="647"/>
      <c r="CE107" s="647"/>
      <c r="CF107" s="647"/>
      <c r="CG107" s="647"/>
      <c r="CH107" s="647"/>
      <c r="CI107" s="647"/>
      <c r="FK107" s="714"/>
      <c r="FL107" s="714"/>
    </row>
    <row r="108" spans="4:168" s="640" customFormat="1" ht="15.75" customHeight="1">
      <c r="D108" s="641"/>
      <c r="G108" s="642"/>
      <c r="J108" s="642"/>
      <c r="K108" s="643"/>
      <c r="M108" s="644"/>
      <c r="N108" s="642"/>
      <c r="Q108" s="642"/>
      <c r="T108" s="642"/>
      <c r="U108" s="643"/>
      <c r="X108" s="645"/>
      <c r="Y108" s="646"/>
      <c r="Z108" s="673"/>
      <c r="AA108" s="646"/>
      <c r="AB108" s="646"/>
      <c r="AC108" s="646"/>
      <c r="AD108" s="646"/>
      <c r="AE108" s="646"/>
      <c r="AF108" s="646"/>
      <c r="AG108" s="646"/>
      <c r="AH108" s="646"/>
      <c r="AI108" s="646"/>
      <c r="AJ108" s="646"/>
      <c r="AK108" s="646"/>
      <c r="AL108" s="646"/>
      <c r="AM108" s="646"/>
      <c r="AN108" s="646"/>
      <c r="AO108" s="646"/>
      <c r="AP108" s="646"/>
      <c r="AQ108" s="646"/>
      <c r="AR108" s="646"/>
      <c r="AS108" s="646"/>
      <c r="AT108" s="646"/>
      <c r="AU108" s="646"/>
      <c r="AV108" s="646"/>
      <c r="AW108" s="646"/>
      <c r="AX108" s="646"/>
      <c r="AY108" s="646"/>
      <c r="AZ108" s="646"/>
      <c r="BA108" s="646"/>
      <c r="BB108" s="646"/>
      <c r="BC108" s="646"/>
      <c r="BD108" s="646"/>
      <c r="BE108" s="646"/>
      <c r="BF108" s="646"/>
      <c r="BG108" s="646"/>
      <c r="BH108" s="646"/>
      <c r="BI108" s="646"/>
      <c r="BJ108" s="646"/>
      <c r="BK108" s="646"/>
      <c r="BL108" s="646"/>
      <c r="BM108" s="646"/>
      <c r="BN108" s="646"/>
      <c r="BO108" s="646"/>
      <c r="BP108" s="646"/>
      <c r="BQ108" s="646"/>
      <c r="BR108" s="645"/>
      <c r="BS108" s="645"/>
      <c r="BT108" s="645"/>
      <c r="BU108" s="645"/>
      <c r="BV108" s="646"/>
      <c r="BW108" s="647"/>
      <c r="BX108" s="647"/>
      <c r="BY108" s="647"/>
      <c r="BZ108" s="647"/>
      <c r="CA108" s="647"/>
      <c r="CB108" s="647"/>
      <c r="CC108" s="647"/>
      <c r="CD108" s="647"/>
      <c r="CE108" s="647"/>
      <c r="CF108" s="647"/>
      <c r="CG108" s="647"/>
      <c r="CH108" s="647"/>
      <c r="CI108" s="647"/>
      <c r="FK108" s="714"/>
      <c r="FL108" s="714"/>
    </row>
    <row r="109" spans="4:168" s="640" customFormat="1" ht="15.75" customHeight="1">
      <c r="D109" s="641"/>
      <c r="G109" s="642"/>
      <c r="J109" s="642"/>
      <c r="K109" s="643"/>
      <c r="M109" s="644"/>
      <c r="N109" s="642"/>
      <c r="Q109" s="642"/>
      <c r="T109" s="642"/>
      <c r="U109" s="643"/>
      <c r="X109" s="645"/>
      <c r="Y109" s="646"/>
      <c r="Z109" s="673"/>
      <c r="AA109" s="646"/>
      <c r="AB109" s="646"/>
      <c r="AC109" s="646"/>
      <c r="AD109" s="646"/>
      <c r="AE109" s="646"/>
      <c r="AF109" s="646"/>
      <c r="AG109" s="646"/>
      <c r="AH109" s="646"/>
      <c r="AI109" s="646"/>
      <c r="AJ109" s="646"/>
      <c r="AK109" s="646"/>
      <c r="AL109" s="646"/>
      <c r="AM109" s="646"/>
      <c r="AN109" s="646"/>
      <c r="AO109" s="646"/>
      <c r="AP109" s="646"/>
      <c r="AQ109" s="646"/>
      <c r="AR109" s="646"/>
      <c r="AS109" s="646"/>
      <c r="AT109" s="646"/>
      <c r="AU109" s="646"/>
      <c r="AV109" s="646"/>
      <c r="AW109" s="646"/>
      <c r="AX109" s="646"/>
      <c r="AY109" s="646"/>
      <c r="AZ109" s="646"/>
      <c r="BA109" s="646"/>
      <c r="BB109" s="646"/>
      <c r="BC109" s="646"/>
      <c r="BD109" s="646"/>
      <c r="BE109" s="646"/>
      <c r="BF109" s="646"/>
      <c r="BG109" s="646"/>
      <c r="BH109" s="646"/>
      <c r="BI109" s="646"/>
      <c r="BJ109" s="646"/>
      <c r="BK109" s="646"/>
      <c r="BL109" s="646"/>
      <c r="BM109" s="646"/>
      <c r="BN109" s="646"/>
      <c r="BO109" s="646"/>
      <c r="BP109" s="646"/>
      <c r="BQ109" s="646"/>
      <c r="BR109" s="645"/>
      <c r="BS109" s="645"/>
      <c r="BT109" s="645"/>
      <c r="BU109" s="645"/>
      <c r="BV109" s="646"/>
      <c r="BW109" s="647"/>
      <c r="BX109" s="647"/>
      <c r="BY109" s="647"/>
      <c r="BZ109" s="647"/>
      <c r="CA109" s="647"/>
      <c r="CB109" s="647"/>
      <c r="CC109" s="647"/>
      <c r="CD109" s="647"/>
      <c r="CE109" s="647"/>
      <c r="CF109" s="647"/>
      <c r="CG109" s="647"/>
      <c r="CH109" s="647"/>
      <c r="CI109" s="647"/>
      <c r="FK109" s="714"/>
      <c r="FL109" s="714"/>
    </row>
    <row r="110" spans="4:168" s="640" customFormat="1" ht="15.75" customHeight="1">
      <c r="D110" s="641"/>
      <c r="G110" s="642"/>
      <c r="J110" s="642"/>
      <c r="K110" s="643"/>
      <c r="M110" s="644"/>
      <c r="N110" s="642"/>
      <c r="Q110" s="642"/>
      <c r="T110" s="642"/>
      <c r="U110" s="643"/>
      <c r="X110" s="645"/>
      <c r="Y110" s="646"/>
      <c r="Z110" s="673"/>
      <c r="AA110" s="646"/>
      <c r="AB110" s="646"/>
      <c r="AC110" s="646"/>
      <c r="AD110" s="646"/>
      <c r="AE110" s="646"/>
      <c r="AF110" s="646"/>
      <c r="AG110" s="646"/>
      <c r="AH110" s="646"/>
      <c r="AI110" s="646"/>
      <c r="AJ110" s="646"/>
      <c r="AK110" s="646"/>
      <c r="AL110" s="646"/>
      <c r="AM110" s="646"/>
      <c r="AN110" s="646"/>
      <c r="AO110" s="646"/>
      <c r="AP110" s="646"/>
      <c r="AQ110" s="646"/>
      <c r="AR110" s="646"/>
      <c r="AS110" s="646"/>
      <c r="AT110" s="646"/>
      <c r="AU110" s="646"/>
      <c r="AV110" s="646"/>
      <c r="AW110" s="646"/>
      <c r="AX110" s="646"/>
      <c r="AY110" s="646"/>
      <c r="AZ110" s="646"/>
      <c r="BA110" s="646"/>
      <c r="BB110" s="646"/>
      <c r="BC110" s="646"/>
      <c r="BD110" s="646"/>
      <c r="BE110" s="646"/>
      <c r="BF110" s="646"/>
      <c r="BG110" s="646"/>
      <c r="BH110" s="646"/>
      <c r="BI110" s="646"/>
      <c r="BJ110" s="646"/>
      <c r="BK110" s="646"/>
      <c r="BL110" s="646"/>
      <c r="BM110" s="646"/>
      <c r="BN110" s="646"/>
      <c r="BO110" s="646"/>
      <c r="BP110" s="646"/>
      <c r="BQ110" s="646"/>
      <c r="BR110" s="645"/>
      <c r="BS110" s="645"/>
      <c r="BT110" s="645"/>
      <c r="BU110" s="645"/>
      <c r="BV110" s="646"/>
      <c r="BW110" s="647"/>
      <c r="BX110" s="647"/>
      <c r="BY110" s="647"/>
      <c r="BZ110" s="647"/>
      <c r="CA110" s="647"/>
      <c r="CB110" s="647"/>
      <c r="CC110" s="647"/>
      <c r="CD110" s="647"/>
      <c r="CE110" s="647"/>
      <c r="CF110" s="647"/>
      <c r="CG110" s="647"/>
      <c r="CH110" s="647"/>
      <c r="CI110" s="647"/>
      <c r="FK110" s="714"/>
      <c r="FL110" s="714"/>
    </row>
    <row r="111" spans="4:168" s="640" customFormat="1" ht="15.75" customHeight="1">
      <c r="D111" s="641"/>
      <c r="G111" s="642"/>
      <c r="J111" s="642"/>
      <c r="K111" s="643"/>
      <c r="M111" s="644"/>
      <c r="N111" s="642"/>
      <c r="Q111" s="642"/>
      <c r="T111" s="642"/>
      <c r="U111" s="643"/>
      <c r="X111" s="645"/>
      <c r="Y111" s="646"/>
      <c r="Z111" s="673"/>
      <c r="AA111" s="646"/>
      <c r="AB111" s="646"/>
      <c r="AC111" s="646"/>
      <c r="AD111" s="646"/>
      <c r="AE111" s="646"/>
      <c r="AF111" s="646"/>
      <c r="AG111" s="646"/>
      <c r="AH111" s="646"/>
      <c r="AI111" s="646"/>
      <c r="AJ111" s="646"/>
      <c r="AK111" s="646"/>
      <c r="AL111" s="646"/>
      <c r="AM111" s="646"/>
      <c r="AN111" s="646"/>
      <c r="AO111" s="646"/>
      <c r="AP111" s="646"/>
      <c r="AQ111" s="646"/>
      <c r="AR111" s="646"/>
      <c r="AS111" s="646"/>
      <c r="AT111" s="646"/>
      <c r="AU111" s="646"/>
      <c r="AV111" s="646"/>
      <c r="AW111" s="646"/>
      <c r="AX111" s="646"/>
      <c r="AY111" s="646"/>
      <c r="AZ111" s="646"/>
      <c r="BA111" s="646"/>
      <c r="BB111" s="646"/>
      <c r="BC111" s="646"/>
      <c r="BD111" s="646"/>
      <c r="BE111" s="646"/>
      <c r="BF111" s="646"/>
      <c r="BG111" s="646"/>
      <c r="BH111" s="646"/>
      <c r="BI111" s="646"/>
      <c r="BJ111" s="646"/>
      <c r="BK111" s="646"/>
      <c r="BL111" s="646"/>
      <c r="BM111" s="646"/>
      <c r="BN111" s="646"/>
      <c r="BO111" s="646"/>
      <c r="BP111" s="646"/>
      <c r="BQ111" s="646"/>
      <c r="BR111" s="645"/>
      <c r="BS111" s="645"/>
      <c r="BT111" s="645"/>
      <c r="BU111" s="645"/>
      <c r="BV111" s="646"/>
      <c r="BW111" s="647"/>
      <c r="BX111" s="647"/>
      <c r="BY111" s="647"/>
      <c r="BZ111" s="647"/>
      <c r="CA111" s="647"/>
      <c r="CB111" s="647"/>
      <c r="CC111" s="647"/>
      <c r="CD111" s="647"/>
      <c r="CE111" s="647"/>
      <c r="CF111" s="647"/>
      <c r="CG111" s="647"/>
      <c r="CH111" s="647"/>
      <c r="CI111" s="647"/>
      <c r="FK111" s="714"/>
      <c r="FL111" s="714"/>
    </row>
    <row r="112" spans="4:168" s="640" customFormat="1" ht="15.75" customHeight="1">
      <c r="D112" s="641"/>
      <c r="G112" s="642"/>
      <c r="J112" s="642"/>
      <c r="K112" s="643"/>
      <c r="M112" s="644"/>
      <c r="N112" s="642"/>
      <c r="Q112" s="642"/>
      <c r="T112" s="642"/>
      <c r="U112" s="643"/>
      <c r="X112" s="645"/>
      <c r="Y112" s="646"/>
      <c r="Z112" s="673"/>
      <c r="AA112" s="646"/>
      <c r="AB112" s="646"/>
      <c r="AC112" s="646"/>
      <c r="AD112" s="646"/>
      <c r="AE112" s="646"/>
      <c r="AF112" s="646"/>
      <c r="AG112" s="646"/>
      <c r="AH112" s="646"/>
      <c r="AI112" s="646"/>
      <c r="AJ112" s="646"/>
      <c r="AK112" s="646"/>
      <c r="AL112" s="646"/>
      <c r="AM112" s="646"/>
      <c r="AN112" s="646"/>
      <c r="AO112" s="646"/>
      <c r="AP112" s="646"/>
      <c r="AQ112" s="646"/>
      <c r="AR112" s="646"/>
      <c r="AS112" s="646"/>
      <c r="AT112" s="646"/>
      <c r="AU112" s="646"/>
      <c r="AV112" s="646"/>
      <c r="AW112" s="646"/>
      <c r="AX112" s="646"/>
      <c r="AY112" s="646"/>
      <c r="AZ112" s="646"/>
      <c r="BA112" s="646"/>
      <c r="BB112" s="646"/>
      <c r="BC112" s="646"/>
      <c r="BD112" s="646"/>
      <c r="BE112" s="646"/>
      <c r="BF112" s="646"/>
      <c r="BG112" s="646"/>
      <c r="BH112" s="646"/>
      <c r="BI112" s="646"/>
      <c r="BJ112" s="646"/>
      <c r="BK112" s="646"/>
      <c r="BL112" s="646"/>
      <c r="BM112" s="646"/>
      <c r="BN112" s="646"/>
      <c r="BO112" s="646"/>
      <c r="BP112" s="646"/>
      <c r="BQ112" s="646"/>
      <c r="BR112" s="645"/>
      <c r="BS112" s="645"/>
      <c r="BT112" s="645"/>
      <c r="BU112" s="645"/>
      <c r="BV112" s="646"/>
      <c r="BW112" s="647"/>
      <c r="BX112" s="647"/>
      <c r="BY112" s="647"/>
      <c r="BZ112" s="647"/>
      <c r="CA112" s="647"/>
      <c r="CB112" s="647"/>
      <c r="CC112" s="647"/>
      <c r="CD112" s="647"/>
      <c r="CE112" s="647"/>
      <c r="CF112" s="647"/>
      <c r="CG112" s="647"/>
      <c r="CH112" s="647"/>
      <c r="CI112" s="647"/>
      <c r="FK112" s="714"/>
      <c r="FL112" s="714"/>
    </row>
    <row r="113" spans="4:168" s="640" customFormat="1" ht="15.75" customHeight="1">
      <c r="D113" s="641"/>
      <c r="G113" s="642"/>
      <c r="J113" s="642"/>
      <c r="K113" s="643"/>
      <c r="M113" s="644"/>
      <c r="N113" s="642"/>
      <c r="Q113" s="642"/>
      <c r="T113" s="642"/>
      <c r="U113" s="643"/>
      <c r="X113" s="645"/>
      <c r="Y113" s="646"/>
      <c r="Z113" s="673"/>
      <c r="AA113" s="646"/>
      <c r="AB113" s="646"/>
      <c r="AC113" s="646"/>
      <c r="AD113" s="646"/>
      <c r="AE113" s="646"/>
      <c r="AF113" s="646"/>
      <c r="AG113" s="646"/>
      <c r="AH113" s="646"/>
      <c r="AI113" s="646"/>
      <c r="AJ113" s="646"/>
      <c r="AK113" s="646"/>
      <c r="AL113" s="646"/>
      <c r="AM113" s="646"/>
      <c r="AN113" s="646"/>
      <c r="AO113" s="646"/>
      <c r="AP113" s="646"/>
      <c r="AQ113" s="646"/>
      <c r="AR113" s="646"/>
      <c r="AS113" s="646"/>
      <c r="AT113" s="646"/>
      <c r="AU113" s="646"/>
      <c r="AV113" s="646"/>
      <c r="AW113" s="646"/>
      <c r="AX113" s="646"/>
      <c r="AY113" s="646"/>
      <c r="AZ113" s="646"/>
      <c r="BA113" s="646"/>
      <c r="BB113" s="646"/>
      <c r="BC113" s="646"/>
      <c r="BD113" s="646"/>
      <c r="BE113" s="646"/>
      <c r="BF113" s="646"/>
      <c r="BG113" s="646"/>
      <c r="BH113" s="646"/>
      <c r="BI113" s="646"/>
      <c r="BJ113" s="646"/>
      <c r="BK113" s="646"/>
      <c r="BL113" s="646"/>
      <c r="BM113" s="646"/>
      <c r="BN113" s="646"/>
      <c r="BO113" s="646"/>
      <c r="BP113" s="646"/>
      <c r="BQ113" s="646"/>
      <c r="BR113" s="645"/>
      <c r="BS113" s="645"/>
      <c r="BT113" s="645"/>
      <c r="BU113" s="645"/>
      <c r="BV113" s="646"/>
      <c r="BW113" s="647"/>
      <c r="BX113" s="647"/>
      <c r="BY113" s="647"/>
      <c r="BZ113" s="647"/>
      <c r="CA113" s="647"/>
      <c r="CB113" s="647"/>
      <c r="CC113" s="647"/>
      <c r="CD113" s="647"/>
      <c r="CE113" s="647"/>
      <c r="CF113" s="647"/>
      <c r="CG113" s="647"/>
      <c r="CH113" s="647"/>
      <c r="CI113" s="647"/>
      <c r="FK113" s="714"/>
      <c r="FL113" s="714"/>
    </row>
    <row r="114" spans="4:168" s="640" customFormat="1" ht="15.75" customHeight="1">
      <c r="D114" s="641"/>
      <c r="G114" s="642"/>
      <c r="J114" s="642"/>
      <c r="K114" s="643"/>
      <c r="M114" s="644"/>
      <c r="N114" s="642"/>
      <c r="Q114" s="642"/>
      <c r="T114" s="642"/>
      <c r="U114" s="643"/>
      <c r="X114" s="645"/>
      <c r="Y114" s="646"/>
      <c r="Z114" s="673"/>
      <c r="AA114" s="646"/>
      <c r="AB114" s="646"/>
      <c r="AC114" s="646"/>
      <c r="AD114" s="646"/>
      <c r="AE114" s="646"/>
      <c r="AF114" s="646"/>
      <c r="AG114" s="646"/>
      <c r="AH114" s="646"/>
      <c r="AI114" s="646"/>
      <c r="AJ114" s="646"/>
      <c r="AK114" s="646"/>
      <c r="AL114" s="646"/>
      <c r="AM114" s="646"/>
      <c r="AN114" s="646"/>
      <c r="AO114" s="646"/>
      <c r="AP114" s="646"/>
      <c r="AQ114" s="646"/>
      <c r="AR114" s="646"/>
      <c r="AS114" s="646"/>
      <c r="AT114" s="646"/>
      <c r="AU114" s="646"/>
      <c r="AV114" s="646"/>
      <c r="AW114" s="646"/>
      <c r="AX114" s="646"/>
      <c r="AY114" s="646"/>
      <c r="AZ114" s="646"/>
      <c r="BA114" s="646"/>
      <c r="BB114" s="646"/>
      <c r="BC114" s="646"/>
      <c r="BD114" s="646"/>
      <c r="BE114" s="646"/>
      <c r="BF114" s="646"/>
      <c r="BG114" s="646"/>
      <c r="BH114" s="646"/>
      <c r="BI114" s="646"/>
      <c r="BJ114" s="646"/>
      <c r="BK114" s="646"/>
      <c r="BL114" s="646"/>
      <c r="BM114" s="646"/>
      <c r="BN114" s="646"/>
      <c r="BO114" s="646"/>
      <c r="BP114" s="646"/>
      <c r="BQ114" s="646"/>
      <c r="BR114" s="645"/>
      <c r="BS114" s="645"/>
      <c r="BT114" s="645"/>
      <c r="BU114" s="645"/>
      <c r="BV114" s="646"/>
      <c r="BW114" s="647"/>
      <c r="BX114" s="647"/>
      <c r="BY114" s="647"/>
      <c r="BZ114" s="647"/>
      <c r="CA114" s="647"/>
      <c r="CB114" s="647"/>
      <c r="CC114" s="647"/>
      <c r="CD114" s="647"/>
      <c r="CE114" s="647"/>
      <c r="CF114" s="647"/>
      <c r="CG114" s="647"/>
      <c r="CH114" s="647"/>
      <c r="CI114" s="647"/>
      <c r="FK114" s="714"/>
      <c r="FL114" s="714"/>
    </row>
    <row r="115" spans="4:168" s="640" customFormat="1" ht="15.75" customHeight="1">
      <c r="D115" s="641"/>
      <c r="G115" s="642"/>
      <c r="J115" s="642"/>
      <c r="K115" s="643"/>
      <c r="M115" s="644"/>
      <c r="N115" s="642"/>
      <c r="Q115" s="642"/>
      <c r="T115" s="642"/>
      <c r="U115" s="643"/>
      <c r="X115" s="645"/>
      <c r="Y115" s="646"/>
      <c r="Z115" s="673"/>
      <c r="AA115" s="646"/>
      <c r="AB115" s="646"/>
      <c r="AC115" s="646"/>
      <c r="AD115" s="646"/>
      <c r="AE115" s="646"/>
      <c r="AF115" s="646"/>
      <c r="AG115" s="646"/>
      <c r="AH115" s="646"/>
      <c r="AI115" s="646"/>
      <c r="AJ115" s="646"/>
      <c r="AK115" s="646"/>
      <c r="AL115" s="646"/>
      <c r="AM115" s="646"/>
      <c r="AN115" s="646"/>
      <c r="AO115" s="646"/>
      <c r="AP115" s="646"/>
      <c r="AQ115" s="646"/>
      <c r="AR115" s="646"/>
      <c r="AS115" s="646"/>
      <c r="AT115" s="646"/>
      <c r="AU115" s="646"/>
      <c r="AV115" s="646"/>
      <c r="AW115" s="646"/>
      <c r="AX115" s="646"/>
      <c r="AY115" s="646"/>
      <c r="AZ115" s="646"/>
      <c r="BA115" s="646"/>
      <c r="BB115" s="646"/>
      <c r="BC115" s="646"/>
      <c r="BD115" s="646"/>
      <c r="BE115" s="646"/>
      <c r="BF115" s="646"/>
      <c r="BG115" s="646"/>
      <c r="BH115" s="646"/>
      <c r="BI115" s="646"/>
      <c r="BJ115" s="646"/>
      <c r="BK115" s="646"/>
      <c r="BL115" s="646"/>
      <c r="BM115" s="646"/>
      <c r="BN115" s="646"/>
      <c r="BO115" s="646"/>
      <c r="BP115" s="646"/>
      <c r="BQ115" s="646"/>
      <c r="BR115" s="645"/>
      <c r="BS115" s="645"/>
      <c r="BT115" s="645"/>
      <c r="BU115" s="645"/>
      <c r="BV115" s="646"/>
      <c r="BW115" s="647"/>
      <c r="BX115" s="647"/>
      <c r="BY115" s="647"/>
      <c r="BZ115" s="647"/>
      <c r="CA115" s="647"/>
      <c r="CB115" s="647"/>
      <c r="CC115" s="647"/>
      <c r="CD115" s="647"/>
      <c r="CE115" s="647"/>
      <c r="CF115" s="647"/>
      <c r="CG115" s="647"/>
      <c r="CH115" s="647"/>
      <c r="CI115" s="647"/>
      <c r="FK115" s="714"/>
      <c r="FL115" s="714"/>
    </row>
    <row r="116" spans="4:168" s="640" customFormat="1" ht="15.75" customHeight="1">
      <c r="D116" s="641"/>
      <c r="G116" s="642"/>
      <c r="J116" s="642"/>
      <c r="K116" s="643"/>
      <c r="M116" s="644"/>
      <c r="N116" s="642"/>
      <c r="Q116" s="642"/>
      <c r="T116" s="642"/>
      <c r="U116" s="643"/>
      <c r="X116" s="645"/>
      <c r="Y116" s="646"/>
      <c r="Z116" s="673"/>
      <c r="AA116" s="646"/>
      <c r="AB116" s="646"/>
      <c r="AC116" s="646"/>
      <c r="AD116" s="646"/>
      <c r="AE116" s="646"/>
      <c r="AF116" s="646"/>
      <c r="AG116" s="646"/>
      <c r="AH116" s="646"/>
      <c r="AI116" s="646"/>
      <c r="AJ116" s="646"/>
      <c r="AK116" s="646"/>
      <c r="AL116" s="646"/>
      <c r="AM116" s="646"/>
      <c r="AN116" s="646"/>
      <c r="AO116" s="646"/>
      <c r="AP116" s="646"/>
      <c r="AQ116" s="646"/>
      <c r="AR116" s="646"/>
      <c r="AS116" s="646"/>
      <c r="AT116" s="646"/>
      <c r="AU116" s="646"/>
      <c r="AV116" s="646"/>
      <c r="AW116" s="646"/>
      <c r="AX116" s="646"/>
      <c r="AY116" s="646"/>
      <c r="AZ116" s="646"/>
      <c r="BA116" s="646"/>
      <c r="BB116" s="646"/>
      <c r="BC116" s="646"/>
      <c r="BD116" s="646"/>
      <c r="BE116" s="646"/>
      <c r="BF116" s="646"/>
      <c r="BG116" s="646"/>
      <c r="BH116" s="646"/>
      <c r="BI116" s="646"/>
      <c r="BJ116" s="646"/>
      <c r="BK116" s="646"/>
      <c r="BL116" s="646"/>
      <c r="BM116" s="646"/>
      <c r="BN116" s="646"/>
      <c r="BO116" s="646"/>
      <c r="BP116" s="646"/>
      <c r="BQ116" s="646"/>
      <c r="BR116" s="645"/>
      <c r="BS116" s="645"/>
      <c r="BT116" s="645"/>
      <c r="BU116" s="645"/>
      <c r="BV116" s="646"/>
      <c r="BW116" s="647"/>
      <c r="BX116" s="647"/>
      <c r="BY116" s="647"/>
      <c r="BZ116" s="647"/>
      <c r="CA116" s="647"/>
      <c r="CB116" s="647"/>
      <c r="CC116" s="647"/>
      <c r="CD116" s="647"/>
      <c r="CE116" s="647"/>
      <c r="CF116" s="647"/>
      <c r="CG116" s="647"/>
      <c r="CH116" s="647"/>
      <c r="CI116" s="647"/>
      <c r="FK116" s="714"/>
      <c r="FL116" s="714"/>
    </row>
    <row r="117" spans="4:168" s="640" customFormat="1" ht="15.75" customHeight="1">
      <c r="D117" s="641"/>
      <c r="G117" s="642"/>
      <c r="J117" s="642"/>
      <c r="K117" s="643"/>
      <c r="M117" s="644"/>
      <c r="N117" s="642"/>
      <c r="Q117" s="642"/>
      <c r="T117" s="642"/>
      <c r="U117" s="643"/>
      <c r="X117" s="645"/>
      <c r="Y117" s="646"/>
      <c r="Z117" s="673"/>
      <c r="AA117" s="646"/>
      <c r="AB117" s="646"/>
      <c r="AC117" s="646"/>
      <c r="AD117" s="646"/>
      <c r="AE117" s="646"/>
      <c r="AF117" s="646"/>
      <c r="AG117" s="646"/>
      <c r="AH117" s="646"/>
      <c r="AI117" s="646"/>
      <c r="AJ117" s="646"/>
      <c r="AK117" s="646"/>
      <c r="AL117" s="646"/>
      <c r="AM117" s="646"/>
      <c r="AN117" s="646"/>
      <c r="AO117" s="646"/>
      <c r="AP117" s="646"/>
      <c r="AQ117" s="646"/>
      <c r="AR117" s="646"/>
      <c r="AS117" s="646"/>
      <c r="AT117" s="646"/>
      <c r="AU117" s="646"/>
      <c r="AV117" s="646"/>
      <c r="AW117" s="646"/>
      <c r="AX117" s="646"/>
      <c r="AY117" s="646"/>
      <c r="AZ117" s="646"/>
      <c r="BA117" s="646"/>
      <c r="BB117" s="646"/>
      <c r="BC117" s="646"/>
      <c r="BD117" s="646"/>
      <c r="BE117" s="646"/>
      <c r="BF117" s="646"/>
      <c r="BG117" s="646"/>
      <c r="BH117" s="646"/>
      <c r="BI117" s="646"/>
      <c r="BJ117" s="646"/>
      <c r="BK117" s="646"/>
      <c r="BL117" s="646"/>
      <c r="BM117" s="646"/>
      <c r="BN117" s="646"/>
      <c r="BO117" s="646"/>
      <c r="BP117" s="646"/>
      <c r="BQ117" s="646"/>
      <c r="BR117" s="645"/>
      <c r="BS117" s="645"/>
      <c r="BT117" s="645"/>
      <c r="BU117" s="645"/>
      <c r="BV117" s="646"/>
      <c r="BW117" s="647"/>
      <c r="BX117" s="647"/>
      <c r="BY117" s="647"/>
      <c r="BZ117" s="647"/>
      <c r="CA117" s="647"/>
      <c r="CB117" s="647"/>
      <c r="CC117" s="647"/>
      <c r="CD117" s="647"/>
      <c r="CE117" s="647"/>
      <c r="CF117" s="647"/>
      <c r="CG117" s="647"/>
      <c r="CH117" s="647"/>
      <c r="CI117" s="647"/>
      <c r="FK117" s="714"/>
      <c r="FL117" s="714"/>
    </row>
    <row r="118" spans="4:168" s="640" customFormat="1" ht="15.75" customHeight="1">
      <c r="D118" s="641"/>
      <c r="G118" s="642"/>
      <c r="J118" s="642"/>
      <c r="K118" s="643"/>
      <c r="M118" s="644"/>
      <c r="N118" s="642"/>
      <c r="Q118" s="642"/>
      <c r="T118" s="642"/>
      <c r="U118" s="643"/>
      <c r="X118" s="645"/>
      <c r="Y118" s="646"/>
      <c r="Z118" s="673"/>
      <c r="AA118" s="646"/>
      <c r="AB118" s="646"/>
      <c r="AC118" s="646"/>
      <c r="AD118" s="646"/>
      <c r="AE118" s="646"/>
      <c r="AF118" s="646"/>
      <c r="AG118" s="646"/>
      <c r="AH118" s="646"/>
      <c r="AI118" s="646"/>
      <c r="AJ118" s="646"/>
      <c r="AK118" s="646"/>
      <c r="AL118" s="646"/>
      <c r="AM118" s="646"/>
      <c r="AN118" s="646"/>
      <c r="AO118" s="646"/>
      <c r="AP118" s="646"/>
      <c r="AQ118" s="646"/>
      <c r="AR118" s="646"/>
      <c r="AS118" s="646"/>
      <c r="AT118" s="646"/>
      <c r="AU118" s="646"/>
      <c r="AV118" s="646"/>
      <c r="AW118" s="646"/>
      <c r="AX118" s="646"/>
      <c r="AY118" s="646"/>
      <c r="AZ118" s="646"/>
      <c r="BA118" s="646"/>
      <c r="BB118" s="646"/>
      <c r="BC118" s="646"/>
      <c r="BD118" s="646"/>
      <c r="BE118" s="646"/>
      <c r="BF118" s="646"/>
      <c r="BG118" s="646"/>
      <c r="BH118" s="646"/>
      <c r="BI118" s="646"/>
      <c r="BJ118" s="646"/>
      <c r="BK118" s="646"/>
      <c r="BL118" s="646"/>
      <c r="BM118" s="646"/>
      <c r="BN118" s="646"/>
      <c r="BO118" s="646"/>
      <c r="BP118" s="646"/>
      <c r="BQ118" s="646"/>
      <c r="BR118" s="645"/>
      <c r="BS118" s="645"/>
      <c r="BT118" s="645"/>
      <c r="BU118" s="645"/>
      <c r="BV118" s="646"/>
      <c r="BW118" s="647"/>
      <c r="BX118" s="647"/>
      <c r="BY118" s="647"/>
      <c r="BZ118" s="647"/>
      <c r="CA118" s="647"/>
      <c r="CB118" s="647"/>
      <c r="CC118" s="647"/>
      <c r="CD118" s="647"/>
      <c r="CE118" s="647"/>
      <c r="CF118" s="647"/>
      <c r="CG118" s="647"/>
      <c r="CH118" s="647"/>
      <c r="CI118" s="647"/>
      <c r="FK118" s="714"/>
      <c r="FL118" s="714"/>
    </row>
    <row r="119" spans="4:168" s="640" customFormat="1" ht="15.75" customHeight="1">
      <c r="D119" s="641"/>
      <c r="G119" s="642"/>
      <c r="J119" s="642"/>
      <c r="K119" s="643"/>
      <c r="M119" s="644"/>
      <c r="N119" s="642"/>
      <c r="Q119" s="642"/>
      <c r="T119" s="642"/>
      <c r="U119" s="643"/>
      <c r="X119" s="645"/>
      <c r="Y119" s="646"/>
      <c r="Z119" s="673"/>
      <c r="AA119" s="646"/>
      <c r="AB119" s="646"/>
      <c r="AC119" s="646"/>
      <c r="AD119" s="646"/>
      <c r="AE119" s="646"/>
      <c r="AF119" s="646"/>
      <c r="AG119" s="646"/>
      <c r="AH119" s="646"/>
      <c r="AI119" s="646"/>
      <c r="AJ119" s="646"/>
      <c r="AK119" s="646"/>
      <c r="AL119" s="646"/>
      <c r="AM119" s="646"/>
      <c r="AN119" s="646"/>
      <c r="AO119" s="646"/>
      <c r="AP119" s="646"/>
      <c r="AQ119" s="646"/>
      <c r="AR119" s="646"/>
      <c r="AS119" s="646"/>
      <c r="AT119" s="646"/>
      <c r="AU119" s="646"/>
      <c r="AV119" s="646"/>
      <c r="AW119" s="646"/>
      <c r="AX119" s="646"/>
      <c r="AY119" s="646"/>
      <c r="AZ119" s="646"/>
      <c r="BA119" s="646"/>
      <c r="BB119" s="646"/>
      <c r="BC119" s="646"/>
      <c r="BD119" s="646"/>
      <c r="BE119" s="646"/>
      <c r="BF119" s="646"/>
      <c r="BG119" s="646"/>
      <c r="BH119" s="646"/>
      <c r="BI119" s="646"/>
      <c r="BJ119" s="646"/>
      <c r="BK119" s="646"/>
      <c r="BL119" s="646"/>
      <c r="BM119" s="646"/>
      <c r="BN119" s="646"/>
      <c r="BO119" s="646"/>
      <c r="BP119" s="646"/>
      <c r="BQ119" s="646"/>
      <c r="BR119" s="645"/>
      <c r="BS119" s="645"/>
      <c r="BT119" s="645"/>
      <c r="BU119" s="645"/>
      <c r="BV119" s="646"/>
      <c r="BW119" s="647"/>
      <c r="BX119" s="647"/>
      <c r="BY119" s="647"/>
      <c r="BZ119" s="647"/>
      <c r="CA119" s="647"/>
      <c r="CB119" s="647"/>
      <c r="CC119" s="647"/>
      <c r="CD119" s="647"/>
      <c r="CE119" s="647"/>
      <c r="CF119" s="647"/>
      <c r="CG119" s="647"/>
      <c r="CH119" s="647"/>
      <c r="CI119" s="647"/>
      <c r="FK119" s="714"/>
      <c r="FL119" s="714"/>
    </row>
    <row r="120" spans="4:168" s="640" customFormat="1" ht="15.75" customHeight="1">
      <c r="D120" s="641"/>
      <c r="G120" s="642"/>
      <c r="J120" s="642"/>
      <c r="K120" s="643"/>
      <c r="M120" s="644"/>
      <c r="N120" s="642"/>
      <c r="Q120" s="642"/>
      <c r="T120" s="642"/>
      <c r="U120" s="643"/>
      <c r="X120" s="645"/>
      <c r="Y120" s="646"/>
      <c r="Z120" s="673"/>
      <c r="AA120" s="646"/>
      <c r="AB120" s="646"/>
      <c r="AC120" s="646"/>
      <c r="AD120" s="646"/>
      <c r="AE120" s="646"/>
      <c r="AF120" s="646"/>
      <c r="AG120" s="646"/>
      <c r="AH120" s="646"/>
      <c r="AI120" s="646"/>
      <c r="AJ120" s="646"/>
      <c r="AK120" s="646"/>
      <c r="AL120" s="646"/>
      <c r="AM120" s="646"/>
      <c r="AN120" s="646"/>
      <c r="AO120" s="646"/>
      <c r="AP120" s="646"/>
      <c r="AQ120" s="646"/>
      <c r="AR120" s="646"/>
      <c r="AS120" s="646"/>
      <c r="AT120" s="646"/>
      <c r="AU120" s="646"/>
      <c r="AV120" s="646"/>
      <c r="AW120" s="646"/>
      <c r="AX120" s="646"/>
      <c r="AY120" s="646"/>
      <c r="AZ120" s="646"/>
      <c r="BA120" s="646"/>
      <c r="BB120" s="646"/>
      <c r="BC120" s="646"/>
      <c r="BD120" s="646"/>
      <c r="BE120" s="646"/>
      <c r="BF120" s="646"/>
      <c r="BG120" s="646"/>
      <c r="BH120" s="646"/>
      <c r="BI120" s="646"/>
      <c r="BJ120" s="646"/>
      <c r="BK120" s="646"/>
      <c r="BL120" s="646"/>
      <c r="BM120" s="646"/>
      <c r="BN120" s="646"/>
      <c r="BO120" s="646"/>
      <c r="BP120" s="646"/>
      <c r="BQ120" s="646"/>
      <c r="BR120" s="645"/>
      <c r="BS120" s="645"/>
      <c r="BT120" s="645"/>
      <c r="BU120" s="645"/>
      <c r="BV120" s="646"/>
      <c r="BW120" s="647"/>
      <c r="BX120" s="647"/>
      <c r="BY120" s="647"/>
      <c r="BZ120" s="647"/>
      <c r="CA120" s="647"/>
      <c r="CB120" s="647"/>
      <c r="CC120" s="647"/>
      <c r="CD120" s="647"/>
      <c r="CE120" s="647"/>
      <c r="CF120" s="647"/>
      <c r="CG120" s="647"/>
      <c r="CH120" s="647"/>
      <c r="CI120" s="647"/>
      <c r="FK120" s="714"/>
      <c r="FL120" s="714"/>
    </row>
    <row r="121" spans="4:168" s="640" customFormat="1" ht="15.75" customHeight="1">
      <c r="D121" s="641"/>
      <c r="G121" s="642"/>
      <c r="J121" s="642"/>
      <c r="K121" s="643"/>
      <c r="M121" s="644"/>
      <c r="N121" s="642"/>
      <c r="Q121" s="642"/>
      <c r="T121" s="642"/>
      <c r="U121" s="643"/>
      <c r="X121" s="645"/>
      <c r="Y121" s="646"/>
      <c r="Z121" s="673"/>
      <c r="AA121" s="646"/>
      <c r="AB121" s="646"/>
      <c r="AC121" s="646"/>
      <c r="AD121" s="646"/>
      <c r="AE121" s="646"/>
      <c r="AF121" s="646"/>
      <c r="AG121" s="646"/>
      <c r="AH121" s="646"/>
      <c r="AI121" s="646"/>
      <c r="AJ121" s="646"/>
      <c r="AK121" s="646"/>
      <c r="AL121" s="646"/>
      <c r="AM121" s="646"/>
      <c r="AN121" s="646"/>
      <c r="AO121" s="646"/>
      <c r="AP121" s="646"/>
      <c r="AQ121" s="646"/>
      <c r="AR121" s="646"/>
      <c r="AS121" s="646"/>
      <c r="AT121" s="646"/>
      <c r="AU121" s="646"/>
      <c r="AV121" s="646"/>
      <c r="AW121" s="646"/>
      <c r="AX121" s="646"/>
      <c r="AY121" s="646"/>
      <c r="AZ121" s="646"/>
      <c r="BA121" s="646"/>
      <c r="BB121" s="646"/>
      <c r="BC121" s="646"/>
      <c r="BD121" s="646"/>
      <c r="BE121" s="646"/>
      <c r="BF121" s="646"/>
      <c r="BG121" s="646"/>
      <c r="BH121" s="646"/>
      <c r="BI121" s="646"/>
      <c r="BJ121" s="646"/>
      <c r="BK121" s="646"/>
      <c r="BL121" s="646"/>
      <c r="BM121" s="646"/>
      <c r="BN121" s="646"/>
      <c r="BO121" s="646"/>
      <c r="BP121" s="646"/>
      <c r="BQ121" s="646"/>
      <c r="BR121" s="645"/>
      <c r="BS121" s="645"/>
      <c r="BT121" s="645"/>
      <c r="BU121" s="645"/>
      <c r="BV121" s="646"/>
      <c r="BW121" s="647"/>
      <c r="BX121" s="647"/>
      <c r="BY121" s="647"/>
      <c r="BZ121" s="647"/>
      <c r="CA121" s="647"/>
      <c r="CB121" s="647"/>
      <c r="CC121" s="647"/>
      <c r="CD121" s="647"/>
      <c r="CE121" s="647"/>
      <c r="CF121" s="647"/>
      <c r="CG121" s="647"/>
      <c r="CH121" s="647"/>
      <c r="CI121" s="647"/>
      <c r="FK121" s="714"/>
      <c r="FL121" s="714"/>
    </row>
    <row r="122" spans="4:168" s="640" customFormat="1" ht="15.75" customHeight="1">
      <c r="D122" s="641"/>
      <c r="G122" s="642"/>
      <c r="J122" s="642"/>
      <c r="K122" s="643"/>
      <c r="M122" s="644"/>
      <c r="N122" s="642"/>
      <c r="Q122" s="642"/>
      <c r="T122" s="642"/>
      <c r="U122" s="643"/>
      <c r="X122" s="645"/>
      <c r="Y122" s="646"/>
      <c r="Z122" s="673"/>
      <c r="AA122" s="646"/>
      <c r="AB122" s="646"/>
      <c r="AC122" s="646"/>
      <c r="AD122" s="646"/>
      <c r="AE122" s="646"/>
      <c r="AF122" s="646"/>
      <c r="AG122" s="646"/>
      <c r="AH122" s="646"/>
      <c r="AI122" s="646"/>
      <c r="AJ122" s="646"/>
      <c r="AK122" s="646"/>
      <c r="AL122" s="646"/>
      <c r="AM122" s="646"/>
      <c r="AN122" s="646"/>
      <c r="AO122" s="646"/>
      <c r="AP122" s="646"/>
      <c r="AQ122" s="646"/>
      <c r="AR122" s="646"/>
      <c r="AS122" s="646"/>
      <c r="AT122" s="646"/>
      <c r="AU122" s="646"/>
      <c r="AV122" s="646"/>
      <c r="AW122" s="646"/>
      <c r="AX122" s="646"/>
      <c r="AY122" s="646"/>
      <c r="AZ122" s="646"/>
      <c r="BA122" s="646"/>
      <c r="BB122" s="646"/>
      <c r="BC122" s="646"/>
      <c r="BD122" s="646"/>
      <c r="BE122" s="646"/>
      <c r="BF122" s="646"/>
      <c r="BG122" s="646"/>
      <c r="BH122" s="646"/>
      <c r="BI122" s="646"/>
      <c r="BJ122" s="646"/>
      <c r="BK122" s="646"/>
      <c r="BL122" s="646"/>
      <c r="BM122" s="646"/>
      <c r="BN122" s="646"/>
      <c r="BO122" s="646"/>
      <c r="BP122" s="646"/>
      <c r="BQ122" s="646"/>
      <c r="BR122" s="645"/>
      <c r="BS122" s="645"/>
      <c r="BT122" s="645"/>
      <c r="BU122" s="645"/>
      <c r="BV122" s="646"/>
      <c r="BW122" s="647"/>
      <c r="BX122" s="647"/>
      <c r="BY122" s="647"/>
      <c r="BZ122" s="647"/>
      <c r="CA122" s="647"/>
      <c r="CB122" s="647"/>
      <c r="CC122" s="647"/>
      <c r="CD122" s="647"/>
      <c r="CE122" s="647"/>
      <c r="CF122" s="647"/>
      <c r="CG122" s="647"/>
      <c r="CH122" s="647"/>
      <c r="CI122" s="647"/>
      <c r="FK122" s="714"/>
      <c r="FL122" s="714"/>
    </row>
    <row r="123" spans="4:168" s="640" customFormat="1" ht="15.75" customHeight="1">
      <c r="D123" s="641"/>
      <c r="G123" s="642"/>
      <c r="J123" s="642"/>
      <c r="K123" s="643"/>
      <c r="M123" s="644"/>
      <c r="N123" s="642"/>
      <c r="Q123" s="642"/>
      <c r="T123" s="642"/>
      <c r="U123" s="643"/>
      <c r="X123" s="645"/>
      <c r="Y123" s="646"/>
      <c r="Z123" s="673"/>
      <c r="AA123" s="646"/>
      <c r="AB123" s="646"/>
      <c r="AC123" s="646"/>
      <c r="AD123" s="646"/>
      <c r="AE123" s="646"/>
      <c r="AF123" s="646"/>
      <c r="AG123" s="646"/>
      <c r="AH123" s="646"/>
      <c r="AI123" s="646"/>
      <c r="AJ123" s="646"/>
      <c r="AK123" s="646"/>
      <c r="AL123" s="646"/>
      <c r="AM123" s="646"/>
      <c r="AN123" s="646"/>
      <c r="AO123" s="646"/>
      <c r="AP123" s="646"/>
      <c r="AQ123" s="646"/>
      <c r="AR123" s="646"/>
      <c r="AS123" s="646"/>
      <c r="AT123" s="646"/>
      <c r="AU123" s="646"/>
      <c r="AV123" s="646"/>
      <c r="AW123" s="646"/>
      <c r="AX123" s="646"/>
      <c r="AY123" s="646"/>
      <c r="AZ123" s="646"/>
      <c r="BA123" s="646"/>
      <c r="BB123" s="646"/>
      <c r="BC123" s="646"/>
      <c r="BD123" s="646"/>
      <c r="BE123" s="646"/>
      <c r="BF123" s="646"/>
      <c r="BG123" s="646"/>
      <c r="BH123" s="646"/>
      <c r="BI123" s="646"/>
      <c r="BJ123" s="646"/>
      <c r="BK123" s="646"/>
      <c r="BL123" s="646"/>
      <c r="BM123" s="646"/>
      <c r="BN123" s="646"/>
      <c r="BO123" s="646"/>
      <c r="BP123" s="646"/>
      <c r="BQ123" s="646"/>
      <c r="BR123" s="645"/>
      <c r="BS123" s="645"/>
      <c r="BT123" s="645"/>
      <c r="BU123" s="645"/>
      <c r="BV123" s="646"/>
      <c r="BW123" s="647"/>
      <c r="BX123" s="647"/>
      <c r="BY123" s="647"/>
      <c r="BZ123" s="647"/>
      <c r="CA123" s="647"/>
      <c r="CB123" s="647"/>
      <c r="CC123" s="647"/>
      <c r="CD123" s="647"/>
      <c r="CE123" s="647"/>
      <c r="CF123" s="647"/>
      <c r="CG123" s="647"/>
      <c r="CH123" s="647"/>
      <c r="CI123" s="647"/>
      <c r="FK123" s="714"/>
      <c r="FL123" s="714"/>
    </row>
    <row r="124" spans="4:168" s="640" customFormat="1" ht="15.75" customHeight="1">
      <c r="D124" s="641"/>
      <c r="G124" s="642"/>
      <c r="J124" s="642"/>
      <c r="K124" s="643"/>
      <c r="M124" s="644"/>
      <c r="N124" s="642"/>
      <c r="Q124" s="642"/>
      <c r="T124" s="642"/>
      <c r="U124" s="643"/>
      <c r="X124" s="645"/>
      <c r="Y124" s="646"/>
      <c r="Z124" s="673"/>
      <c r="AA124" s="646"/>
      <c r="AB124" s="646"/>
      <c r="AC124" s="646"/>
      <c r="AD124" s="646"/>
      <c r="AE124" s="646"/>
      <c r="AF124" s="646"/>
      <c r="AG124" s="646"/>
      <c r="AH124" s="646"/>
      <c r="AI124" s="646"/>
      <c r="AJ124" s="646"/>
      <c r="AK124" s="646"/>
      <c r="AL124" s="646"/>
      <c r="AM124" s="646"/>
      <c r="AN124" s="646"/>
      <c r="AO124" s="646"/>
      <c r="AP124" s="646"/>
      <c r="AQ124" s="646"/>
      <c r="AR124" s="646"/>
      <c r="AS124" s="646"/>
      <c r="AT124" s="646"/>
      <c r="AU124" s="646"/>
      <c r="AV124" s="646"/>
      <c r="AW124" s="646"/>
      <c r="AX124" s="646"/>
      <c r="AY124" s="646"/>
      <c r="AZ124" s="646"/>
      <c r="BA124" s="646"/>
      <c r="BB124" s="646"/>
      <c r="BC124" s="646"/>
      <c r="BD124" s="646"/>
      <c r="BE124" s="646"/>
      <c r="BF124" s="646"/>
      <c r="BG124" s="646"/>
      <c r="BH124" s="646"/>
      <c r="BI124" s="646"/>
      <c r="BJ124" s="646"/>
      <c r="BK124" s="646"/>
      <c r="BL124" s="646"/>
      <c r="BM124" s="646"/>
      <c r="BN124" s="646"/>
      <c r="BO124" s="646"/>
      <c r="BP124" s="646"/>
      <c r="BQ124" s="646"/>
      <c r="BR124" s="645"/>
      <c r="BS124" s="645"/>
      <c r="BT124" s="645"/>
      <c r="BU124" s="645"/>
      <c r="BV124" s="646"/>
      <c r="BW124" s="647"/>
      <c r="BX124" s="647"/>
      <c r="BY124" s="647"/>
      <c r="BZ124" s="647"/>
      <c r="CA124" s="647"/>
      <c r="CB124" s="647"/>
      <c r="CC124" s="647"/>
      <c r="CD124" s="647"/>
      <c r="CE124" s="647"/>
      <c r="CF124" s="647"/>
      <c r="CG124" s="647"/>
      <c r="CH124" s="647"/>
      <c r="CI124" s="647"/>
      <c r="FK124" s="714"/>
      <c r="FL124" s="714"/>
    </row>
    <row r="125" spans="4:168" s="640" customFormat="1" ht="15.75" customHeight="1">
      <c r="D125" s="641"/>
      <c r="G125" s="642"/>
      <c r="J125" s="642"/>
      <c r="K125" s="643"/>
      <c r="M125" s="644"/>
      <c r="N125" s="642"/>
      <c r="Q125" s="642"/>
      <c r="T125" s="642"/>
      <c r="U125" s="643"/>
      <c r="X125" s="645"/>
      <c r="Y125" s="646"/>
      <c r="Z125" s="673"/>
      <c r="AA125" s="646"/>
      <c r="AB125" s="646"/>
      <c r="AC125" s="646"/>
      <c r="AD125" s="646"/>
      <c r="AE125" s="646"/>
      <c r="AF125" s="646"/>
      <c r="AG125" s="646"/>
      <c r="AH125" s="646"/>
      <c r="AI125" s="646"/>
      <c r="AJ125" s="646"/>
      <c r="AK125" s="646"/>
      <c r="AL125" s="646"/>
      <c r="AM125" s="646"/>
      <c r="AN125" s="646"/>
      <c r="AO125" s="646"/>
      <c r="AP125" s="646"/>
      <c r="AQ125" s="646"/>
      <c r="AR125" s="646"/>
      <c r="AS125" s="646"/>
      <c r="AT125" s="646"/>
      <c r="AU125" s="646"/>
      <c r="AV125" s="646"/>
      <c r="AW125" s="646"/>
      <c r="AX125" s="646"/>
      <c r="AY125" s="646"/>
      <c r="AZ125" s="646"/>
      <c r="BA125" s="646"/>
      <c r="BB125" s="646"/>
      <c r="BC125" s="646"/>
      <c r="BD125" s="646"/>
      <c r="BE125" s="646"/>
      <c r="BF125" s="646"/>
      <c r="BG125" s="646"/>
      <c r="BH125" s="646"/>
      <c r="BI125" s="646"/>
      <c r="BJ125" s="646"/>
      <c r="BK125" s="646"/>
      <c r="BL125" s="646"/>
      <c r="BM125" s="646"/>
      <c r="BN125" s="646"/>
      <c r="BO125" s="646"/>
      <c r="BP125" s="646"/>
      <c r="BQ125" s="646"/>
      <c r="BR125" s="645"/>
      <c r="BS125" s="645"/>
      <c r="BT125" s="645"/>
      <c r="BU125" s="645"/>
      <c r="BV125" s="646"/>
      <c r="BW125" s="647"/>
      <c r="BX125" s="647"/>
      <c r="BY125" s="647"/>
      <c r="BZ125" s="647"/>
      <c r="CA125" s="647"/>
      <c r="CB125" s="647"/>
      <c r="CC125" s="647"/>
      <c r="CD125" s="647"/>
      <c r="CE125" s="647"/>
      <c r="CF125" s="647"/>
      <c r="CG125" s="647"/>
      <c r="CH125" s="647"/>
      <c r="CI125" s="647"/>
      <c r="FK125" s="714"/>
      <c r="FL125" s="714"/>
    </row>
    <row r="126" spans="4:168" s="640" customFormat="1" ht="15.75" customHeight="1">
      <c r="D126" s="641"/>
      <c r="G126" s="642"/>
      <c r="J126" s="642"/>
      <c r="K126" s="643"/>
      <c r="M126" s="644"/>
      <c r="N126" s="642"/>
      <c r="Q126" s="642"/>
      <c r="T126" s="642"/>
      <c r="U126" s="643"/>
      <c r="X126" s="645"/>
      <c r="Y126" s="646"/>
      <c r="Z126" s="673"/>
      <c r="AA126" s="646"/>
      <c r="AB126" s="646"/>
      <c r="AC126" s="646"/>
      <c r="AD126" s="646"/>
      <c r="AE126" s="646"/>
      <c r="AF126" s="646"/>
      <c r="AG126" s="646"/>
      <c r="AH126" s="646"/>
      <c r="AI126" s="646"/>
      <c r="AJ126" s="646"/>
      <c r="AK126" s="646"/>
      <c r="AL126" s="646"/>
      <c r="AM126" s="646"/>
      <c r="AN126" s="646"/>
      <c r="AO126" s="646"/>
      <c r="AP126" s="646"/>
      <c r="AQ126" s="646"/>
      <c r="AR126" s="646"/>
      <c r="AS126" s="646"/>
      <c r="AT126" s="646"/>
      <c r="AU126" s="646"/>
      <c r="AV126" s="646"/>
      <c r="AW126" s="646"/>
      <c r="AX126" s="646"/>
      <c r="AY126" s="646"/>
      <c r="AZ126" s="646"/>
      <c r="BA126" s="646"/>
      <c r="BB126" s="646"/>
      <c r="BC126" s="646"/>
      <c r="BD126" s="646"/>
      <c r="BE126" s="646"/>
      <c r="BF126" s="646"/>
      <c r="BG126" s="646"/>
      <c r="BH126" s="646"/>
      <c r="BI126" s="646"/>
      <c r="BJ126" s="646"/>
      <c r="BK126" s="646"/>
      <c r="BL126" s="646"/>
      <c r="BM126" s="646"/>
      <c r="BN126" s="646"/>
      <c r="BO126" s="646"/>
      <c r="BP126" s="646"/>
      <c r="BQ126" s="646"/>
      <c r="BR126" s="645"/>
      <c r="BS126" s="645"/>
      <c r="BT126" s="645"/>
      <c r="BU126" s="645"/>
      <c r="BV126" s="646"/>
      <c r="BW126" s="647"/>
      <c r="BX126" s="647"/>
      <c r="BY126" s="647"/>
      <c r="BZ126" s="647"/>
      <c r="CA126" s="647"/>
      <c r="CB126" s="647"/>
      <c r="CC126" s="647"/>
      <c r="CD126" s="647"/>
      <c r="CE126" s="647"/>
      <c r="CF126" s="647"/>
      <c r="CG126" s="647"/>
      <c r="CH126" s="647"/>
      <c r="CI126" s="647"/>
      <c r="FK126" s="714"/>
      <c r="FL126" s="714"/>
    </row>
    <row r="127" spans="4:168" s="640" customFormat="1" ht="15.75" customHeight="1">
      <c r="D127" s="641"/>
      <c r="G127" s="642"/>
      <c r="J127" s="642"/>
      <c r="K127" s="643"/>
      <c r="M127" s="644"/>
      <c r="N127" s="642"/>
      <c r="Q127" s="642"/>
      <c r="T127" s="642"/>
      <c r="U127" s="643"/>
      <c r="X127" s="645"/>
      <c r="Y127" s="646"/>
      <c r="Z127" s="673"/>
      <c r="AA127" s="646"/>
      <c r="AB127" s="646"/>
      <c r="AC127" s="646"/>
      <c r="AD127" s="646"/>
      <c r="AE127" s="646"/>
      <c r="AF127" s="646"/>
      <c r="AG127" s="646"/>
      <c r="AH127" s="646"/>
      <c r="AI127" s="646"/>
      <c r="AJ127" s="646"/>
      <c r="AK127" s="646"/>
      <c r="AL127" s="646"/>
      <c r="AM127" s="646"/>
      <c r="AN127" s="646"/>
      <c r="AO127" s="646"/>
      <c r="AP127" s="646"/>
      <c r="AQ127" s="646"/>
      <c r="AR127" s="646"/>
      <c r="AS127" s="646"/>
      <c r="AT127" s="646"/>
      <c r="AU127" s="646"/>
      <c r="AV127" s="646"/>
      <c r="AW127" s="646"/>
      <c r="AX127" s="646"/>
      <c r="AY127" s="646"/>
      <c r="AZ127" s="646"/>
      <c r="BA127" s="646"/>
      <c r="BB127" s="646"/>
      <c r="BC127" s="646"/>
      <c r="BD127" s="646"/>
      <c r="BE127" s="646"/>
      <c r="BF127" s="646"/>
      <c r="BG127" s="646"/>
      <c r="BH127" s="646"/>
      <c r="BI127" s="646"/>
      <c r="BJ127" s="646"/>
      <c r="BK127" s="646"/>
      <c r="BL127" s="646"/>
      <c r="BM127" s="646"/>
      <c r="BN127" s="646"/>
      <c r="BO127" s="646"/>
      <c r="BP127" s="646"/>
      <c r="BQ127" s="646"/>
      <c r="BR127" s="645"/>
      <c r="BS127" s="645"/>
      <c r="BT127" s="645"/>
      <c r="BU127" s="645"/>
      <c r="BV127" s="646"/>
      <c r="BW127" s="647"/>
      <c r="BX127" s="647"/>
      <c r="BY127" s="647"/>
      <c r="BZ127" s="647"/>
      <c r="CA127" s="647"/>
      <c r="CB127" s="647"/>
      <c r="CC127" s="647"/>
      <c r="CD127" s="647"/>
      <c r="CE127" s="647"/>
      <c r="CF127" s="647"/>
      <c r="CG127" s="647"/>
      <c r="CH127" s="647"/>
      <c r="CI127" s="647"/>
      <c r="FK127" s="714"/>
      <c r="FL127" s="714"/>
    </row>
    <row r="128" spans="4:168" s="640" customFormat="1" ht="15.75" customHeight="1">
      <c r="D128" s="641"/>
      <c r="G128" s="642"/>
      <c r="J128" s="642"/>
      <c r="K128" s="643"/>
      <c r="M128" s="644"/>
      <c r="N128" s="642"/>
      <c r="Q128" s="642"/>
      <c r="T128" s="642"/>
      <c r="U128" s="643"/>
      <c r="X128" s="645"/>
      <c r="Y128" s="646"/>
      <c r="Z128" s="673"/>
      <c r="AA128" s="646"/>
      <c r="AB128" s="646"/>
      <c r="AC128" s="646"/>
      <c r="AD128" s="646"/>
      <c r="AE128" s="646"/>
      <c r="AF128" s="646"/>
      <c r="AG128" s="646"/>
      <c r="AH128" s="646"/>
      <c r="AI128" s="646"/>
      <c r="AJ128" s="646"/>
      <c r="AK128" s="646"/>
      <c r="AL128" s="646"/>
      <c r="AM128" s="646"/>
      <c r="AN128" s="646"/>
      <c r="AO128" s="646"/>
      <c r="AP128" s="646"/>
      <c r="AQ128" s="646"/>
      <c r="AR128" s="646"/>
      <c r="AS128" s="646"/>
      <c r="AT128" s="646"/>
      <c r="AU128" s="646"/>
      <c r="AV128" s="646"/>
      <c r="AW128" s="646"/>
      <c r="AX128" s="646"/>
      <c r="AY128" s="646"/>
      <c r="AZ128" s="646"/>
      <c r="BA128" s="646"/>
      <c r="BB128" s="646"/>
      <c r="BC128" s="646"/>
      <c r="BD128" s="646"/>
      <c r="BE128" s="646"/>
      <c r="BF128" s="646"/>
      <c r="BG128" s="646"/>
      <c r="BH128" s="646"/>
      <c r="BI128" s="646"/>
      <c r="BJ128" s="646"/>
      <c r="BK128" s="646"/>
      <c r="BL128" s="646"/>
      <c r="BM128" s="646"/>
      <c r="BN128" s="646"/>
      <c r="BO128" s="646"/>
      <c r="BP128" s="646"/>
      <c r="BQ128" s="646"/>
      <c r="BR128" s="645"/>
      <c r="BS128" s="645"/>
      <c r="BT128" s="645"/>
      <c r="BU128" s="645"/>
      <c r="BV128" s="646"/>
      <c r="BW128" s="647"/>
      <c r="BX128" s="647"/>
      <c r="BY128" s="647"/>
      <c r="BZ128" s="647"/>
      <c r="CA128" s="647"/>
      <c r="CB128" s="647"/>
      <c r="CC128" s="647"/>
      <c r="CD128" s="647"/>
      <c r="CE128" s="647"/>
      <c r="CF128" s="647"/>
      <c r="CG128" s="647"/>
      <c r="CH128" s="647"/>
      <c r="CI128" s="647"/>
      <c r="FK128" s="714"/>
      <c r="FL128" s="714"/>
    </row>
    <row r="129" spans="4:168" s="640" customFormat="1" ht="15.75" customHeight="1">
      <c r="D129" s="641"/>
      <c r="G129" s="642"/>
      <c r="J129" s="642"/>
      <c r="K129" s="643"/>
      <c r="M129" s="644"/>
      <c r="N129" s="642"/>
      <c r="Q129" s="642"/>
      <c r="T129" s="642"/>
      <c r="U129" s="643"/>
      <c r="X129" s="645"/>
      <c r="Y129" s="646"/>
      <c r="Z129" s="673"/>
      <c r="AA129" s="646"/>
      <c r="AB129" s="646"/>
      <c r="AC129" s="646"/>
      <c r="AD129" s="646"/>
      <c r="AE129" s="646"/>
      <c r="AF129" s="646"/>
      <c r="AG129" s="646"/>
      <c r="AH129" s="646"/>
      <c r="AI129" s="646"/>
      <c r="AJ129" s="646"/>
      <c r="AK129" s="646"/>
      <c r="AL129" s="646"/>
      <c r="AM129" s="646"/>
      <c r="AN129" s="646"/>
      <c r="AO129" s="646"/>
      <c r="AP129" s="646"/>
      <c r="AQ129" s="646"/>
      <c r="AR129" s="646"/>
      <c r="AS129" s="646"/>
      <c r="AT129" s="646"/>
      <c r="AU129" s="646"/>
      <c r="AV129" s="646"/>
      <c r="AW129" s="646"/>
      <c r="AX129" s="646"/>
      <c r="AY129" s="646"/>
      <c r="AZ129" s="646"/>
      <c r="BA129" s="646"/>
      <c r="BB129" s="646"/>
      <c r="BC129" s="646"/>
      <c r="BD129" s="646"/>
      <c r="BE129" s="646"/>
      <c r="BF129" s="646"/>
      <c r="BG129" s="646"/>
      <c r="BH129" s="646"/>
      <c r="BI129" s="646"/>
      <c r="BJ129" s="646"/>
      <c r="BK129" s="646"/>
      <c r="BL129" s="646"/>
      <c r="BM129" s="646"/>
      <c r="BN129" s="646"/>
      <c r="BO129" s="646"/>
      <c r="BP129" s="646"/>
      <c r="BQ129" s="646"/>
      <c r="BR129" s="645"/>
      <c r="BS129" s="645"/>
      <c r="BT129" s="645"/>
      <c r="BU129" s="645"/>
      <c r="BV129" s="646"/>
      <c r="BW129" s="647"/>
      <c r="BX129" s="647"/>
      <c r="BY129" s="647"/>
      <c r="BZ129" s="647"/>
      <c r="CA129" s="647"/>
      <c r="CB129" s="647"/>
      <c r="CC129" s="647"/>
      <c r="CD129" s="647"/>
      <c r="CE129" s="647"/>
      <c r="CF129" s="647"/>
      <c r="CG129" s="647"/>
      <c r="CH129" s="647"/>
      <c r="CI129" s="647"/>
      <c r="FK129" s="714"/>
      <c r="FL129" s="714"/>
    </row>
    <row r="130" spans="4:168" s="640" customFormat="1" ht="15.75" customHeight="1">
      <c r="D130" s="641"/>
      <c r="G130" s="642"/>
      <c r="J130" s="642"/>
      <c r="K130" s="643"/>
      <c r="M130" s="644"/>
      <c r="N130" s="642"/>
      <c r="Q130" s="642"/>
      <c r="T130" s="642"/>
      <c r="U130" s="643"/>
      <c r="X130" s="645"/>
      <c r="Y130" s="646"/>
      <c r="Z130" s="673"/>
      <c r="AA130" s="646"/>
      <c r="AB130" s="646"/>
      <c r="AC130" s="646"/>
      <c r="AD130" s="646"/>
      <c r="AE130" s="646"/>
      <c r="AF130" s="646"/>
      <c r="AG130" s="646"/>
      <c r="AH130" s="646"/>
      <c r="AI130" s="646"/>
      <c r="AJ130" s="646"/>
      <c r="AK130" s="646"/>
      <c r="AL130" s="646"/>
      <c r="AM130" s="646"/>
      <c r="AN130" s="646"/>
      <c r="AO130" s="646"/>
      <c r="AP130" s="646"/>
      <c r="AQ130" s="646"/>
      <c r="AR130" s="646"/>
      <c r="AS130" s="646"/>
      <c r="AT130" s="646"/>
      <c r="AU130" s="646"/>
      <c r="AV130" s="646"/>
      <c r="AW130" s="646"/>
      <c r="AX130" s="646"/>
      <c r="AY130" s="646"/>
      <c r="AZ130" s="646"/>
      <c r="BA130" s="646"/>
      <c r="BB130" s="646"/>
      <c r="BC130" s="646"/>
      <c r="BD130" s="646"/>
      <c r="BE130" s="646"/>
      <c r="BF130" s="646"/>
      <c r="BG130" s="646"/>
      <c r="BH130" s="646"/>
      <c r="BI130" s="646"/>
      <c r="BJ130" s="646"/>
      <c r="BK130" s="646"/>
      <c r="BL130" s="646"/>
      <c r="BM130" s="646"/>
      <c r="BN130" s="646"/>
      <c r="BO130" s="646"/>
      <c r="BP130" s="646"/>
      <c r="BQ130" s="646"/>
      <c r="BR130" s="645"/>
      <c r="BS130" s="645"/>
      <c r="BT130" s="645"/>
      <c r="BU130" s="645"/>
      <c r="BV130" s="646"/>
      <c r="BW130" s="647"/>
      <c r="BX130" s="647"/>
      <c r="BY130" s="647"/>
      <c r="BZ130" s="647"/>
      <c r="CA130" s="647"/>
      <c r="CB130" s="647"/>
      <c r="CC130" s="647"/>
      <c r="CD130" s="647"/>
      <c r="CE130" s="647"/>
      <c r="CF130" s="647"/>
      <c r="CG130" s="647"/>
      <c r="CH130" s="647"/>
      <c r="CI130" s="647"/>
      <c r="FK130" s="714"/>
      <c r="FL130" s="714"/>
    </row>
    <row r="131" spans="4:168" s="640" customFormat="1" ht="15.75" customHeight="1">
      <c r="D131" s="641"/>
      <c r="G131" s="642"/>
      <c r="J131" s="642"/>
      <c r="K131" s="643"/>
      <c r="M131" s="644"/>
      <c r="N131" s="642"/>
      <c r="Q131" s="642"/>
      <c r="T131" s="642"/>
      <c r="U131" s="643"/>
      <c r="X131" s="645"/>
      <c r="Y131" s="646"/>
      <c r="Z131" s="673"/>
      <c r="AA131" s="646"/>
      <c r="AB131" s="646"/>
      <c r="AC131" s="646"/>
      <c r="AD131" s="646"/>
      <c r="AE131" s="646"/>
      <c r="AF131" s="646"/>
      <c r="AG131" s="646"/>
      <c r="AH131" s="646"/>
      <c r="AI131" s="646"/>
      <c r="AJ131" s="646"/>
      <c r="AK131" s="646"/>
      <c r="AL131" s="646"/>
      <c r="AM131" s="646"/>
      <c r="AN131" s="646"/>
      <c r="AO131" s="646"/>
      <c r="AP131" s="646"/>
      <c r="AQ131" s="646"/>
      <c r="AR131" s="646"/>
      <c r="AS131" s="646"/>
      <c r="AT131" s="646"/>
      <c r="AU131" s="646"/>
      <c r="AV131" s="646"/>
      <c r="AW131" s="646"/>
      <c r="AX131" s="646"/>
      <c r="AY131" s="646"/>
      <c r="AZ131" s="646"/>
      <c r="BA131" s="646"/>
      <c r="BB131" s="646"/>
      <c r="BC131" s="646"/>
      <c r="BD131" s="646"/>
      <c r="BE131" s="646"/>
      <c r="BF131" s="646"/>
      <c r="BG131" s="646"/>
      <c r="BH131" s="646"/>
      <c r="BI131" s="646"/>
      <c r="BJ131" s="646"/>
      <c r="BK131" s="646"/>
      <c r="BL131" s="646"/>
      <c r="BM131" s="646"/>
      <c r="BN131" s="646"/>
      <c r="BO131" s="646"/>
      <c r="BP131" s="646"/>
      <c r="BQ131" s="646"/>
      <c r="BR131" s="645"/>
      <c r="BS131" s="645"/>
      <c r="BT131" s="645"/>
      <c r="BU131" s="645"/>
      <c r="BV131" s="646"/>
      <c r="BW131" s="647"/>
      <c r="BX131" s="647"/>
      <c r="BY131" s="647"/>
      <c r="BZ131" s="647"/>
      <c r="CA131" s="647"/>
      <c r="CB131" s="647"/>
      <c r="CC131" s="647"/>
      <c r="CD131" s="647"/>
      <c r="CE131" s="647"/>
      <c r="CF131" s="647"/>
      <c r="CG131" s="647"/>
      <c r="CH131" s="647"/>
      <c r="CI131" s="647"/>
      <c r="FK131" s="714"/>
      <c r="FL131" s="714"/>
    </row>
    <row r="132" spans="4:168" s="640" customFormat="1" ht="15.75" customHeight="1">
      <c r="D132" s="641"/>
      <c r="G132" s="642"/>
      <c r="J132" s="642"/>
      <c r="K132" s="643"/>
      <c r="M132" s="644"/>
      <c r="N132" s="642"/>
      <c r="Q132" s="642"/>
      <c r="T132" s="642"/>
      <c r="U132" s="643"/>
      <c r="X132" s="645"/>
      <c r="Y132" s="646"/>
      <c r="Z132" s="673"/>
      <c r="AA132" s="646"/>
      <c r="AB132" s="646"/>
      <c r="AC132" s="646"/>
      <c r="AD132" s="646"/>
      <c r="AE132" s="646"/>
      <c r="AF132" s="646"/>
      <c r="AG132" s="646"/>
      <c r="AH132" s="646"/>
      <c r="AI132" s="646"/>
      <c r="AJ132" s="646"/>
      <c r="AK132" s="646"/>
      <c r="AL132" s="646"/>
      <c r="AM132" s="646"/>
      <c r="AN132" s="646"/>
      <c r="AO132" s="646"/>
      <c r="AP132" s="646"/>
      <c r="AQ132" s="646"/>
      <c r="AR132" s="646"/>
      <c r="AS132" s="646"/>
      <c r="AT132" s="646"/>
      <c r="AU132" s="646"/>
      <c r="AV132" s="646"/>
      <c r="AW132" s="646"/>
      <c r="AX132" s="646"/>
      <c r="AY132" s="646"/>
      <c r="AZ132" s="646"/>
      <c r="BA132" s="646"/>
      <c r="BB132" s="646"/>
      <c r="BC132" s="646"/>
      <c r="BD132" s="646"/>
      <c r="BE132" s="646"/>
      <c r="BF132" s="646"/>
      <c r="BG132" s="646"/>
      <c r="BH132" s="646"/>
      <c r="BI132" s="646"/>
      <c r="BJ132" s="646"/>
      <c r="BK132" s="646"/>
      <c r="BL132" s="646"/>
      <c r="BM132" s="646"/>
      <c r="BN132" s="646"/>
      <c r="BO132" s="646"/>
      <c r="BP132" s="646"/>
      <c r="BQ132" s="646"/>
      <c r="BR132" s="645"/>
      <c r="BS132" s="645"/>
      <c r="BT132" s="645"/>
      <c r="BU132" s="645"/>
      <c r="BV132" s="646"/>
      <c r="BW132" s="647"/>
      <c r="BX132" s="647"/>
      <c r="BY132" s="647"/>
      <c r="BZ132" s="647"/>
      <c r="CA132" s="647"/>
      <c r="CB132" s="647"/>
      <c r="CC132" s="647"/>
      <c r="CD132" s="647"/>
      <c r="CE132" s="647"/>
      <c r="CF132" s="647"/>
      <c r="CG132" s="647"/>
      <c r="CH132" s="647"/>
      <c r="CI132" s="647"/>
      <c r="FK132" s="714"/>
      <c r="FL132" s="714"/>
    </row>
    <row r="133" spans="4:168" s="640" customFormat="1" ht="15.75" customHeight="1">
      <c r="D133" s="641"/>
      <c r="G133" s="642"/>
      <c r="J133" s="642"/>
      <c r="K133" s="643"/>
      <c r="M133" s="644"/>
      <c r="N133" s="642"/>
      <c r="Q133" s="642"/>
      <c r="T133" s="642"/>
      <c r="U133" s="643"/>
      <c r="X133" s="645"/>
      <c r="Y133" s="646"/>
      <c r="Z133" s="673"/>
      <c r="AA133" s="646"/>
      <c r="AB133" s="646"/>
      <c r="AC133" s="646"/>
      <c r="AD133" s="646"/>
      <c r="AE133" s="646"/>
      <c r="AF133" s="646"/>
      <c r="AG133" s="646"/>
      <c r="AH133" s="646"/>
      <c r="AI133" s="646"/>
      <c r="AJ133" s="646"/>
      <c r="AK133" s="646"/>
      <c r="AL133" s="646"/>
      <c r="AM133" s="646"/>
      <c r="AN133" s="646"/>
      <c r="AO133" s="646"/>
      <c r="AP133" s="646"/>
      <c r="AQ133" s="646"/>
      <c r="AR133" s="646"/>
      <c r="AS133" s="646"/>
      <c r="AT133" s="646"/>
      <c r="AU133" s="646"/>
      <c r="AV133" s="646"/>
      <c r="AW133" s="646"/>
      <c r="AX133" s="646"/>
      <c r="AY133" s="646"/>
      <c r="AZ133" s="646"/>
      <c r="BA133" s="646"/>
      <c r="BB133" s="646"/>
      <c r="BC133" s="646"/>
      <c r="BD133" s="646"/>
      <c r="BE133" s="646"/>
      <c r="BF133" s="646"/>
      <c r="BG133" s="646"/>
      <c r="BH133" s="646"/>
      <c r="BI133" s="646"/>
      <c r="BJ133" s="646"/>
      <c r="BK133" s="646"/>
      <c r="BL133" s="646"/>
      <c r="BM133" s="646"/>
      <c r="BN133" s="646"/>
      <c r="BO133" s="646"/>
      <c r="BP133" s="646"/>
      <c r="BQ133" s="646"/>
      <c r="BR133" s="645"/>
      <c r="BS133" s="645"/>
      <c r="BT133" s="645"/>
      <c r="BU133" s="645"/>
      <c r="BV133" s="646"/>
      <c r="BW133" s="647"/>
      <c r="BX133" s="647"/>
      <c r="BY133" s="647"/>
      <c r="BZ133" s="647"/>
      <c r="CA133" s="647"/>
      <c r="CB133" s="647"/>
      <c r="CC133" s="647"/>
      <c r="CD133" s="647"/>
      <c r="CE133" s="647"/>
      <c r="CF133" s="647"/>
      <c r="CG133" s="647"/>
      <c r="CH133" s="647"/>
      <c r="CI133" s="647"/>
      <c r="FK133" s="714"/>
      <c r="FL133" s="714"/>
    </row>
    <row r="134" spans="4:168" s="640" customFormat="1" ht="15.75" customHeight="1">
      <c r="D134" s="641"/>
      <c r="G134" s="642"/>
      <c r="J134" s="642"/>
      <c r="K134" s="643"/>
      <c r="M134" s="644"/>
      <c r="N134" s="642"/>
      <c r="Q134" s="642"/>
      <c r="T134" s="642"/>
      <c r="U134" s="643"/>
      <c r="X134" s="645"/>
      <c r="Y134" s="646"/>
      <c r="Z134" s="673"/>
      <c r="AA134" s="646"/>
      <c r="AB134" s="646"/>
      <c r="AC134" s="646"/>
      <c r="AD134" s="646"/>
      <c r="AE134" s="646"/>
      <c r="AF134" s="646"/>
      <c r="AG134" s="646"/>
      <c r="AH134" s="646"/>
      <c r="AI134" s="646"/>
      <c r="AJ134" s="646"/>
      <c r="AK134" s="646"/>
      <c r="AL134" s="646"/>
      <c r="AM134" s="646"/>
      <c r="AN134" s="646"/>
      <c r="AO134" s="646"/>
      <c r="AP134" s="646"/>
      <c r="AQ134" s="646"/>
      <c r="AR134" s="646"/>
      <c r="AS134" s="646"/>
      <c r="AT134" s="646"/>
      <c r="AU134" s="646"/>
      <c r="AV134" s="646"/>
      <c r="AW134" s="646"/>
      <c r="AX134" s="646"/>
      <c r="AY134" s="646"/>
      <c r="AZ134" s="646"/>
      <c r="BA134" s="646"/>
      <c r="BB134" s="646"/>
      <c r="BC134" s="646"/>
      <c r="BD134" s="646"/>
      <c r="BE134" s="646"/>
      <c r="BF134" s="646"/>
      <c r="BG134" s="646"/>
      <c r="BH134" s="646"/>
      <c r="BI134" s="646"/>
      <c r="BJ134" s="646"/>
      <c r="BK134" s="646"/>
      <c r="BL134" s="646"/>
      <c r="BM134" s="646"/>
      <c r="BN134" s="646"/>
      <c r="BO134" s="646"/>
      <c r="BP134" s="646"/>
      <c r="BQ134" s="646"/>
      <c r="BR134" s="645"/>
      <c r="BS134" s="645"/>
      <c r="BT134" s="645"/>
      <c r="BU134" s="645"/>
      <c r="BV134" s="646"/>
      <c r="BW134" s="647"/>
      <c r="BX134" s="647"/>
      <c r="BY134" s="647"/>
      <c r="BZ134" s="647"/>
      <c r="CA134" s="647"/>
      <c r="CB134" s="647"/>
      <c r="CC134" s="647"/>
      <c r="CD134" s="647"/>
      <c r="CE134" s="647"/>
      <c r="CF134" s="647"/>
      <c r="CG134" s="647"/>
      <c r="CH134" s="647"/>
      <c r="CI134" s="647"/>
      <c r="FK134" s="714"/>
      <c r="FL134" s="714"/>
    </row>
    <row r="135" spans="4:168" s="640" customFormat="1" ht="15.75" customHeight="1">
      <c r="D135" s="641"/>
      <c r="G135" s="642"/>
      <c r="J135" s="642"/>
      <c r="K135" s="643"/>
      <c r="M135" s="644"/>
      <c r="N135" s="642"/>
      <c r="Q135" s="642"/>
      <c r="T135" s="642"/>
      <c r="U135" s="643"/>
      <c r="X135" s="645"/>
      <c r="Y135" s="646"/>
      <c r="Z135" s="673"/>
      <c r="AA135" s="646"/>
      <c r="AB135" s="646"/>
      <c r="AC135" s="646"/>
      <c r="AD135" s="646"/>
      <c r="AE135" s="646"/>
      <c r="AF135" s="646"/>
      <c r="AG135" s="646"/>
      <c r="AH135" s="646"/>
      <c r="AI135" s="646"/>
      <c r="AJ135" s="646"/>
      <c r="AK135" s="646"/>
      <c r="AL135" s="646"/>
      <c r="AM135" s="646"/>
      <c r="AN135" s="646"/>
      <c r="AO135" s="646"/>
      <c r="AP135" s="646"/>
      <c r="AQ135" s="646"/>
      <c r="AR135" s="646"/>
      <c r="AS135" s="646"/>
      <c r="AT135" s="646"/>
      <c r="AU135" s="646"/>
      <c r="AV135" s="646"/>
      <c r="AW135" s="646"/>
      <c r="AX135" s="646"/>
      <c r="AY135" s="646"/>
      <c r="AZ135" s="646"/>
      <c r="BA135" s="646"/>
      <c r="BB135" s="646"/>
      <c r="BC135" s="646"/>
      <c r="BD135" s="646"/>
      <c r="BE135" s="646"/>
      <c r="BF135" s="646"/>
      <c r="BG135" s="646"/>
      <c r="BH135" s="646"/>
      <c r="BI135" s="646"/>
      <c r="BJ135" s="646"/>
      <c r="BK135" s="646"/>
      <c r="BL135" s="646"/>
      <c r="BM135" s="646"/>
      <c r="BN135" s="646"/>
      <c r="BO135" s="646"/>
      <c r="BP135" s="646"/>
      <c r="BQ135" s="646"/>
      <c r="BR135" s="645"/>
      <c r="BS135" s="645"/>
      <c r="BT135" s="645"/>
      <c r="BU135" s="645"/>
      <c r="BV135" s="646"/>
      <c r="BW135" s="647"/>
      <c r="BX135" s="647"/>
      <c r="BY135" s="647"/>
      <c r="BZ135" s="647"/>
      <c r="CA135" s="647"/>
      <c r="CB135" s="647"/>
      <c r="CC135" s="647"/>
      <c r="CD135" s="647"/>
      <c r="CE135" s="647"/>
      <c r="CF135" s="647"/>
      <c r="CG135" s="647"/>
      <c r="CH135" s="647"/>
      <c r="CI135" s="647"/>
      <c r="FK135" s="714"/>
      <c r="FL135" s="714"/>
    </row>
    <row r="136" spans="4:168" s="640" customFormat="1" ht="15.75" customHeight="1">
      <c r="D136" s="641"/>
      <c r="G136" s="642"/>
      <c r="J136" s="642"/>
      <c r="K136" s="643"/>
      <c r="M136" s="644"/>
      <c r="N136" s="642"/>
      <c r="Q136" s="642"/>
      <c r="T136" s="642"/>
      <c r="U136" s="643"/>
      <c r="X136" s="645"/>
      <c r="Y136" s="646"/>
      <c r="Z136" s="673"/>
      <c r="AA136" s="646"/>
      <c r="AB136" s="646"/>
      <c r="AC136" s="646"/>
      <c r="AD136" s="646"/>
      <c r="AE136" s="646"/>
      <c r="AF136" s="646"/>
      <c r="AG136" s="646"/>
      <c r="AH136" s="646"/>
      <c r="AI136" s="646"/>
      <c r="AJ136" s="646"/>
      <c r="AK136" s="646"/>
      <c r="AL136" s="646"/>
      <c r="AM136" s="646"/>
      <c r="AN136" s="646"/>
      <c r="AO136" s="646"/>
      <c r="AP136" s="646"/>
      <c r="AQ136" s="646"/>
      <c r="AR136" s="646"/>
      <c r="AS136" s="646"/>
      <c r="AT136" s="646"/>
      <c r="AU136" s="646"/>
      <c r="AV136" s="646"/>
      <c r="AW136" s="646"/>
      <c r="AX136" s="646"/>
      <c r="AY136" s="646"/>
      <c r="AZ136" s="646"/>
      <c r="BA136" s="646"/>
      <c r="BB136" s="646"/>
      <c r="BC136" s="646"/>
      <c r="BD136" s="646"/>
      <c r="BE136" s="646"/>
      <c r="BF136" s="646"/>
      <c r="BG136" s="646"/>
      <c r="BH136" s="646"/>
      <c r="BI136" s="646"/>
      <c r="BJ136" s="646"/>
      <c r="BK136" s="646"/>
      <c r="BL136" s="646"/>
      <c r="BM136" s="646"/>
      <c r="BN136" s="646"/>
      <c r="BO136" s="646"/>
      <c r="BP136" s="646"/>
      <c r="BQ136" s="646"/>
      <c r="BR136" s="645"/>
      <c r="BS136" s="645"/>
      <c r="BT136" s="645"/>
      <c r="BU136" s="645"/>
      <c r="BV136" s="646"/>
      <c r="BW136" s="647"/>
      <c r="BX136" s="647"/>
      <c r="BY136" s="647"/>
      <c r="BZ136" s="647"/>
      <c r="CA136" s="647"/>
      <c r="CB136" s="647"/>
      <c r="CC136" s="647"/>
      <c r="CD136" s="647"/>
      <c r="CE136" s="647"/>
      <c r="CF136" s="647"/>
      <c r="CG136" s="647"/>
      <c r="CH136" s="647"/>
      <c r="CI136" s="647"/>
      <c r="FK136" s="714"/>
      <c r="FL136" s="714"/>
    </row>
    <row r="137" spans="4:168" s="640" customFormat="1" ht="15.75" customHeight="1">
      <c r="D137" s="641"/>
      <c r="G137" s="642"/>
      <c r="J137" s="642"/>
      <c r="K137" s="643"/>
      <c r="M137" s="644"/>
      <c r="N137" s="642"/>
      <c r="Q137" s="642"/>
      <c r="T137" s="642"/>
      <c r="U137" s="643"/>
      <c r="X137" s="645"/>
      <c r="Y137" s="646"/>
      <c r="Z137" s="673"/>
      <c r="AA137" s="646"/>
      <c r="AB137" s="646"/>
      <c r="AC137" s="646"/>
      <c r="AD137" s="646"/>
      <c r="AE137" s="646"/>
      <c r="AF137" s="646"/>
      <c r="AG137" s="646"/>
      <c r="AH137" s="646"/>
      <c r="AI137" s="646"/>
      <c r="AJ137" s="646"/>
      <c r="AK137" s="646"/>
      <c r="AL137" s="646"/>
      <c r="AM137" s="646"/>
      <c r="AN137" s="646"/>
      <c r="AO137" s="646"/>
      <c r="AP137" s="646"/>
      <c r="AQ137" s="646"/>
      <c r="AR137" s="646"/>
      <c r="AS137" s="646"/>
      <c r="AT137" s="646"/>
      <c r="AU137" s="646"/>
      <c r="AV137" s="646"/>
      <c r="AW137" s="646"/>
      <c r="AX137" s="646"/>
      <c r="AY137" s="646"/>
      <c r="AZ137" s="646"/>
      <c r="BA137" s="646"/>
      <c r="BB137" s="646"/>
      <c r="BC137" s="646"/>
      <c r="BD137" s="646"/>
      <c r="BE137" s="646"/>
      <c r="BF137" s="646"/>
      <c r="BG137" s="646"/>
      <c r="BH137" s="646"/>
      <c r="BI137" s="646"/>
      <c r="BJ137" s="646"/>
      <c r="BK137" s="646"/>
      <c r="BL137" s="646"/>
      <c r="BM137" s="646"/>
      <c r="BN137" s="646"/>
      <c r="BO137" s="646"/>
      <c r="BP137" s="646"/>
      <c r="BQ137" s="646"/>
      <c r="BR137" s="645"/>
      <c r="BS137" s="645"/>
      <c r="BT137" s="645"/>
      <c r="BU137" s="645"/>
      <c r="BV137" s="646"/>
      <c r="BW137" s="647"/>
      <c r="BX137" s="647"/>
      <c r="BY137" s="647"/>
      <c r="BZ137" s="647"/>
      <c r="CA137" s="647"/>
      <c r="CB137" s="647"/>
      <c r="CC137" s="647"/>
      <c r="CD137" s="647"/>
      <c r="CE137" s="647"/>
      <c r="CF137" s="647"/>
      <c r="CG137" s="647"/>
      <c r="CH137" s="647"/>
      <c r="CI137" s="647"/>
      <c r="FK137" s="714"/>
      <c r="FL137" s="714"/>
    </row>
    <row r="138" spans="4:168" s="640" customFormat="1" ht="15.75" customHeight="1">
      <c r="D138" s="641"/>
      <c r="G138" s="642"/>
      <c r="J138" s="642"/>
      <c r="K138" s="643"/>
      <c r="M138" s="644"/>
      <c r="N138" s="642"/>
      <c r="Q138" s="642"/>
      <c r="T138" s="642"/>
      <c r="U138" s="643"/>
      <c r="X138" s="645"/>
      <c r="Y138" s="646"/>
      <c r="Z138" s="673"/>
      <c r="AA138" s="646"/>
      <c r="AB138" s="646"/>
      <c r="AC138" s="646"/>
      <c r="AD138" s="646"/>
      <c r="AE138" s="646"/>
      <c r="AF138" s="646"/>
      <c r="AG138" s="646"/>
      <c r="AH138" s="646"/>
      <c r="AI138" s="646"/>
      <c r="AJ138" s="646"/>
      <c r="AK138" s="646"/>
      <c r="AL138" s="646"/>
      <c r="AM138" s="646"/>
      <c r="AN138" s="646"/>
      <c r="AO138" s="646"/>
      <c r="AP138" s="646"/>
      <c r="AQ138" s="646"/>
      <c r="AR138" s="646"/>
      <c r="AS138" s="646"/>
      <c r="AT138" s="646"/>
      <c r="AU138" s="646"/>
      <c r="AV138" s="646"/>
      <c r="AW138" s="646"/>
      <c r="AX138" s="646"/>
      <c r="AY138" s="646"/>
      <c r="AZ138" s="646"/>
      <c r="BA138" s="646"/>
      <c r="BB138" s="646"/>
      <c r="BC138" s="646"/>
      <c r="BD138" s="646"/>
      <c r="BE138" s="646"/>
      <c r="BF138" s="646"/>
      <c r="BG138" s="646"/>
      <c r="BH138" s="646"/>
      <c r="BI138" s="646"/>
      <c r="BJ138" s="646"/>
      <c r="BK138" s="646"/>
      <c r="BL138" s="646"/>
      <c r="BM138" s="646"/>
      <c r="BN138" s="646"/>
      <c r="BO138" s="646"/>
      <c r="BP138" s="646"/>
      <c r="BQ138" s="646"/>
      <c r="BR138" s="645"/>
      <c r="BS138" s="645"/>
      <c r="BT138" s="645"/>
      <c r="BU138" s="645"/>
      <c r="BV138" s="646"/>
      <c r="BW138" s="647"/>
      <c r="BX138" s="647"/>
      <c r="BY138" s="647"/>
      <c r="BZ138" s="647"/>
      <c r="CA138" s="647"/>
      <c r="CB138" s="647"/>
      <c r="CC138" s="647"/>
      <c r="CD138" s="647"/>
      <c r="CE138" s="647"/>
      <c r="CF138" s="647"/>
      <c r="CG138" s="647"/>
      <c r="CH138" s="647"/>
      <c r="CI138" s="647"/>
      <c r="FK138" s="714"/>
      <c r="FL138" s="714"/>
    </row>
    <row r="139" spans="4:168" s="640" customFormat="1" ht="15.75" customHeight="1">
      <c r="D139" s="641"/>
      <c r="G139" s="642"/>
      <c r="J139" s="642"/>
      <c r="K139" s="643"/>
      <c r="M139" s="644"/>
      <c r="N139" s="642"/>
      <c r="Q139" s="642"/>
      <c r="T139" s="642"/>
      <c r="U139" s="643"/>
      <c r="X139" s="645"/>
      <c r="Y139" s="646"/>
      <c r="Z139" s="673"/>
      <c r="AA139" s="646"/>
      <c r="AB139" s="646"/>
      <c r="AC139" s="646"/>
      <c r="AD139" s="646"/>
      <c r="AE139" s="646"/>
      <c r="AF139" s="646"/>
      <c r="AG139" s="646"/>
      <c r="AH139" s="646"/>
      <c r="AI139" s="646"/>
      <c r="AJ139" s="646"/>
      <c r="AK139" s="646"/>
      <c r="AL139" s="646"/>
      <c r="AM139" s="646"/>
      <c r="AN139" s="646"/>
      <c r="AO139" s="646"/>
      <c r="AP139" s="646"/>
      <c r="AQ139" s="646"/>
      <c r="AR139" s="646"/>
      <c r="AS139" s="646"/>
      <c r="AT139" s="646"/>
      <c r="AU139" s="646"/>
      <c r="AV139" s="646"/>
      <c r="AW139" s="646"/>
      <c r="AX139" s="646"/>
      <c r="AY139" s="646"/>
      <c r="AZ139" s="646"/>
      <c r="BA139" s="646"/>
      <c r="BB139" s="646"/>
      <c r="BC139" s="646"/>
      <c r="BD139" s="646"/>
      <c r="BE139" s="646"/>
      <c r="BF139" s="646"/>
      <c r="BG139" s="646"/>
      <c r="BH139" s="646"/>
      <c r="BI139" s="646"/>
      <c r="BJ139" s="646"/>
      <c r="BK139" s="646"/>
      <c r="BL139" s="646"/>
      <c r="BM139" s="646"/>
      <c r="BN139" s="646"/>
      <c r="BO139" s="646"/>
      <c r="BP139" s="646"/>
      <c r="BQ139" s="646"/>
      <c r="BR139" s="645"/>
      <c r="BS139" s="645"/>
      <c r="BT139" s="645"/>
      <c r="BU139" s="645"/>
      <c r="BV139" s="646"/>
      <c r="BW139" s="647"/>
      <c r="BX139" s="647"/>
      <c r="BY139" s="647"/>
      <c r="BZ139" s="647"/>
      <c r="CA139" s="647"/>
      <c r="CB139" s="647"/>
      <c r="CC139" s="647"/>
      <c r="CD139" s="647"/>
      <c r="CE139" s="647"/>
      <c r="CF139" s="647"/>
      <c r="CG139" s="647"/>
      <c r="CH139" s="647"/>
      <c r="CI139" s="647"/>
      <c r="FK139" s="714"/>
      <c r="FL139" s="714"/>
    </row>
    <row r="140" spans="4:168" s="640" customFormat="1" ht="15.75" customHeight="1">
      <c r="D140" s="641"/>
      <c r="G140" s="642"/>
      <c r="J140" s="642"/>
      <c r="K140" s="643"/>
      <c r="M140" s="644"/>
      <c r="N140" s="642"/>
      <c r="Q140" s="642"/>
      <c r="T140" s="642"/>
      <c r="U140" s="643"/>
      <c r="X140" s="645"/>
      <c r="Y140" s="646"/>
      <c r="Z140" s="673"/>
      <c r="AA140" s="646"/>
      <c r="AB140" s="646"/>
      <c r="AC140" s="646"/>
      <c r="AD140" s="646"/>
      <c r="AE140" s="646"/>
      <c r="AF140" s="646"/>
      <c r="AG140" s="646"/>
      <c r="AH140" s="646"/>
      <c r="AI140" s="646"/>
      <c r="AJ140" s="646"/>
      <c r="AK140" s="646"/>
      <c r="AL140" s="646"/>
      <c r="AM140" s="646"/>
      <c r="AN140" s="646"/>
      <c r="AO140" s="646"/>
      <c r="AP140" s="646"/>
      <c r="AQ140" s="646"/>
      <c r="AR140" s="646"/>
      <c r="AS140" s="646"/>
      <c r="AT140" s="646"/>
      <c r="AU140" s="646"/>
      <c r="AV140" s="646"/>
      <c r="AW140" s="646"/>
      <c r="AX140" s="646"/>
      <c r="AY140" s="646"/>
      <c r="AZ140" s="646"/>
      <c r="BA140" s="646"/>
      <c r="BB140" s="646"/>
      <c r="BC140" s="646"/>
      <c r="BD140" s="646"/>
      <c r="BE140" s="646"/>
      <c r="BF140" s="646"/>
      <c r="BG140" s="646"/>
      <c r="BH140" s="646"/>
      <c r="BI140" s="646"/>
      <c r="BJ140" s="646"/>
      <c r="BK140" s="646"/>
      <c r="BL140" s="646"/>
      <c r="BM140" s="646"/>
      <c r="BN140" s="646"/>
      <c r="BO140" s="646"/>
      <c r="BP140" s="646"/>
      <c r="BQ140" s="646"/>
      <c r="BR140" s="645"/>
      <c r="BS140" s="645"/>
      <c r="BT140" s="645"/>
      <c r="BU140" s="645"/>
      <c r="BV140" s="646"/>
      <c r="BW140" s="647"/>
      <c r="BX140" s="647"/>
      <c r="BY140" s="647"/>
      <c r="BZ140" s="647"/>
      <c r="CA140" s="647"/>
      <c r="CB140" s="647"/>
      <c r="CC140" s="647"/>
      <c r="CD140" s="647"/>
      <c r="CE140" s="647"/>
      <c r="CF140" s="647"/>
      <c r="CG140" s="647"/>
      <c r="CH140" s="647"/>
      <c r="CI140" s="647"/>
      <c r="FK140" s="714"/>
      <c r="FL140" s="714"/>
    </row>
    <row r="141" spans="4:168" s="640" customFormat="1" ht="15.75" customHeight="1">
      <c r="D141" s="641"/>
      <c r="G141" s="642"/>
      <c r="J141" s="642"/>
      <c r="K141" s="643"/>
      <c r="M141" s="644"/>
      <c r="N141" s="642"/>
      <c r="Q141" s="642"/>
      <c r="T141" s="642"/>
      <c r="U141" s="643"/>
      <c r="X141" s="645"/>
      <c r="Y141" s="646"/>
      <c r="Z141" s="673"/>
      <c r="AA141" s="646"/>
      <c r="AB141" s="646"/>
      <c r="AC141" s="646"/>
      <c r="AD141" s="646"/>
      <c r="AE141" s="646"/>
      <c r="AF141" s="646"/>
      <c r="AG141" s="646"/>
      <c r="AH141" s="646"/>
      <c r="AI141" s="646"/>
      <c r="AJ141" s="646"/>
      <c r="AK141" s="646"/>
      <c r="AL141" s="646"/>
      <c r="AM141" s="646"/>
      <c r="AN141" s="646"/>
      <c r="AO141" s="646"/>
      <c r="AP141" s="646"/>
      <c r="AQ141" s="646"/>
      <c r="AR141" s="646"/>
      <c r="AS141" s="646"/>
      <c r="AT141" s="646"/>
      <c r="AU141" s="646"/>
      <c r="AV141" s="646"/>
      <c r="AW141" s="646"/>
      <c r="AX141" s="646"/>
      <c r="AY141" s="646"/>
      <c r="AZ141" s="646"/>
      <c r="BA141" s="646"/>
      <c r="BB141" s="646"/>
      <c r="BC141" s="646"/>
      <c r="BD141" s="646"/>
      <c r="BE141" s="646"/>
      <c r="BF141" s="646"/>
      <c r="BG141" s="646"/>
      <c r="BH141" s="646"/>
      <c r="BI141" s="646"/>
      <c r="BJ141" s="646"/>
      <c r="BK141" s="646"/>
      <c r="BL141" s="646"/>
      <c r="BM141" s="646"/>
      <c r="BN141" s="646"/>
      <c r="BO141" s="646"/>
      <c r="BP141" s="646"/>
      <c r="BQ141" s="646"/>
      <c r="BR141" s="645"/>
      <c r="BS141" s="645"/>
      <c r="BT141" s="645"/>
      <c r="BU141" s="645"/>
      <c r="BV141" s="646"/>
      <c r="BW141" s="647"/>
      <c r="BX141" s="647"/>
      <c r="BY141" s="647"/>
      <c r="BZ141" s="647"/>
      <c r="CA141" s="647"/>
      <c r="CB141" s="647"/>
      <c r="CC141" s="647"/>
      <c r="CD141" s="647"/>
      <c r="CE141" s="647"/>
      <c r="CF141" s="647"/>
      <c r="CG141" s="647"/>
      <c r="CH141" s="647"/>
      <c r="CI141" s="647"/>
      <c r="FK141" s="714"/>
      <c r="FL141" s="714"/>
    </row>
    <row r="142" spans="4:168" s="640" customFormat="1" ht="15.75" customHeight="1">
      <c r="D142" s="641"/>
      <c r="G142" s="642"/>
      <c r="J142" s="642"/>
      <c r="K142" s="643"/>
      <c r="M142" s="644"/>
      <c r="N142" s="642"/>
      <c r="Q142" s="642"/>
      <c r="T142" s="642"/>
      <c r="U142" s="643"/>
      <c r="X142" s="645"/>
      <c r="Y142" s="646"/>
      <c r="Z142" s="673"/>
      <c r="AA142" s="646"/>
      <c r="AB142" s="646"/>
      <c r="AC142" s="646"/>
      <c r="AD142" s="646"/>
      <c r="AE142" s="646"/>
      <c r="AF142" s="646"/>
      <c r="AG142" s="646"/>
      <c r="AH142" s="646"/>
      <c r="AI142" s="646"/>
      <c r="AJ142" s="646"/>
      <c r="AK142" s="646"/>
      <c r="AL142" s="646"/>
      <c r="AM142" s="646"/>
      <c r="AN142" s="646"/>
      <c r="AO142" s="646"/>
      <c r="AP142" s="646"/>
      <c r="AQ142" s="646"/>
      <c r="AR142" s="646"/>
      <c r="AS142" s="646"/>
      <c r="AT142" s="646"/>
      <c r="AU142" s="646"/>
      <c r="AV142" s="646"/>
      <c r="AW142" s="646"/>
      <c r="AX142" s="646"/>
      <c r="AY142" s="646"/>
      <c r="AZ142" s="646"/>
      <c r="BA142" s="646"/>
      <c r="BB142" s="646"/>
      <c r="BC142" s="646"/>
      <c r="BD142" s="646"/>
      <c r="BE142" s="646"/>
      <c r="BF142" s="646"/>
      <c r="BG142" s="646"/>
      <c r="BH142" s="646"/>
      <c r="BI142" s="646"/>
      <c r="BJ142" s="646"/>
      <c r="BK142" s="646"/>
      <c r="BL142" s="646"/>
      <c r="BM142" s="646"/>
      <c r="BN142" s="646"/>
      <c r="BO142" s="646"/>
      <c r="BP142" s="646"/>
      <c r="BQ142" s="646"/>
      <c r="BR142" s="645"/>
      <c r="BS142" s="645"/>
      <c r="BT142" s="645"/>
      <c r="BU142" s="645"/>
      <c r="BV142" s="646"/>
      <c r="BW142" s="647"/>
      <c r="BX142" s="647"/>
      <c r="BY142" s="647"/>
      <c r="BZ142" s="647"/>
      <c r="CA142" s="647"/>
      <c r="CB142" s="647"/>
      <c r="CC142" s="647"/>
      <c r="CD142" s="647"/>
      <c r="CE142" s="647"/>
      <c r="CF142" s="647"/>
      <c r="CG142" s="647"/>
      <c r="CH142" s="647"/>
      <c r="CI142" s="647"/>
      <c r="FK142" s="714"/>
      <c r="FL142" s="714"/>
    </row>
    <row r="143" spans="4:168" s="640" customFormat="1" ht="15.75" customHeight="1">
      <c r="D143" s="641"/>
      <c r="G143" s="642"/>
      <c r="J143" s="642"/>
      <c r="K143" s="643"/>
      <c r="M143" s="644"/>
      <c r="N143" s="642"/>
      <c r="Q143" s="642"/>
      <c r="T143" s="642"/>
      <c r="U143" s="643"/>
      <c r="X143" s="645"/>
      <c r="Y143" s="646"/>
      <c r="Z143" s="673"/>
      <c r="AA143" s="646"/>
      <c r="AB143" s="646"/>
      <c r="AC143" s="646"/>
      <c r="AD143" s="646"/>
      <c r="AE143" s="646"/>
      <c r="AF143" s="646"/>
      <c r="AG143" s="646"/>
      <c r="AH143" s="646"/>
      <c r="AI143" s="646"/>
      <c r="AJ143" s="646"/>
      <c r="AK143" s="646"/>
      <c r="AL143" s="646"/>
      <c r="AM143" s="646"/>
      <c r="AN143" s="646"/>
      <c r="AO143" s="646"/>
      <c r="AP143" s="646"/>
      <c r="AQ143" s="646"/>
      <c r="AR143" s="646"/>
      <c r="AS143" s="646"/>
      <c r="AT143" s="646"/>
      <c r="AU143" s="646"/>
      <c r="AV143" s="646"/>
      <c r="AW143" s="646"/>
      <c r="AX143" s="646"/>
      <c r="AY143" s="646"/>
      <c r="AZ143" s="646"/>
      <c r="BA143" s="646"/>
      <c r="BB143" s="646"/>
      <c r="BC143" s="646"/>
      <c r="BD143" s="646"/>
      <c r="BE143" s="646"/>
      <c r="BF143" s="646"/>
      <c r="BG143" s="646"/>
      <c r="BH143" s="646"/>
      <c r="BI143" s="646"/>
      <c r="BJ143" s="646"/>
      <c r="BK143" s="646"/>
      <c r="BL143" s="646"/>
      <c r="BM143" s="646"/>
      <c r="BN143" s="646"/>
      <c r="BO143" s="646"/>
      <c r="BP143" s="646"/>
      <c r="BQ143" s="646"/>
      <c r="BR143" s="645"/>
      <c r="BS143" s="645"/>
      <c r="BT143" s="645"/>
      <c r="BU143" s="645"/>
      <c r="BV143" s="646"/>
      <c r="BW143" s="647"/>
      <c r="BX143" s="647"/>
      <c r="BY143" s="647"/>
      <c r="BZ143" s="647"/>
      <c r="CA143" s="647"/>
      <c r="CB143" s="647"/>
      <c r="CC143" s="647"/>
      <c r="CD143" s="647"/>
      <c r="CE143" s="647"/>
      <c r="CF143" s="647"/>
      <c r="CG143" s="647"/>
      <c r="CH143" s="647"/>
      <c r="CI143" s="647"/>
      <c r="FK143" s="714"/>
      <c r="FL143" s="714"/>
    </row>
    <row r="144" spans="4:168" s="640" customFormat="1" ht="15.75" customHeight="1">
      <c r="D144" s="641"/>
      <c r="G144" s="642"/>
      <c r="J144" s="642"/>
      <c r="K144" s="643"/>
      <c r="M144" s="644"/>
      <c r="N144" s="642"/>
      <c r="Q144" s="642"/>
      <c r="T144" s="642"/>
      <c r="U144" s="643"/>
      <c r="X144" s="645"/>
      <c r="Y144" s="646"/>
      <c r="Z144" s="673"/>
      <c r="AA144" s="646"/>
      <c r="AB144" s="646"/>
      <c r="AC144" s="646"/>
      <c r="AD144" s="646"/>
      <c r="AE144" s="646"/>
      <c r="AF144" s="646"/>
      <c r="AG144" s="646"/>
      <c r="AH144" s="646"/>
      <c r="AI144" s="646"/>
      <c r="AJ144" s="646"/>
      <c r="AK144" s="646"/>
      <c r="AL144" s="646"/>
      <c r="AM144" s="646"/>
      <c r="AN144" s="646"/>
      <c r="AO144" s="646"/>
      <c r="AP144" s="646"/>
      <c r="AQ144" s="646"/>
      <c r="AR144" s="646"/>
      <c r="AS144" s="646"/>
      <c r="AT144" s="646"/>
      <c r="AU144" s="646"/>
      <c r="AV144" s="646"/>
      <c r="AW144" s="646"/>
      <c r="AX144" s="646"/>
      <c r="AY144" s="646"/>
      <c r="AZ144" s="646"/>
      <c r="BA144" s="646"/>
      <c r="BB144" s="646"/>
      <c r="BC144" s="646"/>
      <c r="BD144" s="646"/>
      <c r="BE144" s="646"/>
      <c r="BF144" s="646"/>
      <c r="BG144" s="646"/>
      <c r="BH144" s="646"/>
      <c r="BI144" s="646"/>
      <c r="BJ144" s="646"/>
      <c r="BK144" s="646"/>
      <c r="BL144" s="646"/>
      <c r="BM144" s="646"/>
      <c r="BN144" s="646"/>
      <c r="BO144" s="646"/>
      <c r="BP144" s="646"/>
      <c r="BQ144" s="646"/>
      <c r="BR144" s="645"/>
      <c r="BS144" s="645"/>
      <c r="BT144" s="645"/>
      <c r="BU144" s="645"/>
      <c r="BV144" s="646"/>
      <c r="BW144" s="647"/>
      <c r="BX144" s="647"/>
      <c r="BY144" s="647"/>
      <c r="BZ144" s="647"/>
      <c r="CA144" s="647"/>
      <c r="CB144" s="647"/>
      <c r="CC144" s="647"/>
      <c r="CD144" s="647"/>
      <c r="CE144" s="647"/>
      <c r="CF144" s="647"/>
      <c r="CG144" s="647"/>
      <c r="CH144" s="647"/>
      <c r="CI144" s="647"/>
      <c r="FK144" s="714"/>
      <c r="FL144" s="714"/>
    </row>
    <row r="145" spans="4:168" s="640" customFormat="1" ht="15.75" customHeight="1">
      <c r="D145" s="641"/>
      <c r="G145" s="642"/>
      <c r="J145" s="642"/>
      <c r="K145" s="643"/>
      <c r="M145" s="644"/>
      <c r="N145" s="642"/>
      <c r="Q145" s="642"/>
      <c r="T145" s="642"/>
      <c r="U145" s="643"/>
      <c r="X145" s="645"/>
      <c r="Y145" s="646"/>
      <c r="Z145" s="673"/>
      <c r="AA145" s="646"/>
      <c r="AB145" s="646"/>
      <c r="AC145" s="646"/>
      <c r="AD145" s="646"/>
      <c r="AE145" s="646"/>
      <c r="AF145" s="646"/>
      <c r="AG145" s="646"/>
      <c r="AH145" s="646"/>
      <c r="AI145" s="646"/>
      <c r="AJ145" s="646"/>
      <c r="AK145" s="646"/>
      <c r="AL145" s="646"/>
      <c r="AM145" s="646"/>
      <c r="AN145" s="646"/>
      <c r="AO145" s="646"/>
      <c r="AP145" s="646"/>
      <c r="AQ145" s="646"/>
      <c r="AR145" s="646"/>
      <c r="AS145" s="646"/>
      <c r="AT145" s="646"/>
      <c r="AU145" s="646"/>
      <c r="AV145" s="646"/>
      <c r="AW145" s="646"/>
      <c r="AX145" s="646"/>
      <c r="AY145" s="646"/>
      <c r="AZ145" s="646"/>
      <c r="BA145" s="646"/>
      <c r="BB145" s="646"/>
      <c r="BC145" s="646"/>
      <c r="BD145" s="646"/>
      <c r="BE145" s="646"/>
      <c r="BF145" s="646"/>
      <c r="BG145" s="646"/>
      <c r="BH145" s="646"/>
      <c r="BI145" s="646"/>
      <c r="BJ145" s="646"/>
      <c r="BK145" s="646"/>
      <c r="BL145" s="646"/>
      <c r="BM145" s="646"/>
      <c r="BN145" s="646"/>
      <c r="BO145" s="646"/>
      <c r="BP145" s="646"/>
      <c r="BQ145" s="646"/>
      <c r="BR145" s="645"/>
      <c r="BS145" s="645"/>
      <c r="BT145" s="645"/>
      <c r="BU145" s="645"/>
      <c r="BV145" s="646"/>
      <c r="BW145" s="647"/>
      <c r="BX145" s="647"/>
      <c r="BY145" s="647"/>
      <c r="BZ145" s="647"/>
      <c r="CA145" s="647"/>
      <c r="CB145" s="647"/>
      <c r="CC145" s="647"/>
      <c r="CD145" s="647"/>
      <c r="CE145" s="647"/>
      <c r="CF145" s="647"/>
      <c r="CG145" s="647"/>
      <c r="CH145" s="647"/>
      <c r="CI145" s="647"/>
      <c r="FK145" s="714"/>
      <c r="FL145" s="714"/>
    </row>
    <row r="146" spans="4:168" s="640" customFormat="1" ht="15.75" customHeight="1">
      <c r="D146" s="641"/>
      <c r="G146" s="642"/>
      <c r="J146" s="642"/>
      <c r="K146" s="643"/>
      <c r="M146" s="644"/>
      <c r="N146" s="642"/>
      <c r="Q146" s="642"/>
      <c r="T146" s="642"/>
      <c r="U146" s="643"/>
      <c r="X146" s="645"/>
      <c r="Y146" s="646"/>
      <c r="Z146" s="673"/>
      <c r="AA146" s="646"/>
      <c r="AB146" s="646"/>
      <c r="AC146" s="646"/>
      <c r="AD146" s="646"/>
      <c r="AE146" s="646"/>
      <c r="AF146" s="646"/>
      <c r="AG146" s="646"/>
      <c r="AH146" s="646"/>
      <c r="AI146" s="646"/>
      <c r="AJ146" s="646"/>
      <c r="AK146" s="646"/>
      <c r="AL146" s="646"/>
      <c r="AM146" s="646"/>
      <c r="AN146" s="646"/>
      <c r="AO146" s="646"/>
      <c r="AP146" s="646"/>
      <c r="AQ146" s="646"/>
      <c r="AR146" s="646"/>
      <c r="AS146" s="646"/>
      <c r="AT146" s="646"/>
      <c r="AU146" s="646"/>
      <c r="AV146" s="646"/>
      <c r="AW146" s="646"/>
      <c r="AX146" s="646"/>
      <c r="AY146" s="646"/>
      <c r="AZ146" s="646"/>
      <c r="BA146" s="646"/>
      <c r="BB146" s="646"/>
      <c r="BC146" s="646"/>
      <c r="BD146" s="646"/>
      <c r="BE146" s="646"/>
      <c r="BF146" s="646"/>
      <c r="BG146" s="646"/>
      <c r="BH146" s="646"/>
      <c r="BI146" s="646"/>
      <c r="BJ146" s="646"/>
      <c r="BK146" s="646"/>
      <c r="BL146" s="646"/>
      <c r="BM146" s="646"/>
      <c r="BN146" s="646"/>
      <c r="BO146" s="646"/>
      <c r="BP146" s="646"/>
      <c r="BQ146" s="646"/>
      <c r="BR146" s="645"/>
      <c r="BS146" s="645"/>
      <c r="BT146" s="645"/>
      <c r="BU146" s="645"/>
      <c r="BV146" s="646"/>
      <c r="BW146" s="647"/>
      <c r="BX146" s="647"/>
      <c r="BY146" s="647"/>
      <c r="BZ146" s="647"/>
      <c r="CA146" s="647"/>
      <c r="CB146" s="647"/>
      <c r="CC146" s="647"/>
      <c r="CD146" s="647"/>
      <c r="CE146" s="647"/>
      <c r="CF146" s="647"/>
      <c r="CG146" s="647"/>
      <c r="CH146" s="647"/>
      <c r="CI146" s="647"/>
      <c r="FK146" s="714"/>
      <c r="FL146" s="714"/>
    </row>
    <row r="147" spans="4:168" s="640" customFormat="1" ht="15.75" customHeight="1">
      <c r="D147" s="641"/>
      <c r="G147" s="642"/>
      <c r="J147" s="642"/>
      <c r="K147" s="643"/>
      <c r="M147" s="644"/>
      <c r="N147" s="642"/>
      <c r="Q147" s="642"/>
      <c r="T147" s="642"/>
      <c r="U147" s="643"/>
      <c r="X147" s="645"/>
      <c r="Y147" s="646"/>
      <c r="Z147" s="673"/>
      <c r="AA147" s="646"/>
      <c r="AB147" s="646"/>
      <c r="AC147" s="646"/>
      <c r="AD147" s="646"/>
      <c r="AE147" s="646"/>
      <c r="AF147" s="646"/>
      <c r="AG147" s="646"/>
      <c r="AH147" s="646"/>
      <c r="AI147" s="646"/>
      <c r="AJ147" s="646"/>
      <c r="AK147" s="646"/>
      <c r="AL147" s="646"/>
      <c r="AM147" s="646"/>
      <c r="AN147" s="646"/>
      <c r="AO147" s="646"/>
      <c r="AP147" s="646"/>
      <c r="AQ147" s="646"/>
      <c r="AR147" s="646"/>
      <c r="AS147" s="646"/>
      <c r="AT147" s="646"/>
      <c r="AU147" s="646"/>
      <c r="AV147" s="646"/>
      <c r="AW147" s="646"/>
      <c r="AX147" s="646"/>
      <c r="AY147" s="646"/>
      <c r="AZ147" s="646"/>
      <c r="BA147" s="646"/>
      <c r="BB147" s="646"/>
      <c r="BC147" s="646"/>
      <c r="BD147" s="646"/>
      <c r="BE147" s="646"/>
      <c r="BF147" s="646"/>
      <c r="BG147" s="646"/>
      <c r="BH147" s="646"/>
      <c r="BI147" s="646"/>
      <c r="BJ147" s="646"/>
      <c r="BK147" s="646"/>
      <c r="BL147" s="646"/>
      <c r="BM147" s="646"/>
      <c r="BN147" s="646"/>
      <c r="BO147" s="646"/>
      <c r="BP147" s="646"/>
      <c r="BQ147" s="646"/>
      <c r="BR147" s="645"/>
      <c r="BS147" s="645"/>
      <c r="BT147" s="645"/>
      <c r="BU147" s="645"/>
      <c r="BV147" s="646"/>
      <c r="BW147" s="647"/>
      <c r="BX147" s="647"/>
      <c r="BY147" s="647"/>
      <c r="BZ147" s="647"/>
      <c r="CA147" s="647"/>
      <c r="CB147" s="647"/>
      <c r="CC147" s="647"/>
      <c r="CD147" s="647"/>
      <c r="CE147" s="647"/>
      <c r="CF147" s="647"/>
      <c r="CG147" s="647"/>
      <c r="CH147" s="647"/>
      <c r="CI147" s="647"/>
      <c r="FK147" s="714"/>
      <c r="FL147" s="714"/>
    </row>
    <row r="148" spans="4:168" s="640" customFormat="1" ht="15.75" customHeight="1">
      <c r="D148" s="641"/>
      <c r="G148" s="642"/>
      <c r="J148" s="642"/>
      <c r="K148" s="643"/>
      <c r="M148" s="644"/>
      <c r="N148" s="642"/>
      <c r="Q148" s="642"/>
      <c r="T148" s="642"/>
      <c r="U148" s="643"/>
      <c r="X148" s="645"/>
      <c r="Y148" s="646"/>
      <c r="Z148" s="673"/>
      <c r="AA148" s="646"/>
      <c r="AB148" s="646"/>
      <c r="AC148" s="646"/>
      <c r="AD148" s="646"/>
      <c r="AE148" s="646"/>
      <c r="AF148" s="646"/>
      <c r="AG148" s="646"/>
      <c r="AH148" s="646"/>
      <c r="AI148" s="646"/>
      <c r="AJ148" s="646"/>
      <c r="AK148" s="646"/>
      <c r="AL148" s="646"/>
      <c r="AM148" s="646"/>
      <c r="AN148" s="646"/>
      <c r="AO148" s="646"/>
      <c r="AP148" s="646"/>
      <c r="AQ148" s="646"/>
      <c r="AR148" s="646"/>
      <c r="AS148" s="646"/>
      <c r="AT148" s="646"/>
      <c r="AU148" s="646"/>
      <c r="AV148" s="646"/>
      <c r="AW148" s="646"/>
      <c r="AX148" s="646"/>
      <c r="AY148" s="646"/>
      <c r="AZ148" s="646"/>
      <c r="BA148" s="646"/>
      <c r="BB148" s="646"/>
      <c r="BC148" s="646"/>
      <c r="BD148" s="646"/>
      <c r="BE148" s="646"/>
      <c r="BF148" s="646"/>
      <c r="BG148" s="646"/>
      <c r="BH148" s="646"/>
      <c r="BI148" s="646"/>
      <c r="BJ148" s="646"/>
      <c r="BK148" s="646"/>
      <c r="BL148" s="646"/>
      <c r="BM148" s="646"/>
      <c r="BN148" s="646"/>
      <c r="BO148" s="646"/>
      <c r="BP148" s="646"/>
      <c r="BQ148" s="646"/>
      <c r="BR148" s="645"/>
      <c r="BS148" s="645"/>
      <c r="BT148" s="645"/>
      <c r="BU148" s="645"/>
      <c r="BV148" s="646"/>
      <c r="BW148" s="647"/>
      <c r="BX148" s="647"/>
      <c r="BY148" s="647"/>
      <c r="BZ148" s="647"/>
      <c r="CA148" s="647"/>
      <c r="CB148" s="647"/>
      <c r="CC148" s="647"/>
      <c r="CD148" s="647"/>
      <c r="CE148" s="647"/>
      <c r="CF148" s="647"/>
      <c r="CG148" s="647"/>
      <c r="CH148" s="647"/>
      <c r="CI148" s="647"/>
      <c r="FK148" s="714"/>
      <c r="FL148" s="714"/>
    </row>
    <row r="149" spans="4:168" s="640" customFormat="1" ht="15.75" customHeight="1">
      <c r="D149" s="641"/>
      <c r="G149" s="642"/>
      <c r="J149" s="642"/>
      <c r="K149" s="643"/>
      <c r="M149" s="644"/>
      <c r="N149" s="642"/>
      <c r="Q149" s="642"/>
      <c r="T149" s="642"/>
      <c r="U149" s="643"/>
      <c r="X149" s="645"/>
      <c r="Y149" s="646"/>
      <c r="Z149" s="673"/>
      <c r="AA149" s="646"/>
      <c r="AB149" s="646"/>
      <c r="AC149" s="646"/>
      <c r="AD149" s="646"/>
      <c r="AE149" s="646"/>
      <c r="AF149" s="646"/>
      <c r="AG149" s="646"/>
      <c r="AH149" s="646"/>
      <c r="AI149" s="646"/>
      <c r="AJ149" s="646"/>
      <c r="AK149" s="646"/>
      <c r="AL149" s="646"/>
      <c r="AM149" s="646"/>
      <c r="AN149" s="646"/>
      <c r="AO149" s="646"/>
      <c r="AP149" s="646"/>
      <c r="AQ149" s="646"/>
      <c r="AR149" s="646"/>
      <c r="AS149" s="646"/>
      <c r="AT149" s="646"/>
      <c r="AU149" s="646"/>
      <c r="AV149" s="646"/>
      <c r="AW149" s="646"/>
      <c r="AX149" s="646"/>
      <c r="AY149" s="646"/>
      <c r="AZ149" s="646"/>
      <c r="BA149" s="646"/>
      <c r="BB149" s="646"/>
      <c r="BC149" s="646"/>
      <c r="BD149" s="646"/>
      <c r="BE149" s="646"/>
      <c r="BF149" s="646"/>
      <c r="BG149" s="646"/>
      <c r="BH149" s="646"/>
      <c r="BI149" s="646"/>
      <c r="BJ149" s="646"/>
      <c r="BK149" s="646"/>
      <c r="BL149" s="646"/>
      <c r="BM149" s="646"/>
      <c r="BN149" s="646"/>
      <c r="BO149" s="646"/>
      <c r="BP149" s="646"/>
      <c r="BQ149" s="646"/>
      <c r="BR149" s="645"/>
      <c r="BS149" s="645"/>
      <c r="BT149" s="645"/>
      <c r="BU149" s="645"/>
      <c r="BV149" s="646"/>
      <c r="BW149" s="647"/>
      <c r="BX149" s="647"/>
      <c r="BY149" s="647"/>
      <c r="BZ149" s="647"/>
      <c r="CA149" s="647"/>
      <c r="CB149" s="647"/>
      <c r="CC149" s="647"/>
      <c r="CD149" s="647"/>
      <c r="CE149" s="647"/>
      <c r="CF149" s="647"/>
      <c r="CG149" s="647"/>
      <c r="CH149" s="647"/>
      <c r="CI149" s="647"/>
      <c r="FK149" s="714"/>
      <c r="FL149" s="714"/>
    </row>
    <row r="150" spans="4:168" s="640" customFormat="1" ht="15.75" customHeight="1">
      <c r="D150" s="641"/>
      <c r="G150" s="642"/>
      <c r="J150" s="642"/>
      <c r="K150" s="643"/>
      <c r="M150" s="644"/>
      <c r="N150" s="642"/>
      <c r="Q150" s="642"/>
      <c r="T150" s="642"/>
      <c r="U150" s="643"/>
      <c r="X150" s="645"/>
      <c r="Y150" s="646"/>
      <c r="Z150" s="673"/>
      <c r="AA150" s="646"/>
      <c r="AB150" s="646"/>
      <c r="AC150" s="646"/>
      <c r="AD150" s="646"/>
      <c r="AE150" s="646"/>
      <c r="AF150" s="646"/>
      <c r="AG150" s="646"/>
      <c r="AH150" s="646"/>
      <c r="AI150" s="646"/>
      <c r="AJ150" s="646"/>
      <c r="AK150" s="646"/>
      <c r="AL150" s="646"/>
      <c r="AM150" s="646"/>
      <c r="AN150" s="646"/>
      <c r="AO150" s="646"/>
      <c r="AP150" s="646"/>
      <c r="AQ150" s="646"/>
      <c r="AR150" s="646"/>
      <c r="AS150" s="646"/>
      <c r="AT150" s="646"/>
      <c r="AU150" s="646"/>
      <c r="AV150" s="646"/>
      <c r="AW150" s="646"/>
      <c r="AX150" s="646"/>
      <c r="AY150" s="646"/>
      <c r="AZ150" s="646"/>
      <c r="BA150" s="646"/>
      <c r="BB150" s="646"/>
      <c r="BC150" s="646"/>
      <c r="BD150" s="646"/>
      <c r="BE150" s="646"/>
      <c r="BF150" s="646"/>
      <c r="BG150" s="646"/>
      <c r="BH150" s="646"/>
      <c r="BI150" s="646"/>
      <c r="BJ150" s="646"/>
      <c r="BK150" s="646"/>
      <c r="BL150" s="646"/>
      <c r="BM150" s="646"/>
      <c r="BN150" s="646"/>
      <c r="BO150" s="646"/>
      <c r="BP150" s="646"/>
      <c r="BQ150" s="646"/>
      <c r="BR150" s="645"/>
      <c r="BS150" s="645"/>
      <c r="BT150" s="645"/>
      <c r="BU150" s="645"/>
      <c r="BV150" s="646"/>
      <c r="BW150" s="647"/>
      <c r="BX150" s="647"/>
      <c r="BY150" s="647"/>
      <c r="BZ150" s="647"/>
      <c r="CA150" s="647"/>
      <c r="CB150" s="647"/>
      <c r="CC150" s="647"/>
      <c r="CD150" s="647"/>
      <c r="CE150" s="647"/>
      <c r="CF150" s="647"/>
      <c r="CG150" s="647"/>
      <c r="CH150" s="647"/>
      <c r="CI150" s="647"/>
      <c r="FK150" s="714"/>
      <c r="FL150" s="714"/>
    </row>
    <row r="151" spans="4:168" s="640" customFormat="1" ht="15.75" customHeight="1">
      <c r="D151" s="641"/>
      <c r="G151" s="642"/>
      <c r="J151" s="642"/>
      <c r="K151" s="643"/>
      <c r="M151" s="644"/>
      <c r="N151" s="642"/>
      <c r="Q151" s="642"/>
      <c r="T151" s="642"/>
      <c r="U151" s="643"/>
      <c r="X151" s="645"/>
      <c r="Y151" s="646"/>
      <c r="Z151" s="673"/>
      <c r="AA151" s="646"/>
      <c r="AB151" s="646"/>
      <c r="AC151" s="646"/>
      <c r="AD151" s="646"/>
      <c r="AE151" s="646"/>
      <c r="AF151" s="646"/>
      <c r="AG151" s="646"/>
      <c r="AH151" s="646"/>
      <c r="AI151" s="646"/>
      <c r="AJ151" s="646"/>
      <c r="AK151" s="646"/>
      <c r="AL151" s="646"/>
      <c r="AM151" s="646"/>
      <c r="AN151" s="646"/>
      <c r="AO151" s="646"/>
      <c r="AP151" s="646"/>
      <c r="AQ151" s="646"/>
      <c r="AR151" s="646"/>
      <c r="AS151" s="646"/>
      <c r="AT151" s="646"/>
      <c r="AU151" s="646"/>
      <c r="AV151" s="646"/>
      <c r="AW151" s="646"/>
      <c r="AX151" s="646"/>
      <c r="AY151" s="646"/>
      <c r="AZ151" s="646"/>
      <c r="BA151" s="646"/>
      <c r="BB151" s="646"/>
      <c r="BC151" s="646"/>
      <c r="BD151" s="646"/>
      <c r="BE151" s="646"/>
      <c r="BF151" s="646"/>
      <c r="BG151" s="646"/>
      <c r="BH151" s="646"/>
      <c r="BI151" s="646"/>
      <c r="BJ151" s="646"/>
      <c r="BK151" s="646"/>
      <c r="BL151" s="646"/>
      <c r="BM151" s="646"/>
      <c r="BN151" s="646"/>
      <c r="BO151" s="646"/>
      <c r="BP151" s="646"/>
      <c r="BQ151" s="646"/>
      <c r="BR151" s="645"/>
      <c r="BS151" s="645"/>
      <c r="BT151" s="645"/>
      <c r="BU151" s="645"/>
      <c r="BV151" s="646"/>
      <c r="BW151" s="647"/>
      <c r="BX151" s="647"/>
      <c r="BY151" s="647"/>
      <c r="BZ151" s="647"/>
      <c r="CA151" s="647"/>
      <c r="CB151" s="647"/>
      <c r="CC151" s="647"/>
      <c r="CD151" s="647"/>
      <c r="CE151" s="647"/>
      <c r="CF151" s="647"/>
      <c r="CG151" s="647"/>
      <c r="CH151" s="647"/>
      <c r="CI151" s="647"/>
      <c r="FK151" s="714"/>
      <c r="FL151" s="714"/>
    </row>
    <row r="152" spans="4:168" s="640" customFormat="1" ht="15.75" customHeight="1">
      <c r="D152" s="641"/>
      <c r="G152" s="642"/>
      <c r="J152" s="642"/>
      <c r="K152" s="643"/>
      <c r="M152" s="644"/>
      <c r="N152" s="642"/>
      <c r="Q152" s="642"/>
      <c r="T152" s="642"/>
      <c r="U152" s="643"/>
      <c r="X152" s="645"/>
      <c r="Y152" s="646"/>
      <c r="Z152" s="673"/>
      <c r="AA152" s="646"/>
      <c r="AB152" s="646"/>
      <c r="AC152" s="646"/>
      <c r="AD152" s="646"/>
      <c r="AE152" s="646"/>
      <c r="AF152" s="646"/>
      <c r="AG152" s="646"/>
      <c r="AH152" s="646"/>
      <c r="AI152" s="646"/>
      <c r="AJ152" s="646"/>
      <c r="AK152" s="646"/>
      <c r="AL152" s="646"/>
      <c r="AM152" s="646"/>
      <c r="AN152" s="646"/>
      <c r="AO152" s="646"/>
      <c r="AP152" s="646"/>
      <c r="AQ152" s="646"/>
      <c r="AR152" s="646"/>
      <c r="AS152" s="646"/>
      <c r="AT152" s="646"/>
      <c r="AU152" s="646"/>
      <c r="AV152" s="646"/>
      <c r="AW152" s="646"/>
      <c r="AX152" s="646"/>
      <c r="AY152" s="646"/>
      <c r="AZ152" s="646"/>
      <c r="BA152" s="646"/>
      <c r="BB152" s="646"/>
      <c r="BC152" s="646"/>
      <c r="BD152" s="646"/>
      <c r="BE152" s="646"/>
      <c r="BF152" s="646"/>
      <c r="BG152" s="646"/>
      <c r="BH152" s="646"/>
      <c r="BI152" s="646"/>
      <c r="BJ152" s="646"/>
      <c r="BK152" s="646"/>
      <c r="BL152" s="646"/>
      <c r="BM152" s="646"/>
      <c r="BN152" s="646"/>
      <c r="BO152" s="646"/>
      <c r="BP152" s="646"/>
      <c r="BQ152" s="646"/>
      <c r="BR152" s="645"/>
      <c r="BS152" s="645"/>
      <c r="BT152" s="645"/>
      <c r="BU152" s="645"/>
      <c r="BV152" s="646"/>
      <c r="BW152" s="647"/>
      <c r="BX152" s="647"/>
      <c r="BY152" s="647"/>
      <c r="BZ152" s="647"/>
      <c r="CA152" s="647"/>
      <c r="CB152" s="647"/>
      <c r="CC152" s="647"/>
      <c r="CD152" s="647"/>
      <c r="CE152" s="647"/>
      <c r="CF152" s="647"/>
      <c r="CG152" s="647"/>
      <c r="CH152" s="647"/>
      <c r="CI152" s="647"/>
      <c r="FK152" s="714"/>
      <c r="FL152" s="714"/>
    </row>
    <row r="153" spans="4:168" s="640" customFormat="1" ht="15.75" customHeight="1">
      <c r="D153" s="641"/>
      <c r="G153" s="642"/>
      <c r="J153" s="642"/>
      <c r="K153" s="643"/>
      <c r="M153" s="644"/>
      <c r="N153" s="642"/>
      <c r="Q153" s="642"/>
      <c r="T153" s="642"/>
      <c r="U153" s="643"/>
      <c r="X153" s="645"/>
      <c r="Y153" s="646"/>
      <c r="Z153" s="673"/>
      <c r="AA153" s="646"/>
      <c r="AB153" s="646"/>
      <c r="AC153" s="646"/>
      <c r="AD153" s="646"/>
      <c r="AE153" s="646"/>
      <c r="AF153" s="646"/>
      <c r="AG153" s="646"/>
      <c r="AH153" s="646"/>
      <c r="AI153" s="646"/>
      <c r="AJ153" s="646"/>
      <c r="AK153" s="646"/>
      <c r="AL153" s="646"/>
      <c r="AM153" s="646"/>
      <c r="AN153" s="646"/>
      <c r="AO153" s="646"/>
      <c r="AP153" s="646"/>
      <c r="AQ153" s="646"/>
      <c r="AR153" s="646"/>
      <c r="AS153" s="646"/>
      <c r="AT153" s="646"/>
      <c r="AU153" s="646"/>
      <c r="AV153" s="646"/>
      <c r="AW153" s="646"/>
      <c r="AX153" s="646"/>
      <c r="AY153" s="646"/>
      <c r="AZ153" s="646"/>
      <c r="BA153" s="646"/>
      <c r="BB153" s="646"/>
      <c r="BC153" s="646"/>
      <c r="BD153" s="646"/>
      <c r="BE153" s="646"/>
      <c r="BF153" s="646"/>
      <c r="BG153" s="646"/>
      <c r="BH153" s="646"/>
      <c r="BI153" s="646"/>
      <c r="BJ153" s="646"/>
      <c r="BK153" s="646"/>
      <c r="BL153" s="646"/>
      <c r="BM153" s="646"/>
      <c r="BN153" s="646"/>
      <c r="BO153" s="646"/>
      <c r="BP153" s="646"/>
      <c r="BQ153" s="646"/>
      <c r="BR153" s="645"/>
      <c r="BS153" s="645"/>
      <c r="BT153" s="645"/>
      <c r="BU153" s="645"/>
      <c r="BV153" s="646"/>
      <c r="BW153" s="647"/>
      <c r="BX153" s="647"/>
      <c r="BY153" s="647"/>
      <c r="BZ153" s="647"/>
      <c r="CA153" s="647"/>
      <c r="CB153" s="647"/>
      <c r="CC153" s="647"/>
      <c r="CD153" s="647"/>
      <c r="CE153" s="647"/>
      <c r="CF153" s="647"/>
      <c r="CG153" s="647"/>
      <c r="CH153" s="647"/>
      <c r="CI153" s="647"/>
      <c r="FK153" s="714"/>
      <c r="FL153" s="714"/>
    </row>
    <row r="154" spans="4:168" s="640" customFormat="1" ht="15.75" customHeight="1">
      <c r="D154" s="641"/>
      <c r="G154" s="642"/>
      <c r="J154" s="642"/>
      <c r="K154" s="643"/>
      <c r="M154" s="644"/>
      <c r="N154" s="642"/>
      <c r="Q154" s="642"/>
      <c r="T154" s="642"/>
      <c r="U154" s="643"/>
      <c r="X154" s="645"/>
      <c r="Y154" s="646"/>
      <c r="Z154" s="673"/>
      <c r="AA154" s="646"/>
      <c r="AB154" s="646"/>
      <c r="AC154" s="646"/>
      <c r="AD154" s="646"/>
      <c r="AE154" s="646"/>
      <c r="AF154" s="646"/>
      <c r="AG154" s="646"/>
      <c r="AH154" s="646"/>
      <c r="AI154" s="646"/>
      <c r="AJ154" s="646"/>
      <c r="AK154" s="646"/>
      <c r="AL154" s="646"/>
      <c r="AM154" s="646"/>
      <c r="AN154" s="646"/>
      <c r="AO154" s="646"/>
      <c r="AP154" s="646"/>
      <c r="AQ154" s="646"/>
      <c r="AR154" s="646"/>
      <c r="AS154" s="646"/>
      <c r="AT154" s="646"/>
      <c r="AU154" s="646"/>
      <c r="AV154" s="646"/>
      <c r="AW154" s="646"/>
      <c r="AX154" s="646"/>
      <c r="AY154" s="646"/>
      <c r="AZ154" s="646"/>
      <c r="BA154" s="646"/>
      <c r="BB154" s="646"/>
      <c r="BC154" s="646"/>
      <c r="BD154" s="646"/>
      <c r="BE154" s="646"/>
      <c r="BF154" s="646"/>
      <c r="BG154" s="646"/>
      <c r="BH154" s="646"/>
      <c r="BI154" s="646"/>
      <c r="BJ154" s="646"/>
      <c r="BK154" s="646"/>
      <c r="BL154" s="646"/>
      <c r="BM154" s="646"/>
      <c r="BN154" s="646"/>
      <c r="BO154" s="646"/>
      <c r="BP154" s="646"/>
      <c r="BQ154" s="646"/>
      <c r="BR154" s="645"/>
      <c r="BS154" s="645"/>
      <c r="BT154" s="645"/>
      <c r="BU154" s="645"/>
      <c r="BV154" s="646"/>
      <c r="BW154" s="647"/>
      <c r="BX154" s="647"/>
      <c r="BY154" s="647"/>
      <c r="BZ154" s="647"/>
      <c r="CA154" s="647"/>
      <c r="CB154" s="647"/>
      <c r="CC154" s="647"/>
      <c r="CD154" s="647"/>
      <c r="CE154" s="647"/>
      <c r="CF154" s="647"/>
      <c r="CG154" s="647"/>
      <c r="CH154" s="647"/>
      <c r="CI154" s="647"/>
      <c r="FK154" s="714"/>
      <c r="FL154" s="714"/>
    </row>
    <row r="155" spans="4:168" s="640" customFormat="1" ht="15.75" customHeight="1">
      <c r="D155" s="641"/>
      <c r="G155" s="642"/>
      <c r="J155" s="642"/>
      <c r="K155" s="643"/>
      <c r="M155" s="644"/>
      <c r="N155" s="642"/>
      <c r="Q155" s="642"/>
      <c r="T155" s="642"/>
      <c r="U155" s="643"/>
      <c r="X155" s="645"/>
      <c r="Y155" s="646"/>
      <c r="Z155" s="673"/>
      <c r="AA155" s="646"/>
      <c r="AB155" s="646"/>
      <c r="AC155" s="646"/>
      <c r="AD155" s="646"/>
      <c r="AE155" s="646"/>
      <c r="AF155" s="646"/>
      <c r="AG155" s="646"/>
      <c r="AH155" s="646"/>
      <c r="AI155" s="646"/>
      <c r="AJ155" s="646"/>
      <c r="AK155" s="646"/>
      <c r="AL155" s="646"/>
      <c r="AM155" s="646"/>
      <c r="AN155" s="646"/>
      <c r="AO155" s="646"/>
      <c r="AP155" s="646"/>
      <c r="AQ155" s="646"/>
      <c r="AR155" s="646"/>
      <c r="AS155" s="646"/>
      <c r="AT155" s="646"/>
      <c r="AU155" s="646"/>
      <c r="AV155" s="646"/>
      <c r="AW155" s="646"/>
      <c r="AX155" s="646"/>
      <c r="AY155" s="646"/>
      <c r="AZ155" s="646"/>
      <c r="BA155" s="646"/>
      <c r="BB155" s="646"/>
      <c r="BC155" s="646"/>
      <c r="BD155" s="646"/>
      <c r="BE155" s="646"/>
      <c r="BF155" s="646"/>
      <c r="BG155" s="646"/>
      <c r="BH155" s="646"/>
      <c r="BI155" s="646"/>
      <c r="BJ155" s="646"/>
      <c r="BK155" s="646"/>
      <c r="BL155" s="646"/>
      <c r="BM155" s="646"/>
      <c r="BN155" s="646"/>
      <c r="BO155" s="646"/>
      <c r="BP155" s="646"/>
      <c r="BQ155" s="646"/>
      <c r="BR155" s="645"/>
      <c r="BS155" s="645"/>
      <c r="BT155" s="645"/>
      <c r="BU155" s="645"/>
      <c r="BV155" s="646"/>
      <c r="BW155" s="647"/>
      <c r="BX155" s="647"/>
      <c r="BY155" s="647"/>
      <c r="BZ155" s="647"/>
      <c r="CA155" s="647"/>
      <c r="CB155" s="647"/>
      <c r="CC155" s="647"/>
      <c r="CD155" s="647"/>
      <c r="CE155" s="647"/>
      <c r="CF155" s="647"/>
      <c r="CG155" s="647"/>
      <c r="CH155" s="647"/>
      <c r="CI155" s="647"/>
      <c r="FK155" s="714"/>
      <c r="FL155" s="714"/>
    </row>
    <row r="156" spans="4:168" s="640" customFormat="1" ht="15.75" customHeight="1">
      <c r="D156" s="641"/>
      <c r="G156" s="642"/>
      <c r="J156" s="642"/>
      <c r="K156" s="643"/>
      <c r="M156" s="644"/>
      <c r="N156" s="642"/>
      <c r="Q156" s="642"/>
      <c r="T156" s="642"/>
      <c r="U156" s="643"/>
      <c r="X156" s="645"/>
      <c r="Y156" s="646"/>
      <c r="Z156" s="673"/>
      <c r="AA156" s="646"/>
      <c r="AB156" s="646"/>
      <c r="AC156" s="646"/>
      <c r="AD156" s="646"/>
      <c r="AE156" s="646"/>
      <c r="AF156" s="646"/>
      <c r="AG156" s="646"/>
      <c r="AH156" s="646"/>
      <c r="AI156" s="646"/>
      <c r="AJ156" s="646"/>
      <c r="AK156" s="646"/>
      <c r="AL156" s="646"/>
      <c r="AM156" s="646"/>
      <c r="AN156" s="646"/>
      <c r="AO156" s="646"/>
      <c r="AP156" s="646"/>
      <c r="AQ156" s="646"/>
      <c r="AR156" s="646"/>
      <c r="AS156" s="646"/>
      <c r="AT156" s="646"/>
      <c r="AU156" s="646"/>
      <c r="AV156" s="646"/>
      <c r="AW156" s="646"/>
      <c r="AX156" s="646"/>
      <c r="AY156" s="646"/>
      <c r="AZ156" s="646"/>
      <c r="BA156" s="646"/>
      <c r="BB156" s="646"/>
      <c r="BC156" s="646"/>
      <c r="BD156" s="646"/>
      <c r="BE156" s="646"/>
      <c r="BF156" s="646"/>
      <c r="BG156" s="646"/>
      <c r="BH156" s="646"/>
      <c r="BI156" s="646"/>
      <c r="BJ156" s="646"/>
      <c r="BK156" s="646"/>
      <c r="BL156" s="646"/>
      <c r="BM156" s="646"/>
      <c r="BN156" s="646"/>
      <c r="BO156" s="646"/>
      <c r="BP156" s="646"/>
      <c r="BQ156" s="646"/>
      <c r="BR156" s="645"/>
      <c r="BS156" s="645"/>
      <c r="BT156" s="645"/>
      <c r="BU156" s="645"/>
      <c r="BV156" s="646"/>
      <c r="BW156" s="647"/>
      <c r="BX156" s="647"/>
      <c r="BY156" s="647"/>
      <c r="BZ156" s="647"/>
      <c r="CA156" s="647"/>
      <c r="CB156" s="647"/>
      <c r="CC156" s="647"/>
      <c r="CD156" s="647"/>
      <c r="CE156" s="647"/>
      <c r="CF156" s="647"/>
      <c r="CG156" s="647"/>
      <c r="CH156" s="647"/>
      <c r="CI156" s="647"/>
      <c r="FK156" s="714"/>
      <c r="FL156" s="714"/>
    </row>
    <row r="157" spans="4:168" s="640" customFormat="1" ht="15.75" customHeight="1">
      <c r="D157" s="641"/>
      <c r="G157" s="642"/>
      <c r="J157" s="642"/>
      <c r="K157" s="643"/>
      <c r="M157" s="644"/>
      <c r="N157" s="642"/>
      <c r="Q157" s="642"/>
      <c r="T157" s="642"/>
      <c r="U157" s="643"/>
      <c r="X157" s="645"/>
      <c r="Y157" s="646"/>
      <c r="Z157" s="673"/>
      <c r="AA157" s="646"/>
      <c r="AB157" s="646"/>
      <c r="AC157" s="646"/>
      <c r="AD157" s="646"/>
      <c r="AE157" s="646"/>
      <c r="AF157" s="646"/>
      <c r="AG157" s="646"/>
      <c r="AH157" s="646"/>
      <c r="AI157" s="646"/>
      <c r="AJ157" s="646"/>
      <c r="AK157" s="646"/>
      <c r="AL157" s="646"/>
      <c r="AM157" s="646"/>
      <c r="AN157" s="646"/>
      <c r="AO157" s="646"/>
      <c r="AP157" s="646"/>
      <c r="AQ157" s="646"/>
      <c r="AR157" s="646"/>
      <c r="AS157" s="646"/>
      <c r="AT157" s="646"/>
      <c r="AU157" s="646"/>
      <c r="AV157" s="646"/>
      <c r="AW157" s="646"/>
      <c r="AX157" s="646"/>
      <c r="AY157" s="646"/>
      <c r="AZ157" s="646"/>
      <c r="BA157" s="646"/>
      <c r="BB157" s="646"/>
      <c r="BC157" s="646"/>
      <c r="BD157" s="646"/>
      <c r="BE157" s="646"/>
      <c r="BF157" s="646"/>
      <c r="BG157" s="646"/>
      <c r="BH157" s="646"/>
      <c r="BI157" s="646"/>
      <c r="BJ157" s="646"/>
      <c r="BK157" s="646"/>
      <c r="BL157" s="646"/>
      <c r="BM157" s="646"/>
      <c r="BN157" s="646"/>
      <c r="BO157" s="646"/>
      <c r="BP157" s="646"/>
      <c r="BQ157" s="646"/>
      <c r="BR157" s="645"/>
      <c r="BS157" s="645"/>
      <c r="BT157" s="645"/>
      <c r="BU157" s="645"/>
      <c r="BV157" s="646"/>
      <c r="BW157" s="647"/>
      <c r="BX157" s="647"/>
      <c r="BY157" s="647"/>
      <c r="BZ157" s="647"/>
      <c r="CA157" s="647"/>
      <c r="CB157" s="647"/>
      <c r="CC157" s="647"/>
      <c r="CD157" s="647"/>
      <c r="CE157" s="647"/>
      <c r="CF157" s="647"/>
      <c r="CG157" s="647"/>
      <c r="CH157" s="647"/>
      <c r="CI157" s="647"/>
      <c r="FK157" s="714"/>
      <c r="FL157" s="714"/>
    </row>
    <row r="158" spans="4:168" s="640" customFormat="1" ht="15.75" customHeight="1">
      <c r="D158" s="641"/>
      <c r="G158" s="642"/>
      <c r="J158" s="642"/>
      <c r="K158" s="643"/>
      <c r="M158" s="644"/>
      <c r="N158" s="642"/>
      <c r="Q158" s="642"/>
      <c r="T158" s="642"/>
      <c r="U158" s="643"/>
      <c r="X158" s="645"/>
      <c r="Y158" s="646"/>
      <c r="Z158" s="673"/>
      <c r="AA158" s="646"/>
      <c r="AB158" s="646"/>
      <c r="AC158" s="646"/>
      <c r="AD158" s="646"/>
      <c r="AE158" s="646"/>
      <c r="AF158" s="646"/>
      <c r="AG158" s="646"/>
      <c r="AH158" s="646"/>
      <c r="AI158" s="646"/>
      <c r="AJ158" s="646"/>
      <c r="AK158" s="646"/>
      <c r="AL158" s="646"/>
      <c r="AM158" s="646"/>
      <c r="AN158" s="646"/>
      <c r="AO158" s="646"/>
      <c r="AP158" s="646"/>
      <c r="AQ158" s="646"/>
      <c r="AR158" s="646"/>
      <c r="AS158" s="646"/>
      <c r="AT158" s="646"/>
      <c r="AU158" s="646"/>
      <c r="AV158" s="646"/>
      <c r="AW158" s="646"/>
      <c r="AX158" s="646"/>
      <c r="AY158" s="646"/>
      <c r="AZ158" s="646"/>
      <c r="BA158" s="646"/>
      <c r="BB158" s="646"/>
      <c r="BC158" s="646"/>
      <c r="BD158" s="646"/>
      <c r="BE158" s="646"/>
      <c r="BF158" s="646"/>
      <c r="BG158" s="646"/>
      <c r="BH158" s="646"/>
      <c r="BI158" s="646"/>
      <c r="BJ158" s="646"/>
      <c r="BK158" s="646"/>
      <c r="BL158" s="646"/>
      <c r="BM158" s="646"/>
      <c r="BN158" s="646"/>
      <c r="BO158" s="646"/>
      <c r="BP158" s="646"/>
      <c r="BQ158" s="646"/>
      <c r="BR158" s="645"/>
      <c r="BS158" s="645"/>
      <c r="BT158" s="645"/>
      <c r="BU158" s="645"/>
      <c r="BV158" s="646"/>
      <c r="BW158" s="647"/>
      <c r="BX158" s="647"/>
      <c r="BY158" s="647"/>
      <c r="BZ158" s="647"/>
      <c r="CA158" s="647"/>
      <c r="CB158" s="647"/>
      <c r="CC158" s="647"/>
      <c r="CD158" s="647"/>
      <c r="CE158" s="647"/>
      <c r="CF158" s="647"/>
      <c r="CG158" s="647"/>
      <c r="CH158" s="647"/>
      <c r="CI158" s="647"/>
      <c r="FK158" s="714"/>
      <c r="FL158" s="714"/>
    </row>
    <row r="159" spans="4:168" s="640" customFormat="1" ht="15.75" customHeight="1">
      <c r="D159" s="641"/>
      <c r="G159" s="642"/>
      <c r="J159" s="642"/>
      <c r="K159" s="643"/>
      <c r="M159" s="644"/>
      <c r="N159" s="642"/>
      <c r="Q159" s="642"/>
      <c r="T159" s="642"/>
      <c r="U159" s="643"/>
      <c r="X159" s="645"/>
      <c r="Y159" s="646"/>
      <c r="Z159" s="673"/>
      <c r="AA159" s="646"/>
      <c r="AB159" s="646"/>
      <c r="AC159" s="646"/>
      <c r="AD159" s="646"/>
      <c r="AE159" s="646"/>
      <c r="AF159" s="646"/>
      <c r="AG159" s="646"/>
      <c r="AH159" s="646"/>
      <c r="AI159" s="646"/>
      <c r="AJ159" s="646"/>
      <c r="AK159" s="646"/>
      <c r="AL159" s="646"/>
      <c r="AM159" s="646"/>
      <c r="AN159" s="646"/>
      <c r="AO159" s="646"/>
      <c r="AP159" s="646"/>
      <c r="AQ159" s="646"/>
      <c r="AR159" s="646"/>
      <c r="AS159" s="646"/>
      <c r="AT159" s="646"/>
      <c r="AU159" s="646"/>
      <c r="AV159" s="646"/>
      <c r="AW159" s="646"/>
      <c r="AX159" s="646"/>
      <c r="AY159" s="646"/>
      <c r="AZ159" s="646"/>
      <c r="BA159" s="646"/>
      <c r="BB159" s="646"/>
      <c r="BC159" s="646"/>
      <c r="BD159" s="646"/>
      <c r="BE159" s="646"/>
      <c r="BF159" s="646"/>
      <c r="BG159" s="646"/>
      <c r="BH159" s="646"/>
      <c r="BI159" s="646"/>
      <c r="BJ159" s="646"/>
      <c r="BK159" s="646"/>
      <c r="BL159" s="646"/>
      <c r="BM159" s="646"/>
      <c r="BN159" s="646"/>
      <c r="BO159" s="646"/>
      <c r="BP159" s="646"/>
      <c r="BQ159" s="646"/>
      <c r="BR159" s="645"/>
      <c r="BS159" s="645"/>
      <c r="BT159" s="645"/>
      <c r="BU159" s="645"/>
      <c r="BV159" s="646"/>
      <c r="BW159" s="647"/>
      <c r="BX159" s="647"/>
      <c r="BY159" s="647"/>
      <c r="BZ159" s="647"/>
      <c r="CA159" s="647"/>
      <c r="CB159" s="647"/>
      <c r="CC159" s="647"/>
      <c r="CD159" s="647"/>
      <c r="CE159" s="647"/>
      <c r="CF159" s="647"/>
      <c r="CG159" s="647"/>
      <c r="CH159" s="647"/>
      <c r="CI159" s="647"/>
      <c r="FK159" s="714"/>
      <c r="FL159" s="714"/>
    </row>
    <row r="160" spans="4:168" s="640" customFormat="1" ht="15.75" customHeight="1">
      <c r="D160" s="641"/>
      <c r="G160" s="642"/>
      <c r="J160" s="642"/>
      <c r="K160" s="643"/>
      <c r="M160" s="644"/>
      <c r="N160" s="642"/>
      <c r="Q160" s="642"/>
      <c r="T160" s="642"/>
      <c r="U160" s="643"/>
      <c r="X160" s="645"/>
      <c r="Y160" s="646"/>
      <c r="Z160" s="673"/>
      <c r="AA160" s="646"/>
      <c r="AB160" s="646"/>
      <c r="AC160" s="646"/>
      <c r="AD160" s="646"/>
      <c r="AE160" s="646"/>
      <c r="AF160" s="646"/>
      <c r="AG160" s="646"/>
      <c r="AH160" s="646"/>
      <c r="AI160" s="646"/>
      <c r="AJ160" s="646"/>
      <c r="AK160" s="646"/>
      <c r="AL160" s="646"/>
      <c r="AM160" s="646"/>
      <c r="AN160" s="646"/>
      <c r="AO160" s="646"/>
      <c r="AP160" s="646"/>
      <c r="AQ160" s="646"/>
      <c r="AR160" s="646"/>
      <c r="AS160" s="646"/>
      <c r="AT160" s="646"/>
      <c r="AU160" s="646"/>
      <c r="AV160" s="646"/>
      <c r="AW160" s="646"/>
      <c r="AX160" s="646"/>
      <c r="AY160" s="646"/>
      <c r="AZ160" s="646"/>
      <c r="BA160" s="646"/>
      <c r="BB160" s="646"/>
      <c r="BC160" s="646"/>
      <c r="BD160" s="646"/>
      <c r="BE160" s="646"/>
      <c r="BF160" s="646"/>
      <c r="BG160" s="646"/>
      <c r="BH160" s="646"/>
      <c r="BI160" s="646"/>
      <c r="BJ160" s="646"/>
      <c r="BK160" s="646"/>
      <c r="BL160" s="646"/>
      <c r="BM160" s="646"/>
      <c r="BN160" s="646"/>
      <c r="BO160" s="646"/>
      <c r="BP160" s="646"/>
      <c r="BQ160" s="646"/>
      <c r="BR160" s="645"/>
      <c r="BS160" s="645"/>
      <c r="BT160" s="645"/>
      <c r="BU160" s="645"/>
      <c r="BV160" s="646"/>
      <c r="BW160" s="647"/>
      <c r="BX160" s="647"/>
      <c r="BY160" s="647"/>
      <c r="BZ160" s="647"/>
      <c r="CA160" s="647"/>
      <c r="CB160" s="647"/>
      <c r="CC160" s="647"/>
      <c r="CD160" s="647"/>
      <c r="CE160" s="647"/>
      <c r="CF160" s="647"/>
      <c r="CG160" s="647"/>
      <c r="CH160" s="647"/>
      <c r="CI160" s="647"/>
      <c r="FK160" s="714"/>
      <c r="FL160" s="714"/>
    </row>
    <row r="161" spans="4:168" s="640" customFormat="1" ht="15.75" customHeight="1">
      <c r="D161" s="641"/>
      <c r="G161" s="642"/>
      <c r="J161" s="642"/>
      <c r="K161" s="643"/>
      <c r="M161" s="644"/>
      <c r="N161" s="642"/>
      <c r="Q161" s="642"/>
      <c r="T161" s="642"/>
      <c r="U161" s="643"/>
      <c r="X161" s="645"/>
      <c r="Y161" s="646"/>
      <c r="Z161" s="673"/>
      <c r="AA161" s="646"/>
      <c r="AB161" s="646"/>
      <c r="AC161" s="646"/>
      <c r="AD161" s="646"/>
      <c r="AE161" s="646"/>
      <c r="AF161" s="646"/>
      <c r="AG161" s="646"/>
      <c r="AH161" s="646"/>
      <c r="AI161" s="646"/>
      <c r="AJ161" s="646"/>
      <c r="AK161" s="646"/>
      <c r="AL161" s="646"/>
      <c r="AM161" s="646"/>
      <c r="AN161" s="646"/>
      <c r="AO161" s="646"/>
      <c r="AP161" s="646"/>
      <c r="AQ161" s="646"/>
      <c r="AR161" s="646"/>
      <c r="AS161" s="646"/>
      <c r="AT161" s="646"/>
      <c r="AU161" s="646"/>
      <c r="AV161" s="646"/>
      <c r="AW161" s="646"/>
      <c r="AX161" s="646"/>
      <c r="AY161" s="646"/>
      <c r="AZ161" s="646"/>
      <c r="BA161" s="646"/>
      <c r="BB161" s="646"/>
      <c r="BC161" s="646"/>
      <c r="BD161" s="646"/>
      <c r="BE161" s="646"/>
      <c r="BF161" s="646"/>
      <c r="BG161" s="646"/>
      <c r="BH161" s="646"/>
      <c r="BI161" s="646"/>
      <c r="BJ161" s="646"/>
      <c r="BK161" s="646"/>
      <c r="BL161" s="646"/>
      <c r="BM161" s="646"/>
      <c r="BN161" s="646"/>
      <c r="BO161" s="646"/>
      <c r="BP161" s="646"/>
      <c r="BQ161" s="646"/>
      <c r="BR161" s="645"/>
      <c r="BS161" s="645"/>
      <c r="BT161" s="645"/>
      <c r="BU161" s="645"/>
      <c r="BV161" s="646"/>
      <c r="BW161" s="647"/>
      <c r="BX161" s="647"/>
      <c r="BY161" s="647"/>
      <c r="BZ161" s="647"/>
      <c r="CA161" s="647"/>
      <c r="CB161" s="647"/>
      <c r="CC161" s="647"/>
      <c r="CD161" s="647"/>
      <c r="CE161" s="647"/>
      <c r="CF161" s="647"/>
      <c r="CG161" s="647"/>
      <c r="CH161" s="647"/>
      <c r="CI161" s="647"/>
      <c r="FK161" s="714"/>
      <c r="FL161" s="714"/>
    </row>
    <row r="162" spans="4:168" s="640" customFormat="1" ht="15.75" customHeight="1">
      <c r="D162" s="641"/>
      <c r="G162" s="642"/>
      <c r="J162" s="642"/>
      <c r="K162" s="643"/>
      <c r="M162" s="644"/>
      <c r="N162" s="642"/>
      <c r="Q162" s="642"/>
      <c r="T162" s="642"/>
      <c r="U162" s="643"/>
      <c r="X162" s="645"/>
      <c r="Y162" s="646"/>
      <c r="Z162" s="673"/>
      <c r="AA162" s="646"/>
      <c r="AB162" s="646"/>
      <c r="AC162" s="646"/>
      <c r="AD162" s="646"/>
      <c r="AE162" s="646"/>
      <c r="AF162" s="646"/>
      <c r="AG162" s="646"/>
      <c r="AH162" s="646"/>
      <c r="AI162" s="646"/>
      <c r="AJ162" s="646"/>
      <c r="AK162" s="646"/>
      <c r="AL162" s="646"/>
      <c r="AM162" s="646"/>
      <c r="AN162" s="646"/>
      <c r="AO162" s="646"/>
      <c r="AP162" s="646"/>
      <c r="AQ162" s="646"/>
      <c r="AR162" s="646"/>
      <c r="AS162" s="646"/>
      <c r="AT162" s="646"/>
      <c r="AU162" s="646"/>
      <c r="AV162" s="646"/>
      <c r="AW162" s="646"/>
      <c r="AX162" s="646"/>
      <c r="AY162" s="646"/>
      <c r="AZ162" s="646"/>
      <c r="BA162" s="646"/>
      <c r="BB162" s="646"/>
      <c r="BC162" s="646"/>
      <c r="BD162" s="646"/>
      <c r="BE162" s="646"/>
      <c r="BF162" s="646"/>
      <c r="BG162" s="646"/>
      <c r="BH162" s="646"/>
      <c r="BI162" s="646"/>
      <c r="BJ162" s="646"/>
      <c r="BK162" s="646"/>
      <c r="BL162" s="646"/>
      <c r="BM162" s="646"/>
      <c r="BN162" s="646"/>
      <c r="BO162" s="646"/>
      <c r="BP162" s="646"/>
      <c r="BQ162" s="646"/>
      <c r="BR162" s="645"/>
      <c r="BS162" s="645"/>
      <c r="BT162" s="645"/>
      <c r="BU162" s="645"/>
      <c r="BV162" s="646"/>
      <c r="BW162" s="647"/>
      <c r="BX162" s="647"/>
      <c r="BY162" s="647"/>
      <c r="BZ162" s="647"/>
      <c r="CA162" s="647"/>
      <c r="CB162" s="647"/>
      <c r="CC162" s="647"/>
      <c r="CD162" s="647"/>
      <c r="CE162" s="647"/>
      <c r="CF162" s="647"/>
      <c r="CG162" s="647"/>
      <c r="CH162" s="647"/>
      <c r="CI162" s="647"/>
      <c r="FK162" s="714"/>
      <c r="FL162" s="714"/>
    </row>
    <row r="163" spans="4:168" s="640" customFormat="1" ht="15.75" customHeight="1">
      <c r="D163" s="641"/>
      <c r="G163" s="642"/>
      <c r="J163" s="642"/>
      <c r="K163" s="643"/>
      <c r="M163" s="644"/>
      <c r="N163" s="642"/>
      <c r="Q163" s="642"/>
      <c r="T163" s="642"/>
      <c r="U163" s="643"/>
      <c r="X163" s="645"/>
      <c r="Y163" s="646"/>
      <c r="Z163" s="673"/>
      <c r="AA163" s="646"/>
      <c r="AB163" s="646"/>
      <c r="AC163" s="646"/>
      <c r="AD163" s="646"/>
      <c r="AE163" s="646"/>
      <c r="AF163" s="646"/>
      <c r="AG163" s="646"/>
      <c r="AH163" s="646"/>
      <c r="AI163" s="646"/>
      <c r="AJ163" s="646"/>
      <c r="AK163" s="646"/>
      <c r="AL163" s="646"/>
      <c r="AM163" s="646"/>
      <c r="AN163" s="646"/>
      <c r="AO163" s="646"/>
      <c r="AP163" s="646"/>
      <c r="AQ163" s="646"/>
      <c r="AR163" s="646"/>
      <c r="AS163" s="646"/>
      <c r="AT163" s="646"/>
      <c r="AU163" s="646"/>
      <c r="AV163" s="646"/>
      <c r="AW163" s="646"/>
      <c r="AX163" s="646"/>
      <c r="AY163" s="646"/>
      <c r="AZ163" s="646"/>
      <c r="BA163" s="646"/>
      <c r="BB163" s="646"/>
      <c r="BC163" s="646"/>
      <c r="BD163" s="646"/>
      <c r="BE163" s="646"/>
      <c r="BF163" s="646"/>
      <c r="BG163" s="646"/>
      <c r="BH163" s="646"/>
      <c r="BI163" s="646"/>
      <c r="BJ163" s="646"/>
      <c r="BK163" s="646"/>
      <c r="BL163" s="646"/>
      <c r="BM163" s="646"/>
      <c r="BN163" s="646"/>
      <c r="BO163" s="646"/>
      <c r="BP163" s="646"/>
      <c r="BQ163" s="646"/>
      <c r="BR163" s="645"/>
      <c r="BS163" s="645"/>
      <c r="BT163" s="645"/>
      <c r="BU163" s="645"/>
      <c r="BV163" s="646"/>
      <c r="BW163" s="647"/>
      <c r="BX163" s="647"/>
      <c r="BY163" s="647"/>
      <c r="BZ163" s="647"/>
      <c r="CA163" s="647"/>
      <c r="CB163" s="647"/>
      <c r="CC163" s="647"/>
      <c r="CD163" s="647"/>
      <c r="CE163" s="647"/>
      <c r="CF163" s="647"/>
      <c r="CG163" s="647"/>
      <c r="CH163" s="647"/>
      <c r="CI163" s="647"/>
      <c r="FK163" s="714"/>
      <c r="FL163" s="714"/>
    </row>
    <row r="164" spans="4:168" s="640" customFormat="1" ht="15.75" customHeight="1">
      <c r="D164" s="641"/>
      <c r="G164" s="642"/>
      <c r="J164" s="642"/>
      <c r="K164" s="643"/>
      <c r="M164" s="644"/>
      <c r="N164" s="642"/>
      <c r="Q164" s="642"/>
      <c r="T164" s="642"/>
      <c r="U164" s="643"/>
      <c r="X164" s="645"/>
      <c r="Y164" s="646"/>
      <c r="Z164" s="673"/>
      <c r="AA164" s="646"/>
      <c r="AB164" s="646"/>
      <c r="AC164" s="646"/>
      <c r="AD164" s="646"/>
      <c r="AE164" s="646"/>
      <c r="AF164" s="646"/>
      <c r="AG164" s="646"/>
      <c r="AH164" s="646"/>
      <c r="AI164" s="646"/>
      <c r="AJ164" s="646"/>
      <c r="AK164" s="646"/>
      <c r="AL164" s="646"/>
      <c r="AM164" s="646"/>
      <c r="AN164" s="646"/>
      <c r="AO164" s="646"/>
      <c r="AP164" s="646"/>
      <c r="AQ164" s="646"/>
      <c r="AR164" s="646"/>
      <c r="AS164" s="646"/>
      <c r="AT164" s="646"/>
      <c r="AU164" s="646"/>
      <c r="AV164" s="646"/>
      <c r="AW164" s="646"/>
      <c r="AX164" s="646"/>
      <c r="AY164" s="646"/>
      <c r="AZ164" s="646"/>
      <c r="BA164" s="646"/>
      <c r="BB164" s="646"/>
      <c r="BC164" s="646"/>
      <c r="BD164" s="646"/>
      <c r="BE164" s="646"/>
      <c r="BF164" s="646"/>
      <c r="BG164" s="646"/>
      <c r="BH164" s="646"/>
      <c r="BI164" s="646"/>
      <c r="BJ164" s="646"/>
      <c r="BK164" s="646"/>
      <c r="BL164" s="646"/>
      <c r="BM164" s="646"/>
      <c r="BN164" s="646"/>
      <c r="BO164" s="646"/>
      <c r="BP164" s="646"/>
      <c r="BQ164" s="646"/>
      <c r="BR164" s="645"/>
      <c r="BS164" s="645"/>
      <c r="BT164" s="645"/>
      <c r="BU164" s="645"/>
      <c r="BV164" s="646"/>
      <c r="BW164" s="647"/>
      <c r="BX164" s="647"/>
      <c r="BY164" s="647"/>
      <c r="BZ164" s="647"/>
      <c r="CA164" s="647"/>
      <c r="CB164" s="647"/>
      <c r="CC164" s="647"/>
      <c r="CD164" s="647"/>
      <c r="CE164" s="647"/>
      <c r="CF164" s="647"/>
      <c r="CG164" s="647"/>
      <c r="CH164" s="647"/>
      <c r="CI164" s="647"/>
      <c r="FK164" s="714"/>
      <c r="FL164" s="714"/>
    </row>
    <row r="165" spans="4:168" s="640" customFormat="1" ht="15.75" customHeight="1">
      <c r="D165" s="641"/>
      <c r="G165" s="642"/>
      <c r="J165" s="642"/>
      <c r="K165" s="643"/>
      <c r="M165" s="644"/>
      <c r="N165" s="642"/>
      <c r="Q165" s="642"/>
      <c r="T165" s="642"/>
      <c r="U165" s="643"/>
      <c r="X165" s="645"/>
      <c r="Y165" s="646"/>
      <c r="Z165" s="673"/>
      <c r="AA165" s="646"/>
      <c r="AB165" s="646"/>
      <c r="AC165" s="646"/>
      <c r="AD165" s="646"/>
      <c r="AE165" s="646"/>
      <c r="AF165" s="646"/>
      <c r="AG165" s="646"/>
      <c r="AH165" s="646"/>
      <c r="AI165" s="646"/>
      <c r="AJ165" s="646"/>
      <c r="AK165" s="646"/>
      <c r="AL165" s="646"/>
      <c r="AM165" s="646"/>
      <c r="AN165" s="646"/>
      <c r="AO165" s="646"/>
      <c r="AP165" s="646"/>
      <c r="AQ165" s="646"/>
      <c r="AR165" s="646"/>
      <c r="AS165" s="646"/>
      <c r="AT165" s="646"/>
      <c r="AU165" s="646"/>
      <c r="AV165" s="646"/>
      <c r="AW165" s="646"/>
      <c r="AX165" s="646"/>
      <c r="AY165" s="646"/>
      <c r="AZ165" s="646"/>
      <c r="BA165" s="646"/>
      <c r="BB165" s="646"/>
      <c r="BC165" s="646"/>
      <c r="BD165" s="646"/>
      <c r="BE165" s="646"/>
      <c r="BF165" s="646"/>
      <c r="BG165" s="646"/>
      <c r="BH165" s="646"/>
      <c r="BI165" s="646"/>
      <c r="BJ165" s="646"/>
      <c r="BK165" s="646"/>
      <c r="BL165" s="646"/>
      <c r="BM165" s="646"/>
      <c r="BN165" s="646"/>
      <c r="BO165" s="646"/>
      <c r="BP165" s="646"/>
      <c r="BQ165" s="646"/>
      <c r="BR165" s="645"/>
      <c r="BS165" s="645"/>
      <c r="BT165" s="645"/>
      <c r="BU165" s="645"/>
      <c r="BV165" s="646"/>
      <c r="BW165" s="647"/>
      <c r="BX165" s="647"/>
      <c r="BY165" s="647"/>
      <c r="BZ165" s="647"/>
      <c r="CA165" s="647"/>
      <c r="CB165" s="647"/>
      <c r="CC165" s="647"/>
      <c r="CD165" s="647"/>
      <c r="CE165" s="647"/>
      <c r="CF165" s="647"/>
      <c r="CG165" s="647"/>
      <c r="CH165" s="647"/>
      <c r="CI165" s="647"/>
      <c r="FK165" s="714"/>
      <c r="FL165" s="714"/>
    </row>
    <row r="166" spans="4:168" s="640" customFormat="1" ht="15.75" customHeight="1">
      <c r="D166" s="641"/>
      <c r="G166" s="642"/>
      <c r="J166" s="642"/>
      <c r="K166" s="643"/>
      <c r="M166" s="644"/>
      <c r="N166" s="642"/>
      <c r="Q166" s="642"/>
      <c r="T166" s="642"/>
      <c r="U166" s="643"/>
      <c r="X166" s="645"/>
      <c r="Y166" s="646"/>
      <c r="Z166" s="673"/>
      <c r="AA166" s="646"/>
      <c r="AB166" s="646"/>
      <c r="AC166" s="646"/>
      <c r="AD166" s="646"/>
      <c r="AE166" s="646"/>
      <c r="AF166" s="646"/>
      <c r="AG166" s="646"/>
      <c r="AH166" s="646"/>
      <c r="AI166" s="646"/>
      <c r="AJ166" s="646"/>
      <c r="AK166" s="646"/>
      <c r="AL166" s="646"/>
      <c r="AM166" s="646"/>
      <c r="AN166" s="646"/>
      <c r="AO166" s="646"/>
      <c r="AP166" s="646"/>
      <c r="AQ166" s="646"/>
      <c r="AR166" s="646"/>
      <c r="AS166" s="646"/>
      <c r="AT166" s="646"/>
      <c r="AU166" s="646"/>
      <c r="AV166" s="646"/>
      <c r="AW166" s="646"/>
      <c r="AX166" s="646"/>
      <c r="AY166" s="646"/>
      <c r="AZ166" s="646"/>
      <c r="BA166" s="646"/>
      <c r="BB166" s="646"/>
      <c r="BC166" s="646"/>
      <c r="BD166" s="646"/>
      <c r="BE166" s="646"/>
      <c r="BF166" s="646"/>
      <c r="BG166" s="646"/>
      <c r="BH166" s="646"/>
      <c r="BI166" s="646"/>
      <c r="BJ166" s="646"/>
      <c r="BK166" s="646"/>
      <c r="BL166" s="646"/>
      <c r="BM166" s="646"/>
      <c r="BN166" s="646"/>
      <c r="BO166" s="646"/>
      <c r="BP166" s="646"/>
      <c r="BQ166" s="646"/>
      <c r="BR166" s="645"/>
      <c r="BS166" s="645"/>
      <c r="BT166" s="645"/>
      <c r="BU166" s="645"/>
      <c r="BV166" s="646"/>
      <c r="BW166" s="647"/>
      <c r="BX166" s="647"/>
      <c r="BY166" s="647"/>
      <c r="BZ166" s="647"/>
      <c r="CA166" s="647"/>
      <c r="CB166" s="647"/>
      <c r="CC166" s="647"/>
      <c r="CD166" s="647"/>
      <c r="CE166" s="647"/>
      <c r="CF166" s="647"/>
      <c r="CG166" s="647"/>
      <c r="CH166" s="647"/>
      <c r="CI166" s="647"/>
      <c r="FK166" s="714"/>
      <c r="FL166" s="714"/>
    </row>
    <row r="167" spans="4:168" s="640" customFormat="1" ht="15.75" customHeight="1">
      <c r="D167" s="641"/>
      <c r="G167" s="642"/>
      <c r="J167" s="642"/>
      <c r="K167" s="643"/>
      <c r="M167" s="644"/>
      <c r="N167" s="642"/>
      <c r="Q167" s="642"/>
      <c r="T167" s="642"/>
      <c r="U167" s="643"/>
      <c r="X167" s="645"/>
      <c r="Y167" s="646"/>
      <c r="Z167" s="673"/>
      <c r="AA167" s="646"/>
      <c r="AB167" s="646"/>
      <c r="AC167" s="646"/>
      <c r="AD167" s="646"/>
      <c r="AE167" s="646"/>
      <c r="AF167" s="646"/>
      <c r="AG167" s="646"/>
      <c r="AH167" s="646"/>
      <c r="AI167" s="646"/>
      <c r="AJ167" s="646"/>
      <c r="AK167" s="646"/>
      <c r="AL167" s="646"/>
      <c r="AM167" s="646"/>
      <c r="AN167" s="646"/>
      <c r="AO167" s="646"/>
      <c r="AP167" s="646"/>
      <c r="AQ167" s="646"/>
      <c r="AR167" s="646"/>
      <c r="AS167" s="646"/>
      <c r="AT167" s="646"/>
      <c r="AU167" s="646"/>
      <c r="AV167" s="646"/>
      <c r="AW167" s="646"/>
      <c r="AX167" s="646"/>
      <c r="AY167" s="646"/>
      <c r="AZ167" s="646"/>
      <c r="BA167" s="646"/>
      <c r="BB167" s="646"/>
      <c r="BC167" s="646"/>
      <c r="BD167" s="646"/>
      <c r="BE167" s="646"/>
      <c r="BF167" s="646"/>
      <c r="BG167" s="646"/>
      <c r="BH167" s="646"/>
      <c r="BI167" s="646"/>
      <c r="BJ167" s="646"/>
      <c r="BK167" s="646"/>
      <c r="BL167" s="646"/>
      <c r="BM167" s="646"/>
      <c r="BN167" s="646"/>
      <c r="BO167" s="646"/>
      <c r="BP167" s="646"/>
      <c r="BQ167" s="646"/>
      <c r="BR167" s="645"/>
      <c r="BS167" s="645"/>
      <c r="BT167" s="645"/>
      <c r="BU167" s="645"/>
      <c r="BV167" s="646"/>
      <c r="BW167" s="647"/>
      <c r="BX167" s="647"/>
      <c r="BY167" s="647"/>
      <c r="BZ167" s="647"/>
      <c r="CA167" s="647"/>
      <c r="CB167" s="647"/>
      <c r="CC167" s="647"/>
      <c r="CD167" s="647"/>
      <c r="CE167" s="647"/>
      <c r="CF167" s="647"/>
      <c r="CG167" s="647"/>
      <c r="CH167" s="647"/>
      <c r="CI167" s="647"/>
      <c r="FK167" s="714"/>
      <c r="FL167" s="714"/>
    </row>
    <row r="168" spans="4:168" s="640" customFormat="1" ht="15.75" customHeight="1">
      <c r="D168" s="641"/>
      <c r="G168" s="642"/>
      <c r="J168" s="642"/>
      <c r="K168" s="643"/>
      <c r="M168" s="644"/>
      <c r="N168" s="642"/>
      <c r="Q168" s="642"/>
      <c r="T168" s="642"/>
      <c r="U168" s="643"/>
      <c r="X168" s="645"/>
      <c r="Y168" s="646"/>
      <c r="Z168" s="673"/>
      <c r="AA168" s="646"/>
      <c r="AB168" s="646"/>
      <c r="AC168" s="646"/>
      <c r="AD168" s="646"/>
      <c r="AE168" s="646"/>
      <c r="AF168" s="646"/>
      <c r="AG168" s="646"/>
      <c r="AH168" s="646"/>
      <c r="AI168" s="646"/>
      <c r="AJ168" s="646"/>
      <c r="AK168" s="646"/>
      <c r="AL168" s="646"/>
      <c r="AM168" s="646"/>
      <c r="AN168" s="646"/>
      <c r="AO168" s="646"/>
      <c r="AP168" s="646"/>
      <c r="AQ168" s="646"/>
      <c r="AR168" s="646"/>
      <c r="AS168" s="646"/>
      <c r="AT168" s="646"/>
      <c r="AU168" s="646"/>
      <c r="AV168" s="646"/>
      <c r="AW168" s="646"/>
      <c r="AX168" s="646"/>
      <c r="AY168" s="646"/>
      <c r="AZ168" s="646"/>
      <c r="BA168" s="646"/>
      <c r="BB168" s="646"/>
      <c r="BC168" s="646"/>
      <c r="BD168" s="646"/>
      <c r="BE168" s="646"/>
      <c r="BF168" s="646"/>
      <c r="BG168" s="646"/>
      <c r="BH168" s="646"/>
      <c r="BI168" s="646"/>
      <c r="BJ168" s="646"/>
      <c r="BK168" s="646"/>
      <c r="BL168" s="646"/>
      <c r="BM168" s="646"/>
      <c r="BN168" s="646"/>
      <c r="BO168" s="646"/>
      <c r="BP168" s="646"/>
      <c r="BQ168" s="646"/>
      <c r="BR168" s="645"/>
      <c r="BS168" s="645"/>
      <c r="BT168" s="645"/>
      <c r="BU168" s="645"/>
      <c r="BV168" s="646"/>
      <c r="BW168" s="647"/>
      <c r="BX168" s="647"/>
      <c r="BY168" s="647"/>
      <c r="BZ168" s="647"/>
      <c r="CA168" s="647"/>
      <c r="CB168" s="647"/>
      <c r="CC168" s="647"/>
      <c r="CD168" s="647"/>
      <c r="CE168" s="647"/>
      <c r="CF168" s="647"/>
      <c r="CG168" s="647"/>
      <c r="CH168" s="647"/>
      <c r="CI168" s="647"/>
      <c r="FK168" s="714"/>
      <c r="FL168" s="714"/>
    </row>
    <row r="169" spans="4:168" s="640" customFormat="1" ht="15.75" customHeight="1">
      <c r="D169" s="641"/>
      <c r="G169" s="642"/>
      <c r="J169" s="642"/>
      <c r="K169" s="643"/>
      <c r="M169" s="644"/>
      <c r="N169" s="642"/>
      <c r="Q169" s="642"/>
      <c r="T169" s="642"/>
      <c r="U169" s="643"/>
      <c r="X169" s="645"/>
      <c r="Y169" s="646"/>
      <c r="Z169" s="673"/>
      <c r="AA169" s="646"/>
      <c r="AB169" s="646"/>
      <c r="AC169" s="646"/>
      <c r="AD169" s="646"/>
      <c r="AE169" s="646"/>
      <c r="AF169" s="646"/>
      <c r="AG169" s="646"/>
      <c r="AH169" s="646"/>
      <c r="AI169" s="646"/>
      <c r="AJ169" s="646"/>
      <c r="AK169" s="646"/>
      <c r="AL169" s="646"/>
      <c r="AM169" s="646"/>
      <c r="AN169" s="646"/>
      <c r="AO169" s="646"/>
      <c r="AP169" s="646"/>
      <c r="AQ169" s="646"/>
      <c r="AR169" s="646"/>
      <c r="AS169" s="646"/>
      <c r="AT169" s="646"/>
      <c r="AU169" s="646"/>
      <c r="AV169" s="646"/>
      <c r="AW169" s="646"/>
      <c r="AX169" s="646"/>
      <c r="AY169" s="646"/>
      <c r="AZ169" s="646"/>
      <c r="BA169" s="646"/>
      <c r="BB169" s="646"/>
      <c r="BC169" s="646"/>
      <c r="BD169" s="646"/>
      <c r="BE169" s="646"/>
      <c r="BF169" s="646"/>
      <c r="BG169" s="646"/>
      <c r="BH169" s="646"/>
      <c r="BI169" s="646"/>
      <c r="BJ169" s="646"/>
      <c r="BK169" s="646"/>
      <c r="BL169" s="646"/>
      <c r="BM169" s="646"/>
      <c r="BN169" s="646"/>
      <c r="BO169" s="646"/>
      <c r="BP169" s="646"/>
      <c r="BQ169" s="646"/>
      <c r="BR169" s="645"/>
      <c r="BS169" s="645"/>
      <c r="BT169" s="645"/>
      <c r="BU169" s="645"/>
      <c r="BV169" s="646"/>
      <c r="BW169" s="647"/>
      <c r="BX169" s="647"/>
      <c r="BY169" s="647"/>
      <c r="BZ169" s="647"/>
      <c r="CA169" s="647"/>
      <c r="CB169" s="647"/>
      <c r="CC169" s="647"/>
      <c r="CD169" s="647"/>
      <c r="CE169" s="647"/>
      <c r="CF169" s="647"/>
      <c r="CG169" s="647"/>
      <c r="CH169" s="647"/>
      <c r="CI169" s="647"/>
      <c r="FK169" s="714"/>
      <c r="FL169" s="714"/>
    </row>
    <row r="170" spans="4:168" s="640" customFormat="1" ht="15.75" customHeight="1">
      <c r="D170" s="641"/>
      <c r="G170" s="642"/>
      <c r="J170" s="642"/>
      <c r="K170" s="643"/>
      <c r="M170" s="644"/>
      <c r="N170" s="642"/>
      <c r="Q170" s="642"/>
      <c r="T170" s="642"/>
      <c r="U170" s="643"/>
      <c r="X170" s="645"/>
      <c r="Y170" s="646"/>
      <c r="Z170" s="673"/>
      <c r="AA170" s="646"/>
      <c r="AB170" s="646"/>
      <c r="AC170" s="646"/>
      <c r="AD170" s="646"/>
      <c r="AE170" s="646"/>
      <c r="AF170" s="646"/>
      <c r="AG170" s="646"/>
      <c r="AH170" s="646"/>
      <c r="AI170" s="646"/>
      <c r="AJ170" s="646"/>
      <c r="AK170" s="646"/>
      <c r="AL170" s="646"/>
      <c r="AM170" s="646"/>
      <c r="AN170" s="646"/>
      <c r="AO170" s="646"/>
      <c r="AP170" s="646"/>
      <c r="AQ170" s="646"/>
      <c r="AR170" s="646"/>
      <c r="AS170" s="646"/>
      <c r="AT170" s="646"/>
      <c r="AU170" s="646"/>
      <c r="AV170" s="646"/>
      <c r="AW170" s="646"/>
      <c r="AX170" s="646"/>
      <c r="AY170" s="646"/>
      <c r="AZ170" s="646"/>
      <c r="BA170" s="646"/>
      <c r="BB170" s="646"/>
      <c r="BC170" s="646"/>
      <c r="BD170" s="646"/>
      <c r="BE170" s="646"/>
      <c r="BF170" s="646"/>
      <c r="BG170" s="646"/>
      <c r="BH170" s="646"/>
      <c r="BI170" s="646"/>
      <c r="BJ170" s="646"/>
      <c r="BK170" s="646"/>
      <c r="BL170" s="646"/>
      <c r="BM170" s="646"/>
      <c r="BN170" s="646"/>
      <c r="BO170" s="646"/>
      <c r="BP170" s="646"/>
      <c r="BQ170" s="646"/>
      <c r="BR170" s="645"/>
      <c r="BS170" s="645"/>
      <c r="BT170" s="645"/>
      <c r="BU170" s="645"/>
      <c r="BV170" s="646"/>
      <c r="BW170" s="647"/>
      <c r="BX170" s="647"/>
      <c r="BY170" s="647"/>
      <c r="BZ170" s="647"/>
      <c r="CA170" s="647"/>
      <c r="CB170" s="647"/>
      <c r="CC170" s="647"/>
      <c r="CD170" s="647"/>
      <c r="CE170" s="647"/>
      <c r="CF170" s="647"/>
      <c r="CG170" s="647"/>
      <c r="CH170" s="647"/>
      <c r="CI170" s="647"/>
      <c r="FK170" s="714"/>
      <c r="FL170" s="714"/>
    </row>
    <row r="171" spans="4:168" s="640" customFormat="1" ht="15.75" customHeight="1">
      <c r="D171" s="641"/>
      <c r="G171" s="642"/>
      <c r="J171" s="642"/>
      <c r="K171" s="643"/>
      <c r="M171" s="644"/>
      <c r="N171" s="642"/>
      <c r="Q171" s="642"/>
      <c r="T171" s="642"/>
      <c r="U171" s="643"/>
      <c r="X171" s="645"/>
      <c r="Y171" s="646"/>
      <c r="Z171" s="673"/>
      <c r="AA171" s="646"/>
      <c r="AB171" s="646"/>
      <c r="AC171" s="646"/>
      <c r="AD171" s="646"/>
      <c r="AE171" s="646"/>
      <c r="AF171" s="646"/>
      <c r="AG171" s="646"/>
      <c r="AH171" s="646"/>
      <c r="AI171" s="646"/>
      <c r="AJ171" s="646"/>
      <c r="AK171" s="646"/>
      <c r="AL171" s="646"/>
      <c r="AM171" s="646"/>
      <c r="AN171" s="646"/>
      <c r="AO171" s="646"/>
      <c r="AP171" s="646"/>
      <c r="AQ171" s="646"/>
      <c r="AR171" s="646"/>
      <c r="AS171" s="646"/>
      <c r="AT171" s="646"/>
      <c r="AU171" s="646"/>
      <c r="AV171" s="646"/>
      <c r="AW171" s="646"/>
      <c r="AX171" s="646"/>
      <c r="AY171" s="646"/>
      <c r="AZ171" s="646"/>
      <c r="BA171" s="646"/>
      <c r="BB171" s="646"/>
      <c r="BC171" s="646"/>
      <c r="BD171" s="646"/>
      <c r="BE171" s="646"/>
      <c r="BF171" s="646"/>
      <c r="BG171" s="646"/>
      <c r="BH171" s="646"/>
      <c r="BI171" s="646"/>
      <c r="BJ171" s="646"/>
      <c r="BK171" s="646"/>
      <c r="BL171" s="646"/>
      <c r="BM171" s="646"/>
      <c r="BN171" s="646"/>
      <c r="BO171" s="646"/>
      <c r="BP171" s="646"/>
      <c r="BQ171" s="646"/>
      <c r="BR171" s="645"/>
      <c r="BS171" s="645"/>
      <c r="BT171" s="645"/>
      <c r="BU171" s="645"/>
      <c r="BV171" s="646"/>
      <c r="BW171" s="647"/>
      <c r="BX171" s="647"/>
      <c r="BY171" s="647"/>
      <c r="BZ171" s="647"/>
      <c r="CA171" s="647"/>
      <c r="CB171" s="647"/>
      <c r="CC171" s="647"/>
      <c r="CD171" s="647"/>
      <c r="CE171" s="647"/>
      <c r="CF171" s="647"/>
      <c r="CG171" s="647"/>
      <c r="CH171" s="647"/>
      <c r="CI171" s="647"/>
      <c r="FK171" s="714"/>
      <c r="FL171" s="714"/>
    </row>
    <row r="172" spans="4:168" s="640" customFormat="1" ht="15.75" customHeight="1">
      <c r="D172" s="641"/>
      <c r="G172" s="642"/>
      <c r="J172" s="642"/>
      <c r="K172" s="643"/>
      <c r="M172" s="644"/>
      <c r="N172" s="642"/>
      <c r="Q172" s="642"/>
      <c r="T172" s="642"/>
      <c r="U172" s="643"/>
      <c r="X172" s="645"/>
      <c r="Y172" s="646"/>
      <c r="Z172" s="673"/>
      <c r="AA172" s="646"/>
      <c r="AB172" s="646"/>
      <c r="AC172" s="646"/>
      <c r="AD172" s="646"/>
      <c r="AE172" s="646"/>
      <c r="AF172" s="646"/>
      <c r="AG172" s="646"/>
      <c r="AH172" s="646"/>
      <c r="AI172" s="646"/>
      <c r="AJ172" s="646"/>
      <c r="AK172" s="646"/>
      <c r="AL172" s="646"/>
      <c r="AM172" s="646"/>
      <c r="AN172" s="646"/>
      <c r="AO172" s="646"/>
      <c r="AP172" s="646"/>
      <c r="AQ172" s="646"/>
      <c r="AR172" s="646"/>
      <c r="AS172" s="646"/>
      <c r="AT172" s="646"/>
      <c r="AU172" s="646"/>
      <c r="AV172" s="646"/>
      <c r="AW172" s="646"/>
      <c r="AX172" s="646"/>
      <c r="AY172" s="646"/>
      <c r="AZ172" s="646"/>
      <c r="BA172" s="646"/>
      <c r="BB172" s="646"/>
      <c r="BC172" s="646"/>
      <c r="BD172" s="646"/>
      <c r="BE172" s="646"/>
      <c r="BF172" s="646"/>
      <c r="BG172" s="646"/>
      <c r="BH172" s="646"/>
      <c r="BI172" s="646"/>
      <c r="BJ172" s="646"/>
      <c r="BK172" s="646"/>
      <c r="BL172" s="646"/>
      <c r="BM172" s="646"/>
      <c r="BN172" s="646"/>
      <c r="BO172" s="646"/>
      <c r="BP172" s="646"/>
      <c r="BQ172" s="646"/>
      <c r="BR172" s="645"/>
      <c r="BS172" s="645"/>
      <c r="BT172" s="645"/>
      <c r="BU172" s="645"/>
      <c r="BV172" s="646"/>
      <c r="BW172" s="647"/>
      <c r="BX172" s="647"/>
      <c r="BY172" s="647"/>
      <c r="BZ172" s="647"/>
      <c r="CA172" s="647"/>
      <c r="CB172" s="647"/>
      <c r="CC172" s="647"/>
      <c r="CD172" s="647"/>
      <c r="CE172" s="647"/>
      <c r="CF172" s="647"/>
      <c r="CG172" s="647"/>
      <c r="CH172" s="647"/>
      <c r="CI172" s="647"/>
      <c r="FK172" s="714"/>
      <c r="FL172" s="714"/>
    </row>
    <row r="173" spans="4:168" s="640" customFormat="1" ht="15.75" customHeight="1">
      <c r="D173" s="641"/>
      <c r="G173" s="642"/>
      <c r="J173" s="642"/>
      <c r="K173" s="643"/>
      <c r="M173" s="644"/>
      <c r="N173" s="642"/>
      <c r="Q173" s="642"/>
      <c r="T173" s="642"/>
      <c r="U173" s="643"/>
      <c r="X173" s="645"/>
      <c r="Y173" s="646"/>
      <c r="Z173" s="673"/>
      <c r="AA173" s="646"/>
      <c r="AB173" s="646"/>
      <c r="AC173" s="646"/>
      <c r="AD173" s="646"/>
      <c r="AE173" s="646"/>
      <c r="AF173" s="646"/>
      <c r="AG173" s="646"/>
      <c r="AH173" s="646"/>
      <c r="AI173" s="646"/>
      <c r="AJ173" s="646"/>
      <c r="AK173" s="646"/>
      <c r="AL173" s="646"/>
      <c r="AM173" s="646"/>
      <c r="AN173" s="646"/>
      <c r="AO173" s="646"/>
      <c r="AP173" s="646"/>
      <c r="AQ173" s="646"/>
      <c r="AR173" s="646"/>
      <c r="AS173" s="646"/>
      <c r="AT173" s="646"/>
      <c r="AU173" s="646"/>
      <c r="AV173" s="646"/>
      <c r="AW173" s="646"/>
      <c r="AX173" s="646"/>
      <c r="AY173" s="646"/>
      <c r="AZ173" s="646"/>
      <c r="BA173" s="646"/>
      <c r="BB173" s="646"/>
      <c r="BC173" s="646"/>
      <c r="BD173" s="646"/>
      <c r="BE173" s="646"/>
      <c r="BF173" s="646"/>
      <c r="BG173" s="646"/>
      <c r="BH173" s="646"/>
      <c r="BI173" s="646"/>
      <c r="BJ173" s="646"/>
      <c r="BK173" s="646"/>
      <c r="BL173" s="646"/>
      <c r="BM173" s="646"/>
      <c r="BN173" s="646"/>
      <c r="BO173" s="646"/>
      <c r="BP173" s="646"/>
      <c r="BQ173" s="646"/>
      <c r="BR173" s="645"/>
      <c r="BS173" s="645"/>
      <c r="BT173" s="645"/>
      <c r="BU173" s="645"/>
      <c r="BV173" s="646"/>
      <c r="BW173" s="647"/>
      <c r="BX173" s="647"/>
      <c r="BY173" s="647"/>
      <c r="BZ173" s="647"/>
      <c r="CA173" s="647"/>
      <c r="CB173" s="647"/>
      <c r="CC173" s="647"/>
      <c r="CD173" s="647"/>
      <c r="CE173" s="647"/>
      <c r="CF173" s="647"/>
      <c r="CG173" s="647"/>
      <c r="CH173" s="647"/>
      <c r="CI173" s="647"/>
      <c r="FK173" s="714"/>
      <c r="FL173" s="714"/>
    </row>
    <row r="174" spans="4:168" s="640" customFormat="1" ht="15.75" customHeight="1">
      <c r="D174" s="641"/>
      <c r="G174" s="642"/>
      <c r="J174" s="642"/>
      <c r="K174" s="643"/>
      <c r="M174" s="644"/>
      <c r="N174" s="642"/>
      <c r="Q174" s="642"/>
      <c r="T174" s="642"/>
      <c r="U174" s="643"/>
      <c r="X174" s="645"/>
      <c r="Y174" s="646"/>
      <c r="Z174" s="673"/>
      <c r="AA174" s="646"/>
      <c r="AB174" s="646"/>
      <c r="AC174" s="646"/>
      <c r="AD174" s="646"/>
      <c r="AE174" s="646"/>
      <c r="AF174" s="646"/>
      <c r="AG174" s="646"/>
      <c r="AH174" s="646"/>
      <c r="AI174" s="646"/>
      <c r="AJ174" s="646"/>
      <c r="AK174" s="646"/>
      <c r="AL174" s="646"/>
      <c r="AM174" s="646"/>
      <c r="AN174" s="646"/>
      <c r="AO174" s="646"/>
      <c r="AP174" s="646"/>
      <c r="AQ174" s="646"/>
      <c r="AR174" s="646"/>
      <c r="AS174" s="646"/>
      <c r="AT174" s="646"/>
      <c r="AU174" s="646"/>
      <c r="AV174" s="646"/>
      <c r="AW174" s="646"/>
      <c r="AX174" s="646"/>
      <c r="AY174" s="646"/>
      <c r="AZ174" s="646"/>
      <c r="BA174" s="646"/>
      <c r="BB174" s="646"/>
      <c r="BC174" s="646"/>
      <c r="BD174" s="646"/>
      <c r="BE174" s="646"/>
      <c r="BF174" s="646"/>
      <c r="BG174" s="646"/>
      <c r="BH174" s="646"/>
      <c r="BI174" s="646"/>
      <c r="BJ174" s="646"/>
      <c r="BK174" s="646"/>
      <c r="BL174" s="646"/>
      <c r="BM174" s="646"/>
      <c r="BN174" s="646"/>
      <c r="BO174" s="646"/>
      <c r="BP174" s="646"/>
      <c r="BQ174" s="646"/>
      <c r="BR174" s="645"/>
      <c r="BS174" s="645"/>
      <c r="BT174" s="645"/>
      <c r="BU174" s="645"/>
      <c r="BV174" s="646"/>
      <c r="BW174" s="647"/>
      <c r="BX174" s="647"/>
      <c r="BY174" s="647"/>
      <c r="BZ174" s="647"/>
      <c r="CA174" s="647"/>
      <c r="CB174" s="647"/>
      <c r="CC174" s="647"/>
      <c r="CD174" s="647"/>
      <c r="CE174" s="647"/>
      <c r="CF174" s="647"/>
      <c r="CG174" s="647"/>
      <c r="CH174" s="647"/>
      <c r="CI174" s="647"/>
      <c r="FK174" s="714"/>
      <c r="FL174" s="714"/>
    </row>
    <row r="175" spans="4:168" s="640" customFormat="1" ht="15.75" customHeight="1">
      <c r="D175" s="641"/>
      <c r="G175" s="642"/>
      <c r="J175" s="642"/>
      <c r="K175" s="643"/>
      <c r="M175" s="644"/>
      <c r="N175" s="642"/>
      <c r="Q175" s="642"/>
      <c r="T175" s="642"/>
      <c r="U175" s="643"/>
      <c r="X175" s="645"/>
      <c r="Y175" s="646"/>
      <c r="Z175" s="673"/>
      <c r="AA175" s="646"/>
      <c r="AB175" s="646"/>
      <c r="AC175" s="646"/>
      <c r="AD175" s="646"/>
      <c r="AE175" s="646"/>
      <c r="AF175" s="646"/>
      <c r="AG175" s="646"/>
      <c r="AH175" s="646"/>
      <c r="AI175" s="646"/>
      <c r="AJ175" s="646"/>
      <c r="AK175" s="646"/>
      <c r="AL175" s="646"/>
      <c r="AM175" s="646"/>
      <c r="AN175" s="646"/>
      <c r="AO175" s="646"/>
      <c r="AP175" s="646"/>
      <c r="AQ175" s="646"/>
      <c r="AR175" s="646"/>
      <c r="AS175" s="646"/>
      <c r="AT175" s="646"/>
      <c r="AU175" s="646"/>
      <c r="AV175" s="646"/>
      <c r="AW175" s="646"/>
      <c r="AX175" s="646"/>
      <c r="AY175" s="646"/>
      <c r="AZ175" s="646"/>
      <c r="BA175" s="646"/>
      <c r="BB175" s="646"/>
      <c r="BC175" s="646"/>
      <c r="BD175" s="646"/>
      <c r="BE175" s="646"/>
      <c r="BF175" s="646"/>
      <c r="BG175" s="646"/>
      <c r="BH175" s="646"/>
      <c r="BI175" s="646"/>
      <c r="BJ175" s="646"/>
      <c r="BK175" s="646"/>
      <c r="BL175" s="646"/>
      <c r="BM175" s="646"/>
      <c r="BN175" s="646"/>
      <c r="BO175" s="646"/>
      <c r="BP175" s="646"/>
      <c r="BQ175" s="646"/>
      <c r="BR175" s="645"/>
      <c r="BS175" s="645"/>
      <c r="BT175" s="645"/>
      <c r="BU175" s="645"/>
      <c r="BV175" s="646"/>
      <c r="BW175" s="647"/>
      <c r="BX175" s="647"/>
      <c r="BY175" s="647"/>
      <c r="BZ175" s="647"/>
      <c r="CA175" s="647"/>
      <c r="CB175" s="647"/>
      <c r="CC175" s="647"/>
      <c r="CD175" s="647"/>
      <c r="CE175" s="647"/>
      <c r="CF175" s="647"/>
      <c r="CG175" s="647"/>
      <c r="CH175" s="647"/>
      <c r="CI175" s="647"/>
      <c r="FK175" s="714"/>
      <c r="FL175" s="714"/>
    </row>
    <row r="176" spans="4:168" s="640" customFormat="1" ht="15.75" customHeight="1">
      <c r="D176" s="641"/>
      <c r="G176" s="642"/>
      <c r="J176" s="642"/>
      <c r="K176" s="643"/>
      <c r="M176" s="644"/>
      <c r="N176" s="642"/>
      <c r="Q176" s="642"/>
      <c r="T176" s="642"/>
      <c r="U176" s="643"/>
      <c r="X176" s="645"/>
      <c r="Y176" s="646"/>
      <c r="Z176" s="673"/>
      <c r="AA176" s="646"/>
      <c r="AB176" s="646"/>
      <c r="AC176" s="646"/>
      <c r="AD176" s="646"/>
      <c r="AE176" s="646"/>
      <c r="AF176" s="646"/>
      <c r="AG176" s="646"/>
      <c r="AH176" s="646"/>
      <c r="AI176" s="646"/>
      <c r="AJ176" s="646"/>
      <c r="AK176" s="646"/>
      <c r="AL176" s="646"/>
      <c r="AM176" s="646"/>
      <c r="AN176" s="646"/>
      <c r="AO176" s="646"/>
      <c r="AP176" s="646"/>
      <c r="AQ176" s="646"/>
      <c r="AR176" s="646"/>
      <c r="AS176" s="646"/>
      <c r="AT176" s="646"/>
      <c r="AU176" s="646"/>
      <c r="AV176" s="646"/>
      <c r="AW176" s="646"/>
      <c r="AX176" s="646"/>
      <c r="AY176" s="646"/>
      <c r="AZ176" s="646"/>
      <c r="BA176" s="646"/>
      <c r="BB176" s="646"/>
      <c r="BC176" s="646"/>
      <c r="BD176" s="646"/>
      <c r="BE176" s="646"/>
      <c r="BF176" s="646"/>
      <c r="BG176" s="646"/>
      <c r="BH176" s="646"/>
      <c r="BI176" s="646"/>
      <c r="BJ176" s="646"/>
      <c r="BK176" s="646"/>
      <c r="BL176" s="646"/>
      <c r="BM176" s="646"/>
      <c r="BN176" s="646"/>
      <c r="BO176" s="646"/>
      <c r="BP176" s="646"/>
      <c r="BQ176" s="646"/>
      <c r="BR176" s="645"/>
      <c r="BS176" s="645"/>
      <c r="BT176" s="645"/>
      <c r="BU176" s="645"/>
      <c r="BV176" s="646"/>
      <c r="BW176" s="647"/>
      <c r="BX176" s="647"/>
      <c r="BY176" s="647"/>
      <c r="BZ176" s="647"/>
      <c r="CA176" s="647"/>
      <c r="CB176" s="647"/>
      <c r="CC176" s="647"/>
      <c r="CD176" s="647"/>
      <c r="CE176" s="647"/>
      <c r="CF176" s="647"/>
      <c r="CG176" s="647"/>
      <c r="CH176" s="647"/>
      <c r="CI176" s="647"/>
      <c r="FK176" s="714"/>
      <c r="FL176" s="714"/>
    </row>
    <row r="177" spans="4:168" s="640" customFormat="1" ht="15.75" customHeight="1">
      <c r="D177" s="641"/>
      <c r="G177" s="642"/>
      <c r="J177" s="642"/>
      <c r="K177" s="643"/>
      <c r="M177" s="644"/>
      <c r="N177" s="642"/>
      <c r="Q177" s="642"/>
      <c r="T177" s="642"/>
      <c r="U177" s="643"/>
      <c r="X177" s="645"/>
      <c r="Y177" s="646"/>
      <c r="Z177" s="673"/>
      <c r="AA177" s="646"/>
      <c r="AB177" s="646"/>
      <c r="AC177" s="646"/>
      <c r="AD177" s="646"/>
      <c r="AE177" s="646"/>
      <c r="AF177" s="646"/>
      <c r="AG177" s="646"/>
      <c r="AH177" s="646"/>
      <c r="AI177" s="646"/>
      <c r="AJ177" s="646"/>
      <c r="AK177" s="646"/>
      <c r="AL177" s="646"/>
      <c r="AM177" s="646"/>
      <c r="AN177" s="646"/>
      <c r="AO177" s="646"/>
      <c r="AP177" s="646"/>
      <c r="AQ177" s="646"/>
      <c r="AR177" s="646"/>
      <c r="AS177" s="646"/>
      <c r="AT177" s="646"/>
      <c r="AU177" s="646"/>
      <c r="AV177" s="646"/>
      <c r="AW177" s="646"/>
      <c r="AX177" s="646"/>
      <c r="AY177" s="646"/>
      <c r="AZ177" s="646"/>
      <c r="BA177" s="646"/>
      <c r="BB177" s="646"/>
      <c r="BC177" s="646"/>
      <c r="BD177" s="646"/>
      <c r="BE177" s="646"/>
      <c r="BF177" s="646"/>
      <c r="BG177" s="646"/>
      <c r="BH177" s="646"/>
      <c r="BI177" s="646"/>
      <c r="BJ177" s="646"/>
      <c r="BK177" s="646"/>
      <c r="BL177" s="646"/>
      <c r="BM177" s="646"/>
      <c r="BN177" s="646"/>
      <c r="BO177" s="646"/>
      <c r="BP177" s="646"/>
      <c r="BQ177" s="646"/>
      <c r="BR177" s="645"/>
      <c r="BS177" s="645"/>
      <c r="BT177" s="645"/>
      <c r="BU177" s="645"/>
      <c r="BV177" s="646"/>
      <c r="BW177" s="647"/>
      <c r="BX177" s="647"/>
      <c r="BY177" s="647"/>
      <c r="BZ177" s="647"/>
      <c r="CA177" s="647"/>
      <c r="CB177" s="647"/>
      <c r="CC177" s="647"/>
      <c r="CD177" s="647"/>
      <c r="CE177" s="647"/>
      <c r="CF177" s="647"/>
      <c r="CG177" s="647"/>
      <c r="CH177" s="647"/>
      <c r="CI177" s="647"/>
      <c r="FK177" s="714"/>
      <c r="FL177" s="714"/>
    </row>
    <row r="178" spans="4:168" s="640" customFormat="1" ht="15.75" customHeight="1">
      <c r="D178" s="641"/>
      <c r="G178" s="642"/>
      <c r="J178" s="642"/>
      <c r="K178" s="643"/>
      <c r="M178" s="644"/>
      <c r="N178" s="642"/>
      <c r="Q178" s="642"/>
      <c r="T178" s="642"/>
      <c r="U178" s="643"/>
      <c r="X178" s="645"/>
      <c r="Y178" s="646"/>
      <c r="Z178" s="673"/>
      <c r="AA178" s="646"/>
      <c r="AB178" s="646"/>
      <c r="AC178" s="646"/>
      <c r="AD178" s="646"/>
      <c r="AE178" s="646"/>
      <c r="AF178" s="646"/>
      <c r="AG178" s="646"/>
      <c r="AH178" s="646"/>
      <c r="AI178" s="646"/>
      <c r="AJ178" s="646"/>
      <c r="AK178" s="646"/>
      <c r="AL178" s="646"/>
      <c r="AM178" s="646"/>
      <c r="AN178" s="646"/>
      <c r="AO178" s="646"/>
      <c r="AP178" s="646"/>
      <c r="AQ178" s="646"/>
      <c r="AR178" s="646"/>
      <c r="AS178" s="646"/>
      <c r="AT178" s="646"/>
      <c r="AU178" s="646"/>
      <c r="AV178" s="646"/>
      <c r="AW178" s="646"/>
      <c r="AX178" s="646"/>
      <c r="AY178" s="646"/>
      <c r="AZ178" s="646"/>
      <c r="BA178" s="646"/>
      <c r="BB178" s="646"/>
      <c r="BC178" s="646"/>
      <c r="BD178" s="646"/>
      <c r="BE178" s="646"/>
      <c r="BF178" s="646"/>
      <c r="BG178" s="646"/>
      <c r="BH178" s="646"/>
      <c r="BI178" s="646"/>
      <c r="BJ178" s="646"/>
      <c r="BK178" s="646"/>
      <c r="BL178" s="646"/>
      <c r="BM178" s="646"/>
      <c r="BN178" s="646"/>
      <c r="BO178" s="646"/>
      <c r="BP178" s="646"/>
      <c r="BQ178" s="646"/>
      <c r="BR178" s="645"/>
      <c r="BS178" s="645"/>
      <c r="BT178" s="645"/>
      <c r="BU178" s="645"/>
      <c r="BV178" s="646"/>
      <c r="BW178" s="647"/>
      <c r="BX178" s="647"/>
      <c r="BY178" s="647"/>
      <c r="BZ178" s="647"/>
      <c r="CA178" s="647"/>
      <c r="CB178" s="647"/>
      <c r="CC178" s="647"/>
      <c r="CD178" s="647"/>
      <c r="CE178" s="647"/>
      <c r="CF178" s="647"/>
      <c r="CG178" s="647"/>
      <c r="CH178" s="647"/>
      <c r="CI178" s="647"/>
      <c r="FK178" s="714"/>
      <c r="FL178" s="714"/>
    </row>
    <row r="179" spans="4:168" s="640" customFormat="1" ht="15.75" customHeight="1">
      <c r="D179" s="641"/>
      <c r="G179" s="642"/>
      <c r="J179" s="642"/>
      <c r="K179" s="643"/>
      <c r="M179" s="644"/>
      <c r="N179" s="642"/>
      <c r="Q179" s="642"/>
      <c r="T179" s="642"/>
      <c r="U179" s="643"/>
      <c r="X179" s="645"/>
      <c r="Y179" s="646"/>
      <c r="Z179" s="673"/>
      <c r="AA179" s="646"/>
      <c r="AB179" s="646"/>
      <c r="AC179" s="646"/>
      <c r="AD179" s="646"/>
      <c r="AE179" s="646"/>
      <c r="AF179" s="646"/>
      <c r="AG179" s="646"/>
      <c r="AH179" s="646"/>
      <c r="AI179" s="646"/>
      <c r="AJ179" s="646"/>
      <c r="AK179" s="646"/>
      <c r="AL179" s="646"/>
      <c r="AM179" s="646"/>
      <c r="AN179" s="646"/>
      <c r="AO179" s="646"/>
      <c r="AP179" s="646"/>
      <c r="AQ179" s="646"/>
      <c r="AR179" s="646"/>
      <c r="AS179" s="646"/>
      <c r="AT179" s="646"/>
      <c r="AU179" s="646"/>
      <c r="AV179" s="646"/>
      <c r="AW179" s="646"/>
      <c r="AX179" s="646"/>
      <c r="AY179" s="646"/>
      <c r="AZ179" s="646"/>
      <c r="BA179" s="646"/>
      <c r="BB179" s="646"/>
      <c r="BC179" s="646"/>
      <c r="BD179" s="646"/>
      <c r="BE179" s="646"/>
      <c r="BF179" s="646"/>
      <c r="BG179" s="646"/>
      <c r="BH179" s="646"/>
      <c r="BI179" s="646"/>
      <c r="BJ179" s="646"/>
      <c r="BK179" s="646"/>
      <c r="BL179" s="646"/>
      <c r="BM179" s="646"/>
      <c r="BN179" s="646"/>
      <c r="BO179" s="646"/>
      <c r="BP179" s="646"/>
      <c r="BQ179" s="646"/>
      <c r="BR179" s="645"/>
      <c r="BS179" s="645"/>
      <c r="BT179" s="645"/>
      <c r="BU179" s="645"/>
      <c r="BV179" s="646"/>
      <c r="BW179" s="647"/>
      <c r="BX179" s="647"/>
      <c r="BY179" s="647"/>
      <c r="BZ179" s="647"/>
      <c r="CA179" s="647"/>
      <c r="CB179" s="647"/>
      <c r="CC179" s="647"/>
      <c r="CD179" s="647"/>
      <c r="CE179" s="647"/>
      <c r="CF179" s="647"/>
      <c r="CG179" s="647"/>
      <c r="CH179" s="647"/>
      <c r="CI179" s="647"/>
      <c r="FK179" s="714"/>
      <c r="FL179" s="714"/>
    </row>
    <row r="180" spans="4:168" s="640" customFormat="1" ht="15.75" customHeight="1">
      <c r="D180" s="641"/>
      <c r="G180" s="642"/>
      <c r="J180" s="642"/>
      <c r="K180" s="643"/>
      <c r="M180" s="644"/>
      <c r="N180" s="642"/>
      <c r="Q180" s="642"/>
      <c r="T180" s="642"/>
      <c r="U180" s="643"/>
      <c r="X180" s="645"/>
      <c r="Y180" s="646"/>
      <c r="Z180" s="673"/>
      <c r="AA180" s="646"/>
      <c r="AB180" s="646"/>
      <c r="AC180" s="646"/>
      <c r="AD180" s="646"/>
      <c r="AE180" s="646"/>
      <c r="AF180" s="646"/>
      <c r="AG180" s="646"/>
      <c r="AH180" s="646"/>
      <c r="AI180" s="646"/>
      <c r="AJ180" s="646"/>
      <c r="AK180" s="646"/>
      <c r="AL180" s="646"/>
      <c r="AM180" s="646"/>
      <c r="AN180" s="646"/>
      <c r="AO180" s="646"/>
      <c r="AP180" s="646"/>
      <c r="AQ180" s="646"/>
      <c r="AR180" s="646"/>
      <c r="AS180" s="646"/>
      <c r="AT180" s="646"/>
      <c r="AU180" s="646"/>
      <c r="AV180" s="646"/>
      <c r="AW180" s="646"/>
      <c r="AX180" s="646"/>
      <c r="AY180" s="646"/>
      <c r="AZ180" s="646"/>
      <c r="BA180" s="646"/>
      <c r="BB180" s="646"/>
      <c r="BC180" s="646"/>
      <c r="BD180" s="646"/>
      <c r="BE180" s="646"/>
      <c r="BF180" s="646"/>
      <c r="BG180" s="646"/>
      <c r="BH180" s="646"/>
      <c r="BI180" s="646"/>
      <c r="BJ180" s="646"/>
      <c r="BK180" s="646"/>
      <c r="BL180" s="646"/>
      <c r="BM180" s="646"/>
      <c r="BN180" s="646"/>
      <c r="BO180" s="646"/>
      <c r="BP180" s="646"/>
      <c r="BQ180" s="646"/>
      <c r="BR180" s="645"/>
      <c r="BS180" s="645"/>
      <c r="BT180" s="645"/>
      <c r="BU180" s="645"/>
      <c r="BV180" s="646"/>
      <c r="BW180" s="647"/>
      <c r="BX180" s="647"/>
      <c r="BY180" s="647"/>
      <c r="BZ180" s="647"/>
      <c r="CA180" s="647"/>
      <c r="CB180" s="647"/>
      <c r="CC180" s="647"/>
      <c r="CD180" s="647"/>
      <c r="CE180" s="647"/>
      <c r="CF180" s="647"/>
      <c r="CG180" s="647"/>
      <c r="CH180" s="647"/>
      <c r="CI180" s="647"/>
      <c r="FK180" s="714"/>
      <c r="FL180" s="714"/>
    </row>
    <row r="181" spans="4:168" s="640" customFormat="1" ht="15.75" customHeight="1">
      <c r="D181" s="641"/>
      <c r="G181" s="642"/>
      <c r="J181" s="642"/>
      <c r="K181" s="643"/>
      <c r="M181" s="644"/>
      <c r="N181" s="642"/>
      <c r="Q181" s="642"/>
      <c r="T181" s="642"/>
      <c r="U181" s="643"/>
      <c r="X181" s="645"/>
      <c r="Y181" s="646"/>
      <c r="Z181" s="673"/>
      <c r="AA181" s="646"/>
      <c r="AB181" s="646"/>
      <c r="AC181" s="646"/>
      <c r="AD181" s="646"/>
      <c r="AE181" s="646"/>
      <c r="AF181" s="646"/>
      <c r="AG181" s="646"/>
      <c r="AH181" s="646"/>
      <c r="AI181" s="646"/>
      <c r="AJ181" s="646"/>
      <c r="AK181" s="646"/>
      <c r="AL181" s="646"/>
      <c r="AM181" s="646"/>
      <c r="AN181" s="646"/>
      <c r="AO181" s="646"/>
      <c r="AP181" s="646"/>
      <c r="AQ181" s="646"/>
      <c r="AR181" s="646"/>
      <c r="AS181" s="646"/>
      <c r="AT181" s="646"/>
      <c r="AU181" s="646"/>
      <c r="AV181" s="646"/>
      <c r="AW181" s="646"/>
      <c r="AX181" s="646"/>
      <c r="AY181" s="646"/>
      <c r="AZ181" s="646"/>
      <c r="BA181" s="646"/>
      <c r="BB181" s="646"/>
      <c r="BC181" s="646"/>
      <c r="BD181" s="646"/>
      <c r="BE181" s="646"/>
      <c r="BF181" s="646"/>
      <c r="BG181" s="646"/>
      <c r="BH181" s="646"/>
      <c r="BI181" s="646"/>
      <c r="BJ181" s="646"/>
      <c r="BK181" s="646"/>
      <c r="BL181" s="646"/>
      <c r="BM181" s="646"/>
      <c r="BN181" s="646"/>
      <c r="BO181" s="646"/>
      <c r="BP181" s="646"/>
      <c r="BQ181" s="646"/>
      <c r="BR181" s="645"/>
      <c r="BS181" s="645"/>
      <c r="BT181" s="645"/>
      <c r="BU181" s="645"/>
      <c r="BV181" s="646"/>
      <c r="BW181" s="647"/>
      <c r="BX181" s="647"/>
      <c r="BY181" s="647"/>
      <c r="BZ181" s="647"/>
      <c r="CA181" s="647"/>
      <c r="CB181" s="647"/>
      <c r="CC181" s="647"/>
      <c r="CD181" s="647"/>
      <c r="CE181" s="647"/>
      <c r="CF181" s="647"/>
      <c r="CG181" s="647"/>
      <c r="CH181" s="647"/>
      <c r="CI181" s="647"/>
      <c r="FK181" s="714"/>
      <c r="FL181" s="714"/>
    </row>
    <row r="182" spans="4:168" s="640" customFormat="1" ht="15.75" customHeight="1">
      <c r="D182" s="641"/>
      <c r="G182" s="642"/>
      <c r="J182" s="642"/>
      <c r="K182" s="643"/>
      <c r="M182" s="644"/>
      <c r="N182" s="642"/>
      <c r="Q182" s="642"/>
      <c r="T182" s="642"/>
      <c r="U182" s="643"/>
      <c r="X182" s="645"/>
      <c r="Y182" s="646"/>
      <c r="Z182" s="673"/>
      <c r="AA182" s="646"/>
      <c r="AB182" s="646"/>
      <c r="AC182" s="646"/>
      <c r="AD182" s="646"/>
      <c r="AE182" s="646"/>
      <c r="AF182" s="646"/>
      <c r="AG182" s="646"/>
      <c r="AH182" s="646"/>
      <c r="AI182" s="646"/>
      <c r="AJ182" s="646"/>
      <c r="AK182" s="646"/>
      <c r="AL182" s="646"/>
      <c r="AM182" s="646"/>
      <c r="AN182" s="646"/>
      <c r="AO182" s="646"/>
      <c r="AP182" s="646"/>
      <c r="AQ182" s="646"/>
      <c r="AR182" s="646"/>
      <c r="AS182" s="646"/>
      <c r="AT182" s="646"/>
      <c r="AU182" s="646"/>
      <c r="AV182" s="646"/>
      <c r="AW182" s="646"/>
      <c r="AX182" s="646"/>
      <c r="AY182" s="646"/>
      <c r="AZ182" s="646"/>
      <c r="BA182" s="646"/>
      <c r="BB182" s="646"/>
      <c r="BC182" s="646"/>
      <c r="BD182" s="646"/>
      <c r="BE182" s="646"/>
      <c r="BF182" s="646"/>
      <c r="BG182" s="646"/>
      <c r="BH182" s="646"/>
      <c r="BI182" s="646"/>
      <c r="BJ182" s="646"/>
      <c r="BK182" s="646"/>
      <c r="BL182" s="646"/>
      <c r="BM182" s="646"/>
      <c r="BN182" s="646"/>
      <c r="BO182" s="646"/>
      <c r="BP182" s="646"/>
      <c r="BQ182" s="646"/>
      <c r="BR182" s="645"/>
      <c r="BS182" s="645"/>
      <c r="BT182" s="645"/>
      <c r="BU182" s="645"/>
      <c r="BV182" s="646"/>
      <c r="BW182" s="647"/>
      <c r="BX182" s="647"/>
      <c r="BY182" s="647"/>
      <c r="BZ182" s="647"/>
      <c r="CA182" s="647"/>
      <c r="CB182" s="647"/>
      <c r="CC182" s="647"/>
      <c r="CD182" s="647"/>
      <c r="CE182" s="647"/>
      <c r="CF182" s="647"/>
      <c r="CG182" s="647"/>
      <c r="CH182" s="647"/>
      <c r="CI182" s="647"/>
      <c r="FK182" s="714"/>
      <c r="FL182" s="714"/>
    </row>
    <row r="183" spans="4:168" s="640" customFormat="1" ht="15.75" customHeight="1">
      <c r="D183" s="641"/>
      <c r="G183" s="642"/>
      <c r="J183" s="642"/>
      <c r="K183" s="643"/>
      <c r="M183" s="644"/>
      <c r="N183" s="642"/>
      <c r="Q183" s="642"/>
      <c r="T183" s="642"/>
      <c r="U183" s="643"/>
      <c r="X183" s="645"/>
      <c r="Y183" s="646"/>
      <c r="Z183" s="673"/>
      <c r="AA183" s="646"/>
      <c r="AB183" s="646"/>
      <c r="AC183" s="646"/>
      <c r="AD183" s="646"/>
      <c r="AE183" s="646"/>
      <c r="AF183" s="646"/>
      <c r="AG183" s="646"/>
      <c r="AH183" s="646"/>
      <c r="AI183" s="646"/>
      <c r="AJ183" s="646"/>
      <c r="AK183" s="646"/>
      <c r="AL183" s="646"/>
      <c r="AM183" s="646"/>
      <c r="AN183" s="646"/>
      <c r="AO183" s="646"/>
      <c r="AP183" s="646"/>
      <c r="AQ183" s="646"/>
      <c r="AR183" s="646"/>
      <c r="AS183" s="646"/>
      <c r="AT183" s="646"/>
      <c r="AU183" s="646"/>
      <c r="AV183" s="646"/>
      <c r="AW183" s="646"/>
      <c r="AX183" s="646"/>
      <c r="AY183" s="646"/>
      <c r="AZ183" s="646"/>
      <c r="BA183" s="646"/>
      <c r="BB183" s="646"/>
      <c r="BC183" s="646"/>
      <c r="BD183" s="646"/>
      <c r="BE183" s="646"/>
      <c r="BF183" s="646"/>
      <c r="BG183" s="646"/>
      <c r="BH183" s="646"/>
      <c r="BI183" s="646"/>
      <c r="BJ183" s="646"/>
      <c r="BK183" s="646"/>
      <c r="BL183" s="646"/>
      <c r="BM183" s="646"/>
      <c r="BN183" s="646"/>
      <c r="BO183" s="646"/>
      <c r="BP183" s="646"/>
      <c r="BQ183" s="646"/>
      <c r="BR183" s="645"/>
      <c r="BS183" s="645"/>
      <c r="BT183" s="645"/>
      <c r="BU183" s="645"/>
      <c r="BV183" s="646"/>
      <c r="BW183" s="647"/>
      <c r="BX183" s="647"/>
      <c r="BY183" s="647"/>
      <c r="BZ183" s="647"/>
      <c r="CA183" s="647"/>
      <c r="CB183" s="647"/>
      <c r="CC183" s="647"/>
      <c r="CD183" s="647"/>
      <c r="CE183" s="647"/>
      <c r="CF183" s="647"/>
      <c r="CG183" s="647"/>
      <c r="CH183" s="647"/>
      <c r="CI183" s="647"/>
      <c r="FK183" s="714"/>
      <c r="FL183" s="714"/>
    </row>
    <row r="184" spans="4:168" s="640" customFormat="1" ht="15.75" customHeight="1">
      <c r="D184" s="641"/>
      <c r="G184" s="642"/>
      <c r="J184" s="642"/>
      <c r="K184" s="643"/>
      <c r="M184" s="644"/>
      <c r="N184" s="642"/>
      <c r="Q184" s="642"/>
      <c r="T184" s="642"/>
      <c r="U184" s="643"/>
      <c r="X184" s="645"/>
      <c r="Y184" s="646"/>
      <c r="Z184" s="673"/>
      <c r="AA184" s="646"/>
      <c r="AB184" s="646"/>
      <c r="AC184" s="646"/>
      <c r="AD184" s="646"/>
      <c r="AE184" s="646"/>
      <c r="AF184" s="646"/>
      <c r="AG184" s="646"/>
      <c r="AH184" s="646"/>
      <c r="AI184" s="646"/>
      <c r="AJ184" s="646"/>
      <c r="AK184" s="646"/>
      <c r="AL184" s="646"/>
      <c r="AM184" s="646"/>
      <c r="AN184" s="646"/>
      <c r="AO184" s="646"/>
      <c r="AP184" s="646"/>
      <c r="AQ184" s="646"/>
      <c r="AR184" s="646"/>
      <c r="AS184" s="646"/>
      <c r="AT184" s="646"/>
      <c r="AU184" s="646"/>
      <c r="AV184" s="646"/>
      <c r="AW184" s="646"/>
      <c r="AX184" s="646"/>
      <c r="AY184" s="646"/>
      <c r="AZ184" s="646"/>
      <c r="BA184" s="646"/>
      <c r="BB184" s="646"/>
      <c r="BC184" s="646"/>
      <c r="BD184" s="646"/>
      <c r="BE184" s="646"/>
      <c r="BF184" s="646"/>
      <c r="BG184" s="646"/>
      <c r="BH184" s="646"/>
      <c r="BI184" s="646"/>
      <c r="BJ184" s="646"/>
      <c r="BK184" s="646"/>
      <c r="BL184" s="646"/>
      <c r="BM184" s="646"/>
      <c r="BN184" s="646"/>
      <c r="BO184" s="646"/>
      <c r="BP184" s="646"/>
      <c r="BQ184" s="646"/>
      <c r="BR184" s="645"/>
      <c r="BS184" s="645"/>
      <c r="BT184" s="645"/>
      <c r="BU184" s="645"/>
      <c r="BV184" s="646"/>
      <c r="BW184" s="647"/>
      <c r="BX184" s="647"/>
      <c r="BY184" s="647"/>
      <c r="BZ184" s="647"/>
      <c r="CA184" s="647"/>
      <c r="CB184" s="647"/>
      <c r="CC184" s="647"/>
      <c r="CD184" s="647"/>
      <c r="CE184" s="647"/>
      <c r="CF184" s="647"/>
      <c r="CG184" s="647"/>
      <c r="CH184" s="647"/>
      <c r="CI184" s="647"/>
      <c r="FK184" s="714"/>
      <c r="FL184" s="714"/>
    </row>
    <row r="185" spans="4:168" s="640" customFormat="1" ht="15.75" customHeight="1">
      <c r="D185" s="641"/>
      <c r="G185" s="642"/>
      <c r="J185" s="642"/>
      <c r="K185" s="643"/>
      <c r="M185" s="644"/>
      <c r="N185" s="642"/>
      <c r="Q185" s="642"/>
      <c r="T185" s="642"/>
      <c r="U185" s="643"/>
      <c r="X185" s="645"/>
      <c r="Y185" s="646"/>
      <c r="Z185" s="673"/>
      <c r="AA185" s="646"/>
      <c r="AB185" s="646"/>
      <c r="AC185" s="646"/>
      <c r="AD185" s="646"/>
      <c r="AE185" s="646"/>
      <c r="AF185" s="646"/>
      <c r="AG185" s="646"/>
      <c r="AH185" s="646"/>
      <c r="AI185" s="646"/>
      <c r="AJ185" s="646"/>
      <c r="AK185" s="646"/>
      <c r="AL185" s="646"/>
      <c r="AM185" s="646"/>
      <c r="AN185" s="646"/>
      <c r="AO185" s="646"/>
      <c r="AP185" s="646"/>
      <c r="AQ185" s="646"/>
      <c r="AR185" s="646"/>
      <c r="AS185" s="646"/>
      <c r="AT185" s="646"/>
      <c r="AU185" s="646"/>
      <c r="AV185" s="646"/>
      <c r="AW185" s="646"/>
      <c r="AX185" s="646"/>
      <c r="AY185" s="646"/>
      <c r="AZ185" s="646"/>
      <c r="BA185" s="646"/>
      <c r="BB185" s="646"/>
      <c r="BC185" s="646"/>
      <c r="BD185" s="646"/>
      <c r="BE185" s="646"/>
      <c r="BF185" s="646"/>
      <c r="BG185" s="646"/>
      <c r="BH185" s="646"/>
      <c r="BI185" s="646"/>
      <c r="BJ185" s="646"/>
      <c r="BK185" s="646"/>
      <c r="BL185" s="646"/>
      <c r="BM185" s="646"/>
      <c r="BN185" s="646"/>
      <c r="BO185" s="646"/>
      <c r="BP185" s="646"/>
      <c r="BQ185" s="646"/>
      <c r="BR185" s="645"/>
      <c r="BS185" s="645"/>
      <c r="BT185" s="645"/>
      <c r="BU185" s="645"/>
      <c r="BV185" s="646"/>
      <c r="BW185" s="647"/>
      <c r="BX185" s="647"/>
      <c r="BY185" s="647"/>
      <c r="BZ185" s="647"/>
      <c r="CA185" s="647"/>
      <c r="CB185" s="647"/>
      <c r="CC185" s="647"/>
      <c r="CD185" s="647"/>
      <c r="CE185" s="647"/>
      <c r="CF185" s="647"/>
      <c r="CG185" s="647"/>
      <c r="CH185" s="647"/>
      <c r="CI185" s="647"/>
      <c r="FK185" s="714"/>
      <c r="FL185" s="714"/>
    </row>
    <row r="186" spans="4:168" s="640" customFormat="1" ht="15.75" customHeight="1">
      <c r="D186" s="641"/>
      <c r="G186" s="642"/>
      <c r="J186" s="642"/>
      <c r="K186" s="643"/>
      <c r="M186" s="644"/>
      <c r="N186" s="642"/>
      <c r="Q186" s="642"/>
      <c r="T186" s="642"/>
      <c r="U186" s="643"/>
      <c r="X186" s="645"/>
      <c r="Y186" s="646"/>
      <c r="Z186" s="673"/>
      <c r="AA186" s="646"/>
      <c r="AB186" s="646"/>
      <c r="AC186" s="646"/>
      <c r="AD186" s="646"/>
      <c r="AE186" s="646"/>
      <c r="AF186" s="646"/>
      <c r="AG186" s="646"/>
      <c r="AH186" s="646"/>
      <c r="AI186" s="646"/>
      <c r="AJ186" s="646"/>
      <c r="AK186" s="646"/>
      <c r="AL186" s="646"/>
      <c r="AM186" s="646"/>
      <c r="AN186" s="646"/>
      <c r="AO186" s="646"/>
      <c r="AP186" s="646"/>
      <c r="AQ186" s="646"/>
      <c r="AR186" s="646"/>
      <c r="AS186" s="646"/>
      <c r="AT186" s="646"/>
      <c r="AU186" s="646"/>
      <c r="AV186" s="646"/>
      <c r="AW186" s="646"/>
      <c r="AX186" s="646"/>
      <c r="AY186" s="646"/>
      <c r="AZ186" s="646"/>
      <c r="BA186" s="646"/>
      <c r="BB186" s="646"/>
      <c r="BC186" s="646"/>
      <c r="BD186" s="646"/>
      <c r="BE186" s="646"/>
      <c r="BF186" s="646"/>
      <c r="BG186" s="646"/>
      <c r="BH186" s="646"/>
      <c r="BI186" s="646"/>
      <c r="BJ186" s="646"/>
      <c r="BK186" s="646"/>
      <c r="BL186" s="646"/>
      <c r="BM186" s="646"/>
      <c r="BN186" s="646"/>
      <c r="BO186" s="646"/>
      <c r="BP186" s="646"/>
      <c r="BQ186" s="646"/>
      <c r="BR186" s="645"/>
      <c r="BS186" s="645"/>
      <c r="BT186" s="645"/>
      <c r="BU186" s="645"/>
      <c r="BV186" s="646"/>
      <c r="BW186" s="647"/>
      <c r="BX186" s="647"/>
      <c r="BY186" s="647"/>
      <c r="BZ186" s="647"/>
      <c r="CA186" s="647"/>
      <c r="CB186" s="647"/>
      <c r="CC186" s="647"/>
      <c r="CD186" s="647"/>
      <c r="CE186" s="647"/>
      <c r="CF186" s="647"/>
      <c r="CG186" s="647"/>
      <c r="CH186" s="647"/>
      <c r="CI186" s="647"/>
      <c r="FK186" s="714"/>
      <c r="FL186" s="714"/>
    </row>
    <row r="187" spans="4:168" s="640" customFormat="1" ht="15.75" customHeight="1">
      <c r="D187" s="641"/>
      <c r="G187" s="642"/>
      <c r="J187" s="642"/>
      <c r="K187" s="643"/>
      <c r="M187" s="644"/>
      <c r="N187" s="642"/>
      <c r="Q187" s="642"/>
      <c r="T187" s="642"/>
      <c r="U187" s="643"/>
      <c r="X187" s="645"/>
      <c r="Y187" s="646"/>
      <c r="Z187" s="673"/>
      <c r="AA187" s="646"/>
      <c r="AB187" s="646"/>
      <c r="AC187" s="646"/>
      <c r="AD187" s="646"/>
      <c r="AE187" s="646"/>
      <c r="AF187" s="646"/>
      <c r="AG187" s="646"/>
      <c r="AH187" s="646"/>
      <c r="AI187" s="646"/>
      <c r="AJ187" s="646"/>
      <c r="AK187" s="646"/>
      <c r="AL187" s="646"/>
      <c r="AM187" s="646"/>
      <c r="AN187" s="646"/>
      <c r="AO187" s="646"/>
      <c r="AP187" s="646"/>
      <c r="AQ187" s="646"/>
      <c r="AR187" s="646"/>
      <c r="AS187" s="646"/>
      <c r="AT187" s="646"/>
      <c r="AU187" s="646"/>
      <c r="AV187" s="646"/>
      <c r="AW187" s="646"/>
      <c r="AX187" s="646"/>
      <c r="AY187" s="646"/>
      <c r="AZ187" s="646"/>
      <c r="BA187" s="646"/>
      <c r="BB187" s="646"/>
      <c r="BC187" s="646"/>
      <c r="BD187" s="646"/>
      <c r="BE187" s="646"/>
      <c r="BF187" s="646"/>
      <c r="BG187" s="646"/>
      <c r="BH187" s="646"/>
      <c r="BI187" s="646"/>
      <c r="BJ187" s="646"/>
      <c r="BK187" s="646"/>
      <c r="BL187" s="646"/>
      <c r="BM187" s="646"/>
      <c r="BN187" s="646"/>
      <c r="BO187" s="646"/>
      <c r="BP187" s="646"/>
      <c r="BQ187" s="646"/>
      <c r="BR187" s="645"/>
      <c r="BS187" s="645"/>
      <c r="BT187" s="645"/>
      <c r="BU187" s="645"/>
      <c r="BV187" s="646"/>
      <c r="BW187" s="647"/>
      <c r="BX187" s="647"/>
      <c r="BY187" s="647"/>
      <c r="BZ187" s="647"/>
      <c r="CA187" s="647"/>
      <c r="CB187" s="647"/>
      <c r="CC187" s="647"/>
      <c r="CD187" s="647"/>
      <c r="CE187" s="647"/>
      <c r="CF187" s="647"/>
      <c r="CG187" s="647"/>
      <c r="CH187" s="647"/>
      <c r="CI187" s="647"/>
      <c r="FK187" s="714"/>
      <c r="FL187" s="714"/>
    </row>
    <row r="188" spans="4:168" s="640" customFormat="1" ht="15.75" customHeight="1">
      <c r="D188" s="641"/>
      <c r="G188" s="642"/>
      <c r="J188" s="642"/>
      <c r="K188" s="643"/>
      <c r="M188" s="644"/>
      <c r="N188" s="642"/>
      <c r="Q188" s="642"/>
      <c r="T188" s="642"/>
      <c r="U188" s="643"/>
      <c r="X188" s="645"/>
      <c r="Y188" s="646"/>
      <c r="Z188" s="673"/>
      <c r="AA188" s="646"/>
      <c r="AB188" s="646"/>
      <c r="AC188" s="646"/>
      <c r="AD188" s="646"/>
      <c r="AE188" s="646"/>
      <c r="AF188" s="646"/>
      <c r="AG188" s="646"/>
      <c r="AH188" s="646"/>
      <c r="AI188" s="646"/>
      <c r="AJ188" s="646"/>
      <c r="AK188" s="646"/>
      <c r="AL188" s="646"/>
      <c r="AM188" s="646"/>
      <c r="AN188" s="646"/>
      <c r="AO188" s="646"/>
      <c r="AP188" s="646"/>
      <c r="AQ188" s="646"/>
      <c r="AR188" s="646"/>
      <c r="AS188" s="646"/>
      <c r="AT188" s="646"/>
      <c r="AU188" s="646"/>
      <c r="AV188" s="646"/>
      <c r="AW188" s="646"/>
      <c r="AX188" s="646"/>
      <c r="AY188" s="646"/>
      <c r="AZ188" s="646"/>
      <c r="BA188" s="646"/>
      <c r="BB188" s="646"/>
      <c r="BC188" s="646"/>
      <c r="BD188" s="646"/>
      <c r="BE188" s="646"/>
      <c r="BF188" s="646"/>
      <c r="BG188" s="646"/>
      <c r="BH188" s="646"/>
      <c r="BI188" s="646"/>
      <c r="BJ188" s="646"/>
      <c r="BK188" s="646"/>
      <c r="BL188" s="646"/>
      <c r="BM188" s="646"/>
      <c r="BN188" s="646"/>
      <c r="BO188" s="646"/>
      <c r="BP188" s="646"/>
      <c r="BQ188" s="646"/>
      <c r="BR188" s="645"/>
      <c r="BS188" s="645"/>
      <c r="BT188" s="645"/>
      <c r="BU188" s="645"/>
      <c r="BV188" s="646"/>
      <c r="BW188" s="647"/>
      <c r="BX188" s="647"/>
      <c r="BY188" s="647"/>
      <c r="BZ188" s="647"/>
      <c r="CA188" s="647"/>
      <c r="CB188" s="647"/>
      <c r="CC188" s="647"/>
      <c r="CD188" s="647"/>
      <c r="CE188" s="647"/>
      <c r="CF188" s="647"/>
      <c r="CG188" s="647"/>
      <c r="CH188" s="647"/>
      <c r="CI188" s="647"/>
      <c r="FK188" s="714"/>
      <c r="FL188" s="714"/>
    </row>
    <row r="189" spans="4:168" s="640" customFormat="1" ht="15.75" customHeight="1">
      <c r="D189" s="641"/>
      <c r="G189" s="642"/>
      <c r="J189" s="642"/>
      <c r="K189" s="643"/>
      <c r="M189" s="644"/>
      <c r="N189" s="642"/>
      <c r="Q189" s="642"/>
      <c r="T189" s="642"/>
      <c r="U189" s="643"/>
      <c r="X189" s="645"/>
      <c r="Y189" s="646"/>
      <c r="Z189" s="673"/>
      <c r="AA189" s="646"/>
      <c r="AB189" s="646"/>
      <c r="AC189" s="646"/>
      <c r="AD189" s="646"/>
      <c r="AE189" s="646"/>
      <c r="AF189" s="646"/>
      <c r="AG189" s="646"/>
      <c r="AH189" s="646"/>
      <c r="AI189" s="646"/>
      <c r="AJ189" s="646"/>
      <c r="AK189" s="646"/>
      <c r="AL189" s="646"/>
      <c r="AM189" s="646"/>
      <c r="AN189" s="646"/>
      <c r="AO189" s="646"/>
      <c r="AP189" s="646"/>
      <c r="AQ189" s="646"/>
      <c r="AR189" s="646"/>
      <c r="AS189" s="646"/>
      <c r="AT189" s="646"/>
      <c r="AU189" s="646"/>
      <c r="AV189" s="646"/>
      <c r="AW189" s="646"/>
      <c r="AX189" s="646"/>
      <c r="AY189" s="646"/>
      <c r="AZ189" s="646"/>
      <c r="BA189" s="646"/>
      <c r="BB189" s="646"/>
      <c r="BC189" s="646"/>
      <c r="BD189" s="646"/>
      <c r="BE189" s="646"/>
      <c r="BF189" s="646"/>
      <c r="BG189" s="646"/>
      <c r="BH189" s="646"/>
      <c r="BI189" s="646"/>
      <c r="BJ189" s="646"/>
      <c r="BK189" s="646"/>
      <c r="BL189" s="646"/>
      <c r="BM189" s="646"/>
      <c r="BN189" s="646"/>
      <c r="BO189" s="646"/>
      <c r="BP189" s="646"/>
      <c r="BQ189" s="646"/>
      <c r="BR189" s="645"/>
      <c r="BS189" s="645"/>
      <c r="BT189" s="645"/>
      <c r="BU189" s="645"/>
      <c r="BV189" s="646"/>
      <c r="BW189" s="647"/>
      <c r="BX189" s="647"/>
      <c r="BY189" s="647"/>
      <c r="BZ189" s="647"/>
      <c r="CA189" s="647"/>
      <c r="CB189" s="647"/>
      <c r="CC189" s="647"/>
      <c r="CD189" s="647"/>
      <c r="CE189" s="647"/>
      <c r="CF189" s="647"/>
      <c r="CG189" s="647"/>
      <c r="CH189" s="647"/>
      <c r="CI189" s="647"/>
      <c r="FK189" s="714"/>
      <c r="FL189" s="714"/>
    </row>
    <row r="190" spans="4:168" s="640" customFormat="1" ht="15.75" customHeight="1">
      <c r="D190" s="641"/>
      <c r="G190" s="642"/>
      <c r="J190" s="642"/>
      <c r="K190" s="643"/>
      <c r="M190" s="644"/>
      <c r="N190" s="642"/>
      <c r="Q190" s="642"/>
      <c r="T190" s="642"/>
      <c r="U190" s="643"/>
      <c r="X190" s="645"/>
      <c r="Y190" s="646"/>
      <c r="Z190" s="673"/>
      <c r="AA190" s="646"/>
      <c r="AB190" s="646"/>
      <c r="AC190" s="646"/>
      <c r="AD190" s="646"/>
      <c r="AE190" s="646"/>
      <c r="AF190" s="646"/>
      <c r="AG190" s="646"/>
      <c r="AH190" s="646"/>
      <c r="AI190" s="646"/>
      <c r="AJ190" s="646"/>
      <c r="AK190" s="646"/>
      <c r="AL190" s="646"/>
      <c r="AM190" s="646"/>
      <c r="AN190" s="646"/>
      <c r="AO190" s="646"/>
      <c r="AP190" s="646"/>
      <c r="AQ190" s="646"/>
      <c r="AR190" s="646"/>
      <c r="AS190" s="646"/>
      <c r="AT190" s="646"/>
      <c r="AU190" s="646"/>
      <c r="AV190" s="646"/>
      <c r="AW190" s="646"/>
      <c r="AX190" s="646"/>
      <c r="AY190" s="646"/>
      <c r="AZ190" s="646"/>
      <c r="BA190" s="646"/>
      <c r="BB190" s="646"/>
      <c r="BC190" s="646"/>
      <c r="BD190" s="646"/>
      <c r="BE190" s="646"/>
      <c r="BF190" s="646"/>
      <c r="BG190" s="646"/>
      <c r="BH190" s="646"/>
      <c r="BI190" s="646"/>
      <c r="BJ190" s="646"/>
      <c r="BK190" s="646"/>
      <c r="BL190" s="646"/>
      <c r="BM190" s="646"/>
      <c r="BN190" s="646"/>
      <c r="BO190" s="646"/>
      <c r="BP190" s="646"/>
      <c r="BQ190" s="646"/>
      <c r="BR190" s="645"/>
      <c r="BS190" s="645"/>
      <c r="BT190" s="645"/>
      <c r="BU190" s="645"/>
      <c r="BV190" s="646"/>
      <c r="BW190" s="647"/>
      <c r="BX190" s="647"/>
      <c r="BY190" s="647"/>
      <c r="BZ190" s="647"/>
      <c r="CA190" s="647"/>
      <c r="CB190" s="647"/>
      <c r="CC190" s="647"/>
      <c r="CD190" s="647"/>
      <c r="CE190" s="647"/>
      <c r="CF190" s="647"/>
      <c r="CG190" s="647"/>
      <c r="CH190" s="647"/>
      <c r="CI190" s="647"/>
      <c r="FK190" s="714"/>
      <c r="FL190" s="714"/>
    </row>
    <row r="191" spans="4:168" s="640" customFormat="1" ht="15.75" customHeight="1">
      <c r="D191" s="641"/>
      <c r="G191" s="642"/>
      <c r="J191" s="642"/>
      <c r="K191" s="643"/>
      <c r="M191" s="644"/>
      <c r="N191" s="642"/>
      <c r="Q191" s="642"/>
      <c r="T191" s="642"/>
      <c r="U191" s="643"/>
      <c r="X191" s="645"/>
      <c r="Y191" s="646"/>
      <c r="Z191" s="673"/>
      <c r="AA191" s="646"/>
      <c r="AB191" s="646"/>
      <c r="AC191" s="646"/>
      <c r="AD191" s="646"/>
      <c r="AE191" s="646"/>
      <c r="AF191" s="646"/>
      <c r="AG191" s="646"/>
      <c r="AH191" s="646"/>
      <c r="AI191" s="646"/>
      <c r="AJ191" s="646"/>
      <c r="AK191" s="646"/>
      <c r="AL191" s="646"/>
      <c r="AM191" s="646"/>
      <c r="AN191" s="646"/>
      <c r="AO191" s="646"/>
      <c r="AP191" s="646"/>
      <c r="AQ191" s="646"/>
      <c r="AR191" s="646"/>
      <c r="AS191" s="646"/>
      <c r="AT191" s="646"/>
      <c r="AU191" s="646"/>
      <c r="AV191" s="646"/>
      <c r="AW191" s="646"/>
      <c r="AX191" s="646"/>
      <c r="AY191" s="646"/>
      <c r="AZ191" s="646"/>
      <c r="BA191" s="646"/>
      <c r="BB191" s="646"/>
      <c r="BC191" s="646"/>
      <c r="BD191" s="646"/>
      <c r="BE191" s="646"/>
      <c r="BF191" s="646"/>
      <c r="BG191" s="646"/>
      <c r="BH191" s="646"/>
      <c r="BI191" s="646"/>
      <c r="BJ191" s="646"/>
      <c r="BK191" s="646"/>
      <c r="BL191" s="646"/>
      <c r="BM191" s="646"/>
      <c r="BN191" s="646"/>
      <c r="BO191" s="646"/>
      <c r="BP191" s="646"/>
      <c r="BQ191" s="646"/>
      <c r="BR191" s="645"/>
      <c r="BS191" s="645"/>
      <c r="BT191" s="645"/>
      <c r="BU191" s="645"/>
      <c r="BV191" s="646"/>
      <c r="BW191" s="647"/>
      <c r="BX191" s="647"/>
      <c r="BY191" s="647"/>
      <c r="BZ191" s="647"/>
      <c r="CA191" s="647"/>
      <c r="CB191" s="647"/>
      <c r="CC191" s="647"/>
      <c r="CD191" s="647"/>
      <c r="CE191" s="647"/>
      <c r="CF191" s="647"/>
      <c r="CG191" s="647"/>
      <c r="CH191" s="647"/>
      <c r="CI191" s="647"/>
      <c r="FK191" s="714"/>
      <c r="FL191" s="714"/>
    </row>
    <row r="192" spans="4:168" s="640" customFormat="1" ht="15.75" customHeight="1">
      <c r="D192" s="641"/>
      <c r="G192" s="642"/>
      <c r="J192" s="642"/>
      <c r="K192" s="643"/>
      <c r="M192" s="644"/>
      <c r="N192" s="642"/>
      <c r="Q192" s="642"/>
      <c r="T192" s="642"/>
      <c r="U192" s="643"/>
      <c r="X192" s="645"/>
      <c r="Y192" s="646"/>
      <c r="Z192" s="673"/>
      <c r="AA192" s="646"/>
      <c r="AB192" s="646"/>
      <c r="AC192" s="646"/>
      <c r="AD192" s="646"/>
      <c r="AE192" s="646"/>
      <c r="AF192" s="646"/>
      <c r="AG192" s="646"/>
      <c r="AH192" s="646"/>
      <c r="AI192" s="646"/>
      <c r="AJ192" s="646"/>
      <c r="AK192" s="646"/>
      <c r="AL192" s="646"/>
      <c r="AM192" s="646"/>
      <c r="AN192" s="646"/>
      <c r="AO192" s="646"/>
      <c r="AP192" s="646"/>
      <c r="AQ192" s="646"/>
      <c r="AR192" s="646"/>
      <c r="AS192" s="646"/>
      <c r="AT192" s="646"/>
      <c r="AU192" s="646"/>
      <c r="AV192" s="646"/>
      <c r="AW192" s="646"/>
      <c r="AX192" s="646"/>
      <c r="AY192" s="646"/>
      <c r="AZ192" s="646"/>
      <c r="BA192" s="646"/>
      <c r="BB192" s="646"/>
      <c r="BC192" s="646"/>
      <c r="BD192" s="646"/>
      <c r="BE192" s="646"/>
      <c r="BF192" s="646"/>
      <c r="BG192" s="646"/>
      <c r="BH192" s="646"/>
      <c r="BI192" s="646"/>
      <c r="BJ192" s="646"/>
      <c r="BK192" s="646"/>
      <c r="BL192" s="646"/>
      <c r="BM192" s="646"/>
      <c r="BN192" s="646"/>
      <c r="BO192" s="646"/>
      <c r="BP192" s="646"/>
      <c r="BQ192" s="646"/>
      <c r="BR192" s="645"/>
      <c r="BS192" s="645"/>
      <c r="BT192" s="645"/>
      <c r="BU192" s="645"/>
      <c r="BV192" s="646"/>
      <c r="BW192" s="647"/>
      <c r="BX192" s="647"/>
      <c r="BY192" s="647"/>
      <c r="BZ192" s="647"/>
      <c r="CA192" s="647"/>
      <c r="CB192" s="647"/>
      <c r="CC192" s="647"/>
      <c r="CD192" s="647"/>
      <c r="CE192" s="647"/>
      <c r="CF192" s="647"/>
      <c r="CG192" s="647"/>
      <c r="CH192" s="647"/>
      <c r="CI192" s="647"/>
      <c r="FK192" s="714"/>
      <c r="FL192" s="714"/>
    </row>
    <row r="193" spans="4:168" s="640" customFormat="1" ht="15.75" customHeight="1">
      <c r="D193" s="641"/>
      <c r="G193" s="642"/>
      <c r="J193" s="642"/>
      <c r="K193" s="643"/>
      <c r="M193" s="644"/>
      <c r="N193" s="642"/>
      <c r="Q193" s="642"/>
      <c r="T193" s="642"/>
      <c r="U193" s="643"/>
      <c r="X193" s="645"/>
      <c r="Y193" s="646"/>
      <c r="Z193" s="673"/>
      <c r="AA193" s="646"/>
      <c r="AB193" s="646"/>
      <c r="AC193" s="646"/>
      <c r="AD193" s="646"/>
      <c r="AE193" s="646"/>
      <c r="AF193" s="646"/>
      <c r="AG193" s="646"/>
      <c r="AH193" s="646"/>
      <c r="AI193" s="646"/>
      <c r="AJ193" s="646"/>
      <c r="AK193" s="646"/>
      <c r="AL193" s="646"/>
      <c r="AM193" s="646"/>
      <c r="AN193" s="646"/>
      <c r="AO193" s="646"/>
      <c r="AP193" s="646"/>
      <c r="AQ193" s="646"/>
      <c r="AR193" s="646"/>
      <c r="AS193" s="646"/>
      <c r="AT193" s="646"/>
      <c r="AU193" s="646"/>
      <c r="AV193" s="646"/>
      <c r="AW193" s="646"/>
      <c r="AX193" s="646"/>
      <c r="AY193" s="646"/>
      <c r="AZ193" s="646"/>
      <c r="BA193" s="646"/>
      <c r="BB193" s="646"/>
      <c r="BC193" s="646"/>
      <c r="BD193" s="646"/>
      <c r="BE193" s="646"/>
      <c r="BF193" s="646"/>
      <c r="BG193" s="646"/>
      <c r="BH193" s="646"/>
      <c r="BI193" s="646"/>
      <c r="BJ193" s="646"/>
      <c r="BK193" s="646"/>
      <c r="BL193" s="646"/>
      <c r="BM193" s="646"/>
      <c r="BN193" s="646"/>
      <c r="BO193" s="646"/>
      <c r="BP193" s="646"/>
      <c r="BQ193" s="646"/>
      <c r="BR193" s="645"/>
      <c r="BS193" s="645"/>
      <c r="BT193" s="645"/>
      <c r="BU193" s="645"/>
      <c r="BV193" s="646"/>
      <c r="BW193" s="647"/>
      <c r="BX193" s="647"/>
      <c r="BY193" s="647"/>
      <c r="BZ193" s="647"/>
      <c r="CA193" s="647"/>
      <c r="CB193" s="647"/>
      <c r="CC193" s="647"/>
      <c r="CD193" s="647"/>
      <c r="CE193" s="647"/>
      <c r="CF193" s="647"/>
      <c r="CG193" s="647"/>
      <c r="CH193" s="647"/>
      <c r="CI193" s="647"/>
      <c r="FK193" s="714"/>
      <c r="FL193" s="714"/>
    </row>
    <row r="194" spans="4:168" s="640" customFormat="1" ht="15.75" customHeight="1">
      <c r="D194" s="641"/>
      <c r="G194" s="642"/>
      <c r="J194" s="642"/>
      <c r="K194" s="643"/>
      <c r="M194" s="644"/>
      <c r="N194" s="642"/>
      <c r="Q194" s="642"/>
      <c r="T194" s="642"/>
      <c r="U194" s="643"/>
      <c r="X194" s="645"/>
      <c r="Y194" s="646"/>
      <c r="Z194" s="673"/>
      <c r="AA194" s="646"/>
      <c r="AB194" s="646"/>
      <c r="AC194" s="646"/>
      <c r="AD194" s="646"/>
      <c r="AE194" s="646"/>
      <c r="AF194" s="646"/>
      <c r="AG194" s="646"/>
      <c r="AH194" s="646"/>
      <c r="AI194" s="646"/>
      <c r="AJ194" s="646"/>
      <c r="AK194" s="646"/>
      <c r="AL194" s="646"/>
      <c r="AM194" s="646"/>
      <c r="AN194" s="646"/>
      <c r="AO194" s="646"/>
      <c r="AP194" s="646"/>
      <c r="AQ194" s="646"/>
      <c r="AR194" s="646"/>
      <c r="AS194" s="646"/>
      <c r="AT194" s="646"/>
      <c r="AU194" s="646"/>
      <c r="AV194" s="646"/>
      <c r="AW194" s="646"/>
      <c r="AX194" s="646"/>
      <c r="AY194" s="646"/>
      <c r="AZ194" s="646"/>
      <c r="BA194" s="646"/>
      <c r="BB194" s="646"/>
      <c r="BC194" s="646"/>
      <c r="BD194" s="646"/>
      <c r="BE194" s="646"/>
      <c r="BF194" s="646"/>
      <c r="BG194" s="646"/>
      <c r="BH194" s="646"/>
      <c r="BI194" s="646"/>
      <c r="BJ194" s="646"/>
      <c r="BK194" s="646"/>
      <c r="BL194" s="646"/>
      <c r="BM194" s="646"/>
      <c r="BN194" s="646"/>
      <c r="BO194" s="646"/>
      <c r="BP194" s="646"/>
      <c r="BQ194" s="646"/>
      <c r="BR194" s="645"/>
      <c r="BS194" s="645"/>
      <c r="BT194" s="645"/>
      <c r="BU194" s="645"/>
      <c r="BV194" s="646"/>
      <c r="BW194" s="647"/>
      <c r="BX194" s="647"/>
      <c r="BY194" s="647"/>
      <c r="BZ194" s="647"/>
      <c r="CA194" s="647"/>
      <c r="CB194" s="647"/>
      <c r="CC194" s="647"/>
      <c r="CD194" s="647"/>
      <c r="CE194" s="647"/>
      <c r="CF194" s="647"/>
      <c r="CG194" s="647"/>
      <c r="CH194" s="647"/>
      <c r="CI194" s="647"/>
      <c r="FK194" s="714"/>
      <c r="FL194" s="714"/>
    </row>
    <row r="195" spans="4:168" s="640" customFormat="1" ht="15.75" customHeight="1">
      <c r="D195" s="641"/>
      <c r="G195" s="642"/>
      <c r="J195" s="642"/>
      <c r="K195" s="643"/>
      <c r="M195" s="644"/>
      <c r="N195" s="642"/>
      <c r="Q195" s="642"/>
      <c r="T195" s="642"/>
      <c r="U195" s="643"/>
      <c r="X195" s="645"/>
      <c r="Y195" s="646"/>
      <c r="Z195" s="673"/>
      <c r="AA195" s="646"/>
      <c r="AB195" s="646"/>
      <c r="AC195" s="646"/>
      <c r="AD195" s="646"/>
      <c r="AE195" s="646"/>
      <c r="AF195" s="646"/>
      <c r="AG195" s="646"/>
      <c r="AH195" s="646"/>
      <c r="AI195" s="646"/>
      <c r="AJ195" s="646"/>
      <c r="AK195" s="646"/>
      <c r="AL195" s="646"/>
      <c r="AM195" s="646"/>
      <c r="AN195" s="646"/>
      <c r="AO195" s="646"/>
      <c r="AP195" s="646"/>
      <c r="AQ195" s="646"/>
      <c r="AR195" s="646"/>
      <c r="AS195" s="646"/>
      <c r="AT195" s="646"/>
      <c r="AU195" s="646"/>
      <c r="AV195" s="646"/>
      <c r="AW195" s="646"/>
      <c r="AX195" s="646"/>
      <c r="AY195" s="646"/>
      <c r="AZ195" s="646"/>
      <c r="BA195" s="646"/>
      <c r="BB195" s="646"/>
      <c r="BC195" s="646"/>
      <c r="BD195" s="646"/>
      <c r="BE195" s="646"/>
      <c r="BF195" s="646"/>
      <c r="BG195" s="646"/>
      <c r="BH195" s="646"/>
      <c r="BI195" s="646"/>
      <c r="BJ195" s="646"/>
      <c r="BK195" s="646"/>
      <c r="BL195" s="646"/>
      <c r="BM195" s="646"/>
      <c r="BN195" s="646"/>
      <c r="BO195" s="646"/>
      <c r="BP195" s="646"/>
      <c r="BQ195" s="646"/>
      <c r="BR195" s="645"/>
      <c r="BS195" s="645"/>
      <c r="BT195" s="645"/>
      <c r="BU195" s="645"/>
      <c r="BV195" s="646"/>
      <c r="BW195" s="647"/>
      <c r="BX195" s="647"/>
      <c r="BY195" s="647"/>
      <c r="BZ195" s="647"/>
      <c r="CA195" s="647"/>
      <c r="CB195" s="647"/>
      <c r="CC195" s="647"/>
      <c r="CD195" s="647"/>
      <c r="CE195" s="647"/>
      <c r="CF195" s="647"/>
      <c r="CG195" s="647"/>
      <c r="CH195" s="647"/>
      <c r="CI195" s="647"/>
      <c r="FK195" s="714"/>
      <c r="FL195" s="714"/>
    </row>
    <row r="196" spans="4:168" s="640" customFormat="1" ht="15.75" customHeight="1">
      <c r="D196" s="641"/>
      <c r="G196" s="642"/>
      <c r="J196" s="642"/>
      <c r="K196" s="643"/>
      <c r="M196" s="644"/>
      <c r="N196" s="642"/>
      <c r="Q196" s="642"/>
      <c r="T196" s="642"/>
      <c r="U196" s="643"/>
      <c r="X196" s="645"/>
      <c r="Y196" s="646"/>
      <c r="Z196" s="673"/>
      <c r="AA196" s="646"/>
      <c r="AB196" s="646"/>
      <c r="AC196" s="646"/>
      <c r="AD196" s="646"/>
      <c r="AE196" s="646"/>
      <c r="AF196" s="646"/>
      <c r="AG196" s="646"/>
      <c r="AH196" s="646"/>
      <c r="AI196" s="646"/>
      <c r="AJ196" s="646"/>
      <c r="AK196" s="646"/>
      <c r="AL196" s="646"/>
      <c r="AM196" s="646"/>
      <c r="AN196" s="646"/>
      <c r="AO196" s="646"/>
      <c r="AP196" s="646"/>
      <c r="AQ196" s="646"/>
      <c r="AR196" s="646"/>
      <c r="AS196" s="646"/>
      <c r="AT196" s="646"/>
      <c r="AU196" s="646"/>
      <c r="AV196" s="646"/>
      <c r="AW196" s="646"/>
      <c r="AX196" s="646"/>
      <c r="AY196" s="646"/>
      <c r="AZ196" s="646"/>
      <c r="BA196" s="646"/>
      <c r="BB196" s="646"/>
      <c r="BC196" s="646"/>
      <c r="BD196" s="646"/>
      <c r="BE196" s="646"/>
      <c r="BF196" s="646"/>
      <c r="BG196" s="646"/>
      <c r="BH196" s="646"/>
      <c r="BI196" s="646"/>
      <c r="BJ196" s="646"/>
      <c r="BK196" s="646"/>
      <c r="BL196" s="646"/>
      <c r="BM196" s="646"/>
      <c r="BN196" s="646"/>
      <c r="BO196" s="646"/>
      <c r="BP196" s="646"/>
      <c r="BQ196" s="646"/>
      <c r="BR196" s="645"/>
      <c r="BS196" s="645"/>
      <c r="BT196" s="645"/>
      <c r="BU196" s="645"/>
      <c r="BV196" s="646"/>
      <c r="BW196" s="647"/>
      <c r="BX196" s="647"/>
      <c r="BY196" s="647"/>
      <c r="BZ196" s="647"/>
      <c r="CA196" s="647"/>
      <c r="CB196" s="647"/>
      <c r="CC196" s="647"/>
      <c r="CD196" s="647"/>
      <c r="CE196" s="647"/>
      <c r="CF196" s="647"/>
      <c r="CG196" s="647"/>
      <c r="CH196" s="647"/>
      <c r="CI196" s="647"/>
      <c r="FK196" s="714"/>
      <c r="FL196" s="714"/>
    </row>
    <row r="197" spans="4:168" s="640" customFormat="1" ht="15.75" customHeight="1">
      <c r="D197" s="641"/>
      <c r="G197" s="642"/>
      <c r="J197" s="642"/>
      <c r="K197" s="643"/>
      <c r="M197" s="644"/>
      <c r="N197" s="642"/>
      <c r="Q197" s="642"/>
      <c r="T197" s="642"/>
      <c r="U197" s="643"/>
      <c r="X197" s="645"/>
      <c r="Y197" s="646"/>
      <c r="Z197" s="673"/>
      <c r="AA197" s="646"/>
      <c r="AB197" s="646"/>
      <c r="AC197" s="646"/>
      <c r="AD197" s="646"/>
      <c r="AE197" s="646"/>
      <c r="AF197" s="646"/>
      <c r="AG197" s="646"/>
      <c r="AH197" s="646"/>
      <c r="AI197" s="646"/>
      <c r="AJ197" s="646"/>
      <c r="AK197" s="646"/>
      <c r="AL197" s="646"/>
      <c r="AM197" s="646"/>
      <c r="AN197" s="646"/>
      <c r="AO197" s="646"/>
      <c r="AP197" s="646"/>
      <c r="AQ197" s="646"/>
      <c r="AR197" s="646"/>
      <c r="AS197" s="646"/>
      <c r="AT197" s="646"/>
      <c r="AU197" s="646"/>
      <c r="AV197" s="646"/>
      <c r="AW197" s="646"/>
      <c r="AX197" s="646"/>
      <c r="AY197" s="646"/>
      <c r="AZ197" s="646"/>
      <c r="BA197" s="646"/>
      <c r="BB197" s="646"/>
      <c r="BC197" s="646"/>
      <c r="BD197" s="646"/>
      <c r="BE197" s="646"/>
      <c r="BF197" s="646"/>
      <c r="BG197" s="646"/>
      <c r="BH197" s="646"/>
      <c r="BI197" s="646"/>
      <c r="BJ197" s="646"/>
      <c r="BK197" s="646"/>
      <c r="BL197" s="646"/>
      <c r="BM197" s="646"/>
      <c r="BN197" s="646"/>
      <c r="BO197" s="646"/>
      <c r="BP197" s="646"/>
      <c r="BQ197" s="646"/>
      <c r="BR197" s="645"/>
      <c r="BS197" s="645"/>
      <c r="BT197" s="645"/>
      <c r="BU197" s="645"/>
      <c r="BV197" s="646"/>
      <c r="BW197" s="647"/>
      <c r="BX197" s="647"/>
      <c r="BY197" s="647"/>
      <c r="BZ197" s="647"/>
      <c r="CA197" s="647"/>
      <c r="CB197" s="647"/>
      <c r="CC197" s="647"/>
      <c r="CD197" s="647"/>
      <c r="CE197" s="647"/>
      <c r="CF197" s="647"/>
      <c r="CG197" s="647"/>
      <c r="CH197" s="647"/>
      <c r="CI197" s="647"/>
      <c r="FK197" s="714"/>
      <c r="FL197" s="714"/>
    </row>
    <row r="198" spans="4:168" s="640" customFormat="1" ht="15.75" customHeight="1">
      <c r="D198" s="641"/>
      <c r="G198" s="642"/>
      <c r="J198" s="642"/>
      <c r="K198" s="643"/>
      <c r="M198" s="644"/>
      <c r="N198" s="642"/>
      <c r="Q198" s="642"/>
      <c r="T198" s="642"/>
      <c r="U198" s="643"/>
      <c r="X198" s="645"/>
      <c r="Y198" s="646"/>
      <c r="Z198" s="673"/>
      <c r="AA198" s="646"/>
      <c r="AB198" s="646"/>
      <c r="AC198" s="646"/>
      <c r="AD198" s="646"/>
      <c r="AE198" s="646"/>
      <c r="AF198" s="646"/>
      <c r="AG198" s="646"/>
      <c r="AH198" s="646"/>
      <c r="AI198" s="646"/>
      <c r="AJ198" s="646"/>
      <c r="AK198" s="646"/>
      <c r="AL198" s="646"/>
      <c r="AM198" s="646"/>
      <c r="AN198" s="646"/>
      <c r="AO198" s="646"/>
      <c r="AP198" s="646"/>
      <c r="AQ198" s="646"/>
      <c r="AR198" s="646"/>
      <c r="AS198" s="646"/>
      <c r="AT198" s="646"/>
      <c r="AU198" s="646"/>
      <c r="AV198" s="646"/>
      <c r="AW198" s="646"/>
      <c r="AX198" s="646"/>
      <c r="AY198" s="646"/>
      <c r="AZ198" s="646"/>
      <c r="BA198" s="646"/>
      <c r="BB198" s="646"/>
      <c r="BC198" s="646"/>
      <c r="BD198" s="646"/>
      <c r="BE198" s="646"/>
      <c r="BF198" s="646"/>
      <c r="BG198" s="646"/>
      <c r="BH198" s="646"/>
      <c r="BI198" s="646"/>
      <c r="BJ198" s="646"/>
      <c r="BK198" s="646"/>
      <c r="BL198" s="646"/>
      <c r="BM198" s="646"/>
      <c r="BN198" s="646"/>
      <c r="BO198" s="646"/>
      <c r="BP198" s="646"/>
      <c r="BQ198" s="646"/>
      <c r="BR198" s="645"/>
      <c r="BS198" s="645"/>
      <c r="BT198" s="645"/>
      <c r="BU198" s="645"/>
      <c r="BV198" s="646"/>
      <c r="BW198" s="647"/>
      <c r="BX198" s="647"/>
      <c r="BY198" s="647"/>
      <c r="BZ198" s="647"/>
      <c r="CA198" s="647"/>
      <c r="CB198" s="647"/>
      <c r="CC198" s="647"/>
      <c r="CD198" s="647"/>
      <c r="CE198" s="647"/>
      <c r="CF198" s="647"/>
      <c r="CG198" s="647"/>
      <c r="CH198" s="647"/>
      <c r="CI198" s="647"/>
      <c r="FK198" s="714"/>
      <c r="FL198" s="714"/>
    </row>
    <row r="199" spans="4:168" s="640" customFormat="1" ht="15.75" customHeight="1">
      <c r="D199" s="641"/>
      <c r="G199" s="642"/>
      <c r="J199" s="642"/>
      <c r="K199" s="643"/>
      <c r="M199" s="644"/>
      <c r="N199" s="642"/>
      <c r="Q199" s="642"/>
      <c r="T199" s="642"/>
      <c r="U199" s="643"/>
      <c r="X199" s="645"/>
      <c r="Y199" s="646"/>
      <c r="Z199" s="673"/>
      <c r="AA199" s="646"/>
      <c r="AB199" s="646"/>
      <c r="AC199" s="646"/>
      <c r="AD199" s="646"/>
      <c r="AE199" s="646"/>
      <c r="AF199" s="646"/>
      <c r="AG199" s="646"/>
      <c r="AH199" s="646"/>
      <c r="AI199" s="646"/>
      <c r="AJ199" s="646"/>
      <c r="AK199" s="646"/>
      <c r="AL199" s="646"/>
      <c r="AM199" s="646"/>
      <c r="AN199" s="646"/>
      <c r="AO199" s="646"/>
      <c r="AP199" s="646"/>
      <c r="AQ199" s="646"/>
      <c r="AR199" s="646"/>
      <c r="AS199" s="646"/>
      <c r="AT199" s="646"/>
      <c r="AU199" s="646"/>
      <c r="AV199" s="646"/>
      <c r="AW199" s="646"/>
      <c r="AX199" s="646"/>
      <c r="AY199" s="646"/>
      <c r="AZ199" s="646"/>
      <c r="BA199" s="646"/>
      <c r="BB199" s="646"/>
      <c r="BC199" s="646"/>
      <c r="BD199" s="646"/>
      <c r="BE199" s="646"/>
      <c r="BF199" s="646"/>
      <c r="BG199" s="646"/>
      <c r="BH199" s="646"/>
      <c r="BI199" s="646"/>
      <c r="BJ199" s="646"/>
      <c r="BK199" s="646"/>
      <c r="BL199" s="646"/>
      <c r="BM199" s="646"/>
      <c r="BN199" s="646"/>
      <c r="BO199" s="646"/>
      <c r="BP199" s="646"/>
      <c r="BQ199" s="646"/>
      <c r="BR199" s="645"/>
      <c r="BS199" s="645"/>
      <c r="BT199" s="645"/>
      <c r="BU199" s="645"/>
      <c r="BV199" s="646"/>
      <c r="BW199" s="647"/>
      <c r="BX199" s="647"/>
      <c r="BY199" s="647"/>
      <c r="BZ199" s="647"/>
      <c r="CA199" s="647"/>
      <c r="CB199" s="647"/>
      <c r="CC199" s="647"/>
      <c r="CD199" s="647"/>
      <c r="CE199" s="647"/>
      <c r="CF199" s="647"/>
      <c r="CG199" s="647"/>
      <c r="CH199" s="647"/>
      <c r="CI199" s="647"/>
      <c r="FK199" s="714"/>
      <c r="FL199" s="714"/>
    </row>
    <row r="200" spans="4:168" s="640" customFormat="1" ht="15.75" customHeight="1">
      <c r="D200" s="641"/>
      <c r="G200" s="642"/>
      <c r="J200" s="642"/>
      <c r="K200" s="643"/>
      <c r="M200" s="644"/>
      <c r="N200" s="642"/>
      <c r="Q200" s="642"/>
      <c r="T200" s="642"/>
      <c r="U200" s="643"/>
      <c r="X200" s="645"/>
      <c r="Y200" s="646"/>
      <c r="Z200" s="673"/>
      <c r="AA200" s="646"/>
      <c r="AB200" s="646"/>
      <c r="AC200" s="646"/>
      <c r="AD200" s="646"/>
      <c r="AE200" s="646"/>
      <c r="AF200" s="646"/>
      <c r="AG200" s="646"/>
      <c r="AH200" s="646"/>
      <c r="AI200" s="646"/>
      <c r="AJ200" s="646"/>
      <c r="AK200" s="646"/>
      <c r="AL200" s="646"/>
      <c r="AM200" s="646"/>
      <c r="AN200" s="646"/>
      <c r="AO200" s="646"/>
      <c r="AP200" s="646"/>
      <c r="AQ200" s="646"/>
      <c r="AR200" s="646"/>
      <c r="AS200" s="646"/>
      <c r="AT200" s="646"/>
      <c r="AU200" s="646"/>
      <c r="AV200" s="646"/>
      <c r="AW200" s="646"/>
      <c r="AX200" s="646"/>
      <c r="AY200" s="646"/>
      <c r="AZ200" s="646"/>
      <c r="BA200" s="646"/>
      <c r="BB200" s="646"/>
      <c r="BC200" s="646"/>
      <c r="BD200" s="646"/>
      <c r="BE200" s="646"/>
      <c r="BF200" s="646"/>
      <c r="BG200" s="646"/>
      <c r="BH200" s="646"/>
      <c r="BI200" s="646"/>
      <c r="BJ200" s="646"/>
      <c r="BK200" s="646"/>
      <c r="BL200" s="646"/>
      <c r="BM200" s="646"/>
      <c r="BN200" s="646"/>
      <c r="BO200" s="646"/>
      <c r="BP200" s="646"/>
      <c r="BQ200" s="646"/>
      <c r="BR200" s="645"/>
      <c r="BS200" s="645"/>
      <c r="BT200" s="645"/>
      <c r="BU200" s="645"/>
      <c r="BV200" s="646"/>
      <c r="BW200" s="647"/>
      <c r="BX200" s="647"/>
      <c r="BY200" s="647"/>
      <c r="BZ200" s="647"/>
      <c r="CA200" s="647"/>
      <c r="CB200" s="647"/>
      <c r="CC200" s="647"/>
      <c r="CD200" s="647"/>
      <c r="CE200" s="647"/>
      <c r="CF200" s="647"/>
      <c r="CG200" s="647"/>
      <c r="CH200" s="647"/>
      <c r="CI200" s="647"/>
      <c r="FK200" s="714"/>
      <c r="FL200" s="714"/>
    </row>
    <row r="201" spans="4:168" s="640" customFormat="1" ht="15.75" customHeight="1">
      <c r="D201" s="641"/>
      <c r="G201" s="642"/>
      <c r="J201" s="642"/>
      <c r="K201" s="643"/>
      <c r="M201" s="644"/>
      <c r="N201" s="642"/>
      <c r="Q201" s="642"/>
      <c r="T201" s="642"/>
      <c r="U201" s="643"/>
      <c r="X201" s="645"/>
      <c r="Y201" s="646"/>
      <c r="Z201" s="673"/>
      <c r="AA201" s="646"/>
      <c r="AB201" s="646"/>
      <c r="AC201" s="646"/>
      <c r="AD201" s="646"/>
      <c r="AE201" s="646"/>
      <c r="AF201" s="646"/>
      <c r="AG201" s="646"/>
      <c r="AH201" s="646"/>
      <c r="AI201" s="646"/>
      <c r="AJ201" s="646"/>
      <c r="AK201" s="646"/>
      <c r="AL201" s="646"/>
      <c r="AM201" s="646"/>
      <c r="AN201" s="646"/>
      <c r="AO201" s="646"/>
      <c r="AP201" s="646"/>
      <c r="AQ201" s="646"/>
      <c r="AR201" s="646"/>
      <c r="AS201" s="646"/>
      <c r="AT201" s="646"/>
      <c r="AU201" s="646"/>
      <c r="AV201" s="646"/>
      <c r="AW201" s="646"/>
      <c r="AX201" s="646"/>
      <c r="AY201" s="646"/>
      <c r="AZ201" s="646"/>
      <c r="BA201" s="646"/>
      <c r="BB201" s="646"/>
      <c r="BC201" s="646"/>
      <c r="BD201" s="646"/>
      <c r="BE201" s="646"/>
      <c r="BF201" s="646"/>
      <c r="BG201" s="646"/>
      <c r="BH201" s="646"/>
      <c r="BI201" s="646"/>
      <c r="BJ201" s="646"/>
      <c r="BK201" s="646"/>
      <c r="BL201" s="646"/>
      <c r="BM201" s="646"/>
      <c r="BN201" s="646"/>
      <c r="BO201" s="646"/>
      <c r="BP201" s="646"/>
      <c r="BQ201" s="646"/>
      <c r="BR201" s="645"/>
      <c r="BS201" s="645"/>
      <c r="BT201" s="645"/>
      <c r="BU201" s="645"/>
      <c r="BV201" s="646"/>
      <c r="BW201" s="647"/>
      <c r="BX201" s="647"/>
      <c r="BY201" s="647"/>
      <c r="BZ201" s="647"/>
      <c r="CA201" s="647"/>
      <c r="CB201" s="647"/>
      <c r="CC201" s="647"/>
      <c r="CD201" s="647"/>
      <c r="CE201" s="647"/>
      <c r="CF201" s="647"/>
      <c r="CG201" s="647"/>
      <c r="CH201" s="647"/>
      <c r="CI201" s="647"/>
      <c r="FK201" s="714"/>
      <c r="FL201" s="714"/>
    </row>
    <row r="202" spans="4:168" s="640" customFormat="1" ht="15.75" customHeight="1">
      <c r="D202" s="641"/>
      <c r="G202" s="642"/>
      <c r="J202" s="642"/>
      <c r="K202" s="643"/>
      <c r="M202" s="644"/>
      <c r="N202" s="642"/>
      <c r="Q202" s="642"/>
      <c r="T202" s="642"/>
      <c r="U202" s="643"/>
      <c r="X202" s="645"/>
      <c r="Y202" s="646"/>
      <c r="Z202" s="673"/>
      <c r="AA202" s="646"/>
      <c r="AB202" s="646"/>
      <c r="AC202" s="646"/>
      <c r="AD202" s="646"/>
      <c r="AE202" s="646"/>
      <c r="AF202" s="646"/>
      <c r="AG202" s="646"/>
      <c r="AH202" s="646"/>
      <c r="AI202" s="646"/>
      <c r="AJ202" s="646"/>
      <c r="AK202" s="646"/>
      <c r="AL202" s="646"/>
      <c r="AM202" s="646"/>
      <c r="AN202" s="646"/>
      <c r="AO202" s="646"/>
      <c r="AP202" s="646"/>
      <c r="AQ202" s="646"/>
      <c r="AR202" s="646"/>
      <c r="AS202" s="646"/>
      <c r="AT202" s="646"/>
      <c r="AU202" s="646"/>
      <c r="AV202" s="646"/>
      <c r="AW202" s="646"/>
      <c r="AX202" s="646"/>
      <c r="AY202" s="646"/>
      <c r="AZ202" s="646"/>
      <c r="BA202" s="646"/>
      <c r="BB202" s="646"/>
      <c r="BC202" s="646"/>
      <c r="BD202" s="646"/>
      <c r="BE202" s="646"/>
      <c r="BF202" s="646"/>
      <c r="BG202" s="646"/>
      <c r="BH202" s="646"/>
      <c r="BI202" s="646"/>
      <c r="BJ202" s="646"/>
      <c r="BK202" s="646"/>
      <c r="BL202" s="646"/>
      <c r="BM202" s="646"/>
      <c r="BN202" s="646"/>
      <c r="BO202" s="646"/>
      <c r="BP202" s="646"/>
      <c r="BQ202" s="646"/>
      <c r="BR202" s="645"/>
      <c r="BS202" s="645"/>
      <c r="BT202" s="645"/>
      <c r="BU202" s="645"/>
      <c r="BV202" s="646"/>
      <c r="BW202" s="647"/>
      <c r="BX202" s="647"/>
      <c r="BY202" s="647"/>
      <c r="BZ202" s="647"/>
      <c r="CA202" s="647"/>
      <c r="CB202" s="647"/>
      <c r="CC202" s="647"/>
      <c r="CD202" s="647"/>
      <c r="CE202" s="647"/>
      <c r="CF202" s="647"/>
      <c r="CG202" s="647"/>
      <c r="CH202" s="647"/>
      <c r="CI202" s="647"/>
      <c r="FK202" s="714"/>
      <c r="FL202" s="714"/>
    </row>
    <row r="203" spans="4:168" s="640" customFormat="1" ht="15.75" customHeight="1">
      <c r="D203" s="641"/>
      <c r="G203" s="642"/>
      <c r="J203" s="642"/>
      <c r="K203" s="643"/>
      <c r="M203" s="644"/>
      <c r="N203" s="642"/>
      <c r="Q203" s="642"/>
      <c r="T203" s="642"/>
      <c r="U203" s="643"/>
      <c r="X203" s="645"/>
      <c r="Y203" s="646"/>
      <c r="Z203" s="673"/>
      <c r="AA203" s="646"/>
      <c r="AB203" s="646"/>
      <c r="AC203" s="646"/>
      <c r="AD203" s="646"/>
      <c r="AE203" s="646"/>
      <c r="AF203" s="646"/>
      <c r="AG203" s="646"/>
      <c r="AH203" s="646"/>
      <c r="AI203" s="646"/>
      <c r="AJ203" s="646"/>
      <c r="AK203" s="646"/>
      <c r="AL203" s="646"/>
      <c r="AM203" s="646"/>
      <c r="AN203" s="646"/>
      <c r="AO203" s="646"/>
      <c r="AP203" s="646"/>
      <c r="AQ203" s="646"/>
      <c r="AR203" s="646"/>
      <c r="AS203" s="646"/>
      <c r="AT203" s="646"/>
      <c r="AU203" s="646"/>
      <c r="AV203" s="646"/>
      <c r="AW203" s="646"/>
      <c r="AX203" s="646"/>
      <c r="AY203" s="646"/>
      <c r="AZ203" s="646"/>
      <c r="BA203" s="646"/>
      <c r="BB203" s="646"/>
      <c r="BC203" s="646"/>
      <c r="BD203" s="646"/>
      <c r="BE203" s="646"/>
      <c r="BF203" s="646"/>
      <c r="BG203" s="646"/>
      <c r="BH203" s="646"/>
      <c r="BI203" s="646"/>
      <c r="BJ203" s="646"/>
      <c r="BK203" s="646"/>
      <c r="BL203" s="646"/>
      <c r="BM203" s="646"/>
      <c r="BN203" s="646"/>
      <c r="BO203" s="646"/>
      <c r="BP203" s="646"/>
      <c r="BQ203" s="646"/>
      <c r="BR203" s="645"/>
      <c r="BS203" s="645"/>
      <c r="BT203" s="645"/>
      <c r="BU203" s="645"/>
      <c r="BV203" s="646"/>
      <c r="BW203" s="647"/>
      <c r="BX203" s="647"/>
      <c r="BY203" s="647"/>
      <c r="BZ203" s="647"/>
      <c r="CA203" s="647"/>
      <c r="CB203" s="647"/>
      <c r="CC203" s="647"/>
      <c r="CD203" s="647"/>
      <c r="CE203" s="647"/>
      <c r="CF203" s="647"/>
      <c r="CG203" s="647"/>
      <c r="CH203" s="647"/>
      <c r="CI203" s="647"/>
      <c r="FK203" s="714"/>
      <c r="FL203" s="714"/>
    </row>
    <row r="204" spans="4:168" s="640" customFormat="1" ht="15.75" customHeight="1">
      <c r="D204" s="641"/>
      <c r="G204" s="642"/>
      <c r="J204" s="642"/>
      <c r="K204" s="643"/>
      <c r="M204" s="644"/>
      <c r="N204" s="642"/>
      <c r="Q204" s="642"/>
      <c r="T204" s="642"/>
      <c r="U204" s="643"/>
      <c r="X204" s="645"/>
      <c r="Y204" s="646"/>
      <c r="Z204" s="673"/>
      <c r="AA204" s="646"/>
      <c r="AB204" s="646"/>
      <c r="AC204" s="646"/>
      <c r="AD204" s="646"/>
      <c r="AE204" s="646"/>
      <c r="AF204" s="646"/>
      <c r="AG204" s="646"/>
      <c r="AH204" s="646"/>
      <c r="AI204" s="646"/>
      <c r="AJ204" s="646"/>
      <c r="AK204" s="646"/>
      <c r="AL204" s="646"/>
      <c r="AM204" s="646"/>
      <c r="AN204" s="646"/>
      <c r="AO204" s="646"/>
      <c r="AP204" s="646"/>
      <c r="AQ204" s="646"/>
      <c r="AR204" s="646"/>
      <c r="AS204" s="646"/>
      <c r="AT204" s="646"/>
      <c r="AU204" s="646"/>
      <c r="AV204" s="646"/>
      <c r="AW204" s="646"/>
      <c r="AX204" s="646"/>
      <c r="AY204" s="646"/>
      <c r="AZ204" s="646"/>
      <c r="BA204" s="646"/>
      <c r="BB204" s="646"/>
      <c r="BC204" s="646"/>
      <c r="BD204" s="646"/>
      <c r="BE204" s="646"/>
      <c r="BF204" s="646"/>
      <c r="BG204" s="646"/>
      <c r="BH204" s="646"/>
      <c r="BI204" s="646"/>
      <c r="BJ204" s="646"/>
      <c r="BK204" s="646"/>
      <c r="BL204" s="646"/>
      <c r="BM204" s="646"/>
      <c r="BN204" s="646"/>
      <c r="BO204" s="646"/>
      <c r="BP204" s="646"/>
      <c r="BQ204" s="646"/>
      <c r="BR204" s="645"/>
      <c r="BS204" s="645"/>
      <c r="BT204" s="645"/>
      <c r="BU204" s="645"/>
      <c r="BV204" s="646"/>
      <c r="BW204" s="647"/>
      <c r="BX204" s="647"/>
      <c r="BY204" s="647"/>
      <c r="BZ204" s="647"/>
      <c r="CA204" s="647"/>
      <c r="CB204" s="647"/>
      <c r="CC204" s="647"/>
      <c r="CD204" s="647"/>
      <c r="CE204" s="647"/>
      <c r="CF204" s="647"/>
      <c r="CG204" s="647"/>
      <c r="CH204" s="647"/>
      <c r="CI204" s="647"/>
      <c r="FK204" s="714"/>
      <c r="FL204" s="714"/>
    </row>
    <row r="205" spans="4:168" s="640" customFormat="1" ht="15.75" customHeight="1">
      <c r="D205" s="641"/>
      <c r="G205" s="642"/>
      <c r="J205" s="642"/>
      <c r="K205" s="643"/>
      <c r="M205" s="644"/>
      <c r="N205" s="642"/>
      <c r="Q205" s="642"/>
      <c r="T205" s="642"/>
      <c r="U205" s="643"/>
      <c r="X205" s="645"/>
      <c r="Y205" s="646"/>
      <c r="Z205" s="673"/>
      <c r="AA205" s="646"/>
      <c r="AB205" s="646"/>
      <c r="AC205" s="646"/>
      <c r="AD205" s="646"/>
      <c r="AE205" s="646"/>
      <c r="AF205" s="646"/>
      <c r="AG205" s="646"/>
      <c r="AH205" s="646"/>
      <c r="AI205" s="646"/>
      <c r="AJ205" s="646"/>
      <c r="AK205" s="646"/>
      <c r="AL205" s="646"/>
      <c r="AM205" s="646"/>
      <c r="AN205" s="646"/>
      <c r="AO205" s="646"/>
      <c r="AP205" s="646"/>
      <c r="AQ205" s="646"/>
      <c r="AR205" s="646"/>
      <c r="AS205" s="646"/>
      <c r="AT205" s="646"/>
      <c r="AU205" s="646"/>
      <c r="AV205" s="646"/>
      <c r="AW205" s="646"/>
      <c r="AX205" s="646"/>
      <c r="AY205" s="646"/>
      <c r="AZ205" s="646"/>
      <c r="BA205" s="646"/>
      <c r="BB205" s="646"/>
      <c r="BC205" s="646"/>
      <c r="BD205" s="646"/>
      <c r="BE205" s="646"/>
      <c r="BF205" s="646"/>
      <c r="BG205" s="646"/>
      <c r="BH205" s="646"/>
      <c r="BI205" s="646"/>
      <c r="BJ205" s="646"/>
      <c r="BK205" s="646"/>
      <c r="BL205" s="646"/>
      <c r="BM205" s="646"/>
      <c r="BN205" s="646"/>
      <c r="BO205" s="646"/>
      <c r="BP205" s="646"/>
      <c r="BQ205" s="646"/>
      <c r="BR205" s="645"/>
      <c r="BS205" s="645"/>
      <c r="BT205" s="645"/>
      <c r="BU205" s="645"/>
      <c r="BV205" s="646"/>
      <c r="BW205" s="647"/>
      <c r="BX205" s="647"/>
      <c r="BY205" s="647"/>
      <c r="BZ205" s="647"/>
      <c r="CA205" s="647"/>
      <c r="CB205" s="647"/>
      <c r="CC205" s="647"/>
      <c r="CD205" s="647"/>
      <c r="CE205" s="647"/>
      <c r="CF205" s="647"/>
      <c r="CG205" s="647"/>
      <c r="CH205" s="647"/>
      <c r="CI205" s="647"/>
      <c r="FK205" s="714"/>
      <c r="FL205" s="714"/>
    </row>
    <row r="206" spans="4:168" s="640" customFormat="1" ht="15.75" customHeight="1">
      <c r="D206" s="641"/>
      <c r="G206" s="642"/>
      <c r="J206" s="642"/>
      <c r="K206" s="643"/>
      <c r="M206" s="644"/>
      <c r="N206" s="642"/>
      <c r="Q206" s="642"/>
      <c r="T206" s="642"/>
      <c r="U206" s="643"/>
      <c r="X206" s="645"/>
      <c r="Y206" s="646"/>
      <c r="Z206" s="673"/>
      <c r="AA206" s="646"/>
      <c r="AB206" s="646"/>
      <c r="AC206" s="646"/>
      <c r="AD206" s="646"/>
      <c r="AE206" s="646"/>
      <c r="AF206" s="646"/>
      <c r="AG206" s="646"/>
      <c r="AH206" s="646"/>
      <c r="AI206" s="646"/>
      <c r="AJ206" s="646"/>
      <c r="AK206" s="646"/>
      <c r="AL206" s="646"/>
      <c r="AM206" s="646"/>
      <c r="AN206" s="646"/>
      <c r="AO206" s="646"/>
      <c r="AP206" s="646"/>
      <c r="AQ206" s="646"/>
      <c r="AR206" s="646"/>
      <c r="AS206" s="646"/>
      <c r="AT206" s="646"/>
      <c r="AU206" s="646"/>
      <c r="AV206" s="646"/>
      <c r="AW206" s="646"/>
      <c r="AX206" s="646"/>
      <c r="AY206" s="646"/>
      <c r="AZ206" s="646"/>
      <c r="BA206" s="646"/>
      <c r="BB206" s="646"/>
      <c r="BC206" s="646"/>
      <c r="BD206" s="646"/>
      <c r="BE206" s="646"/>
      <c r="BF206" s="646"/>
      <c r="BG206" s="646"/>
      <c r="BH206" s="646"/>
      <c r="BI206" s="646"/>
      <c r="BJ206" s="646"/>
      <c r="BK206" s="646"/>
      <c r="BL206" s="646"/>
      <c r="BM206" s="646"/>
      <c r="BN206" s="646"/>
      <c r="BO206" s="646"/>
      <c r="BP206" s="646"/>
      <c r="BQ206" s="646"/>
      <c r="BR206" s="645"/>
      <c r="BS206" s="645"/>
      <c r="BT206" s="645"/>
      <c r="BU206" s="645"/>
      <c r="BV206" s="646"/>
      <c r="BW206" s="647"/>
      <c r="BX206" s="647"/>
      <c r="BY206" s="647"/>
      <c r="BZ206" s="647"/>
      <c r="CA206" s="647"/>
      <c r="CB206" s="647"/>
      <c r="CC206" s="647"/>
      <c r="CD206" s="647"/>
      <c r="CE206" s="647"/>
      <c r="CF206" s="647"/>
      <c r="CG206" s="647"/>
      <c r="CH206" s="647"/>
      <c r="CI206" s="647"/>
      <c r="FK206" s="714"/>
      <c r="FL206" s="714"/>
    </row>
    <row r="207" spans="4:168" s="640" customFormat="1" ht="15.75" customHeight="1">
      <c r="D207" s="641"/>
      <c r="G207" s="642"/>
      <c r="J207" s="642"/>
      <c r="K207" s="643"/>
      <c r="M207" s="644"/>
      <c r="N207" s="642"/>
      <c r="Q207" s="642"/>
      <c r="T207" s="642"/>
      <c r="U207" s="643"/>
      <c r="X207" s="645"/>
      <c r="Y207" s="646"/>
      <c r="Z207" s="673"/>
      <c r="AA207" s="646"/>
      <c r="AB207" s="646"/>
      <c r="AC207" s="646"/>
      <c r="AD207" s="646"/>
      <c r="AE207" s="646"/>
      <c r="AF207" s="646"/>
      <c r="AG207" s="646"/>
      <c r="AH207" s="646"/>
      <c r="AI207" s="646"/>
      <c r="AJ207" s="646"/>
      <c r="AK207" s="646"/>
      <c r="AL207" s="646"/>
      <c r="AM207" s="646"/>
      <c r="AN207" s="646"/>
      <c r="AO207" s="646"/>
      <c r="AP207" s="646"/>
      <c r="AQ207" s="646"/>
      <c r="AR207" s="646"/>
      <c r="AS207" s="646"/>
      <c r="AT207" s="646"/>
      <c r="AU207" s="646"/>
      <c r="AV207" s="646"/>
      <c r="AW207" s="646"/>
      <c r="AX207" s="646"/>
      <c r="AY207" s="646"/>
      <c r="AZ207" s="646"/>
      <c r="BA207" s="646"/>
      <c r="BB207" s="646"/>
      <c r="BC207" s="646"/>
      <c r="BD207" s="646"/>
      <c r="BE207" s="646"/>
      <c r="BF207" s="646"/>
      <c r="BG207" s="646"/>
      <c r="BH207" s="646"/>
      <c r="BI207" s="646"/>
      <c r="BJ207" s="646"/>
      <c r="BK207" s="646"/>
      <c r="BL207" s="646"/>
      <c r="BM207" s="646"/>
      <c r="BN207" s="646"/>
      <c r="BO207" s="646"/>
      <c r="BP207" s="646"/>
      <c r="BQ207" s="646"/>
      <c r="BR207" s="645"/>
      <c r="BS207" s="645"/>
      <c r="BT207" s="645"/>
      <c r="BU207" s="645"/>
      <c r="BV207" s="646"/>
      <c r="BW207" s="647"/>
      <c r="BX207" s="647"/>
      <c r="BY207" s="647"/>
      <c r="BZ207" s="647"/>
      <c r="CA207" s="647"/>
      <c r="CB207" s="647"/>
      <c r="CC207" s="647"/>
      <c r="CD207" s="647"/>
      <c r="CE207" s="647"/>
      <c r="CF207" s="647"/>
      <c r="CG207" s="647"/>
      <c r="CH207" s="647"/>
      <c r="CI207" s="647"/>
      <c r="FK207" s="714"/>
      <c r="FL207" s="714"/>
    </row>
    <row r="208" spans="4:168" s="640" customFormat="1" ht="15.75" customHeight="1">
      <c r="D208" s="641"/>
      <c r="G208" s="642"/>
      <c r="J208" s="642"/>
      <c r="K208" s="643"/>
      <c r="M208" s="644"/>
      <c r="N208" s="642"/>
      <c r="Q208" s="642"/>
      <c r="T208" s="642"/>
      <c r="U208" s="643"/>
      <c r="X208" s="645"/>
      <c r="Y208" s="646"/>
      <c r="Z208" s="673"/>
      <c r="AA208" s="646"/>
      <c r="AB208" s="646"/>
      <c r="AC208" s="646"/>
      <c r="AD208" s="646"/>
      <c r="AE208" s="646"/>
      <c r="AF208" s="646"/>
      <c r="AG208" s="646"/>
      <c r="AH208" s="646"/>
      <c r="AI208" s="646"/>
      <c r="AJ208" s="646"/>
      <c r="AK208" s="646"/>
      <c r="AL208" s="646"/>
      <c r="AM208" s="646"/>
      <c r="AN208" s="646"/>
      <c r="AO208" s="646"/>
      <c r="AP208" s="646"/>
      <c r="AQ208" s="646"/>
      <c r="AR208" s="646"/>
      <c r="AS208" s="646"/>
      <c r="AT208" s="646"/>
      <c r="AU208" s="646"/>
      <c r="AV208" s="646"/>
      <c r="AW208" s="646"/>
      <c r="AX208" s="646"/>
      <c r="AY208" s="646"/>
      <c r="AZ208" s="646"/>
      <c r="BA208" s="646"/>
      <c r="BB208" s="646"/>
      <c r="BC208" s="646"/>
      <c r="BD208" s="646"/>
      <c r="BE208" s="646"/>
      <c r="BF208" s="646"/>
      <c r="BG208" s="646"/>
      <c r="BH208" s="646"/>
      <c r="BI208" s="646"/>
      <c r="BJ208" s="646"/>
      <c r="BK208" s="646"/>
      <c r="BL208" s="646"/>
      <c r="BM208" s="646"/>
      <c r="BN208" s="646"/>
      <c r="BO208" s="646"/>
      <c r="BP208" s="646"/>
      <c r="BQ208" s="646"/>
      <c r="BR208" s="645"/>
      <c r="BS208" s="645"/>
      <c r="BT208" s="645"/>
      <c r="BU208" s="645"/>
      <c r="BV208" s="646"/>
      <c r="BW208" s="647"/>
      <c r="BX208" s="647"/>
      <c r="BY208" s="647"/>
      <c r="BZ208" s="647"/>
      <c r="CA208" s="647"/>
      <c r="CB208" s="647"/>
      <c r="CC208" s="647"/>
      <c r="CD208" s="647"/>
      <c r="CE208" s="647"/>
      <c r="CF208" s="647"/>
      <c r="CG208" s="647"/>
      <c r="CH208" s="647"/>
      <c r="CI208" s="647"/>
      <c r="FK208" s="714"/>
      <c r="FL208" s="714"/>
    </row>
    <row r="209" spans="4:168" s="640" customFormat="1" ht="15.75" customHeight="1">
      <c r="D209" s="641"/>
      <c r="G209" s="642"/>
      <c r="J209" s="642"/>
      <c r="K209" s="643"/>
      <c r="M209" s="644"/>
      <c r="N209" s="642"/>
      <c r="Q209" s="642"/>
      <c r="T209" s="642"/>
      <c r="U209" s="643"/>
      <c r="X209" s="645"/>
      <c r="Y209" s="646"/>
      <c r="Z209" s="673"/>
      <c r="AA209" s="646"/>
      <c r="AB209" s="646"/>
      <c r="AC209" s="646"/>
      <c r="AD209" s="646"/>
      <c r="AE209" s="646"/>
      <c r="AF209" s="646"/>
      <c r="AG209" s="646"/>
      <c r="AH209" s="646"/>
      <c r="AI209" s="646"/>
      <c r="AJ209" s="646"/>
      <c r="AK209" s="646"/>
      <c r="AL209" s="646"/>
      <c r="AM209" s="646"/>
      <c r="AN209" s="646"/>
      <c r="AO209" s="646"/>
      <c r="AP209" s="646"/>
      <c r="AQ209" s="646"/>
      <c r="AR209" s="646"/>
      <c r="AS209" s="646"/>
      <c r="AT209" s="646"/>
      <c r="AU209" s="646"/>
      <c r="AV209" s="646"/>
      <c r="AW209" s="646"/>
      <c r="AX209" s="646"/>
      <c r="AY209" s="646"/>
      <c r="AZ209" s="646"/>
      <c r="BA209" s="646"/>
      <c r="BB209" s="646"/>
      <c r="BC209" s="646"/>
      <c r="BD209" s="646"/>
      <c r="BE209" s="646"/>
      <c r="BF209" s="646"/>
      <c r="BG209" s="646"/>
      <c r="BH209" s="646"/>
      <c r="BI209" s="646"/>
      <c r="BJ209" s="646"/>
      <c r="BK209" s="646"/>
      <c r="BL209" s="646"/>
      <c r="BM209" s="646"/>
      <c r="BN209" s="646"/>
      <c r="BO209" s="646"/>
      <c r="BP209" s="646"/>
      <c r="BQ209" s="646"/>
      <c r="BR209" s="645"/>
      <c r="BS209" s="645"/>
      <c r="BT209" s="645"/>
      <c r="BU209" s="645"/>
      <c r="BV209" s="646"/>
      <c r="BW209" s="647"/>
      <c r="BX209" s="647"/>
      <c r="BY209" s="647"/>
      <c r="BZ209" s="647"/>
      <c r="CA209" s="647"/>
      <c r="CB209" s="647"/>
      <c r="CC209" s="647"/>
      <c r="CD209" s="647"/>
      <c r="CE209" s="647"/>
      <c r="CF209" s="647"/>
      <c r="CG209" s="647"/>
      <c r="CH209" s="647"/>
      <c r="CI209" s="647"/>
      <c r="FK209" s="714"/>
      <c r="FL209" s="714"/>
    </row>
    <row r="210" spans="4:168" s="640" customFormat="1" ht="15.75" customHeight="1">
      <c r="D210" s="641"/>
      <c r="G210" s="642"/>
      <c r="J210" s="642"/>
      <c r="K210" s="643"/>
      <c r="M210" s="644"/>
      <c r="N210" s="642"/>
      <c r="Q210" s="642"/>
      <c r="T210" s="642"/>
      <c r="U210" s="643"/>
      <c r="X210" s="645"/>
      <c r="Y210" s="646"/>
      <c r="Z210" s="673"/>
      <c r="AA210" s="646"/>
      <c r="AB210" s="646"/>
      <c r="AC210" s="646"/>
      <c r="AD210" s="646"/>
      <c r="AE210" s="646"/>
      <c r="AF210" s="646"/>
      <c r="AG210" s="646"/>
      <c r="AH210" s="646"/>
      <c r="AI210" s="646"/>
      <c r="AJ210" s="646"/>
      <c r="AK210" s="646"/>
      <c r="AL210" s="646"/>
      <c r="AM210" s="646"/>
      <c r="AN210" s="646"/>
      <c r="AO210" s="646"/>
      <c r="AP210" s="646"/>
      <c r="AQ210" s="646"/>
      <c r="AR210" s="646"/>
      <c r="AS210" s="646"/>
      <c r="AT210" s="646"/>
      <c r="AU210" s="646"/>
      <c r="AV210" s="646"/>
      <c r="AW210" s="646"/>
      <c r="AX210" s="646"/>
      <c r="AY210" s="646"/>
      <c r="AZ210" s="646"/>
      <c r="BA210" s="646"/>
      <c r="BB210" s="646"/>
      <c r="BC210" s="646"/>
      <c r="BD210" s="646"/>
      <c r="BE210" s="646"/>
      <c r="BF210" s="646"/>
      <c r="BG210" s="646"/>
      <c r="BH210" s="646"/>
      <c r="BI210" s="646"/>
      <c r="BJ210" s="646"/>
      <c r="BK210" s="646"/>
      <c r="BL210" s="646"/>
      <c r="BM210" s="646"/>
      <c r="BN210" s="646"/>
      <c r="BO210" s="646"/>
      <c r="BP210" s="646"/>
      <c r="BQ210" s="646"/>
      <c r="BR210" s="645"/>
      <c r="BS210" s="645"/>
      <c r="BT210" s="645"/>
      <c r="BU210" s="645"/>
      <c r="BV210" s="646"/>
      <c r="BW210" s="647"/>
      <c r="BX210" s="647"/>
      <c r="BY210" s="647"/>
      <c r="BZ210" s="647"/>
      <c r="CA210" s="647"/>
      <c r="CB210" s="647"/>
      <c r="CC210" s="647"/>
      <c r="CD210" s="647"/>
      <c r="CE210" s="647"/>
      <c r="CF210" s="647"/>
      <c r="CG210" s="647"/>
      <c r="CH210" s="647"/>
      <c r="CI210" s="647"/>
      <c r="FK210" s="714"/>
      <c r="FL210" s="714"/>
    </row>
    <row r="211" spans="4:168" s="640" customFormat="1" ht="15.75" customHeight="1">
      <c r="D211" s="641"/>
      <c r="G211" s="642"/>
      <c r="J211" s="642"/>
      <c r="K211" s="643"/>
      <c r="M211" s="644"/>
      <c r="N211" s="642"/>
      <c r="Q211" s="642"/>
      <c r="T211" s="642"/>
      <c r="U211" s="643"/>
      <c r="X211" s="645"/>
      <c r="Y211" s="646"/>
      <c r="Z211" s="673"/>
      <c r="AA211" s="646"/>
      <c r="AB211" s="646"/>
      <c r="AC211" s="646"/>
      <c r="AD211" s="646"/>
      <c r="AE211" s="646"/>
      <c r="AF211" s="646"/>
      <c r="AG211" s="646"/>
      <c r="AH211" s="646"/>
      <c r="AI211" s="646"/>
      <c r="AJ211" s="646"/>
      <c r="AK211" s="646"/>
      <c r="AL211" s="646"/>
      <c r="AM211" s="646"/>
      <c r="AN211" s="646"/>
      <c r="AO211" s="646"/>
      <c r="AP211" s="646"/>
      <c r="AQ211" s="646"/>
      <c r="AR211" s="646"/>
      <c r="AS211" s="646"/>
      <c r="AT211" s="646"/>
      <c r="AU211" s="646"/>
      <c r="AV211" s="646"/>
      <c r="AW211" s="646"/>
      <c r="AX211" s="646"/>
      <c r="AY211" s="646"/>
      <c r="AZ211" s="646"/>
      <c r="BA211" s="646"/>
      <c r="BB211" s="646"/>
      <c r="BC211" s="646"/>
      <c r="BD211" s="646"/>
      <c r="BE211" s="646"/>
      <c r="BF211" s="646"/>
      <c r="BG211" s="646"/>
      <c r="BH211" s="646"/>
      <c r="BI211" s="646"/>
      <c r="BJ211" s="646"/>
      <c r="BK211" s="646"/>
      <c r="BL211" s="646"/>
      <c r="BM211" s="646"/>
      <c r="BN211" s="646"/>
      <c r="BO211" s="646"/>
      <c r="BP211" s="646"/>
      <c r="BQ211" s="646"/>
      <c r="BR211" s="645"/>
      <c r="BS211" s="645"/>
      <c r="BT211" s="645"/>
      <c r="BU211" s="645"/>
      <c r="BV211" s="646"/>
      <c r="BW211" s="647"/>
      <c r="BX211" s="647"/>
      <c r="BY211" s="647"/>
      <c r="BZ211" s="647"/>
      <c r="CA211" s="647"/>
      <c r="CB211" s="647"/>
      <c r="CC211" s="647"/>
      <c r="CD211" s="647"/>
      <c r="CE211" s="647"/>
      <c r="CF211" s="647"/>
      <c r="CG211" s="647"/>
      <c r="CH211" s="647"/>
      <c r="CI211" s="647"/>
      <c r="FK211" s="714"/>
      <c r="FL211" s="714"/>
    </row>
    <row r="212" spans="4:168" s="640" customFormat="1" ht="15.75" customHeight="1">
      <c r="D212" s="641"/>
      <c r="G212" s="642"/>
      <c r="J212" s="642"/>
      <c r="K212" s="643"/>
      <c r="M212" s="644"/>
      <c r="N212" s="642"/>
      <c r="Q212" s="642"/>
      <c r="T212" s="642"/>
      <c r="U212" s="643"/>
      <c r="X212" s="645"/>
      <c r="Y212" s="646"/>
      <c r="Z212" s="673"/>
      <c r="AA212" s="646"/>
      <c r="AB212" s="646"/>
      <c r="AC212" s="646"/>
      <c r="AD212" s="646"/>
      <c r="AE212" s="646"/>
      <c r="AF212" s="646"/>
      <c r="AG212" s="646"/>
      <c r="AH212" s="646"/>
      <c r="AI212" s="646"/>
      <c r="AJ212" s="646"/>
      <c r="AK212" s="646"/>
      <c r="AL212" s="646"/>
      <c r="AM212" s="646"/>
      <c r="AN212" s="646"/>
      <c r="AO212" s="646"/>
      <c r="AP212" s="646"/>
      <c r="AQ212" s="646"/>
      <c r="AR212" s="646"/>
      <c r="AS212" s="646"/>
      <c r="AT212" s="646"/>
      <c r="AU212" s="646"/>
      <c r="AV212" s="646"/>
      <c r="AW212" s="646"/>
      <c r="AX212" s="646"/>
      <c r="AY212" s="646"/>
      <c r="AZ212" s="646"/>
      <c r="BA212" s="646"/>
      <c r="BB212" s="646"/>
      <c r="BC212" s="646"/>
      <c r="BD212" s="646"/>
      <c r="BE212" s="646"/>
      <c r="BF212" s="646"/>
      <c r="BG212" s="646"/>
      <c r="BH212" s="646"/>
      <c r="BI212" s="646"/>
      <c r="BJ212" s="646"/>
      <c r="BK212" s="646"/>
      <c r="BL212" s="646"/>
      <c r="BM212" s="646"/>
      <c r="BN212" s="646"/>
      <c r="BO212" s="646"/>
      <c r="BP212" s="646"/>
      <c r="BQ212" s="646"/>
      <c r="BR212" s="645"/>
      <c r="BS212" s="645"/>
      <c r="BT212" s="645"/>
      <c r="BU212" s="645"/>
      <c r="BV212" s="646"/>
      <c r="BW212" s="647"/>
      <c r="BX212" s="647"/>
      <c r="BY212" s="647"/>
      <c r="BZ212" s="647"/>
      <c r="CA212" s="647"/>
      <c r="CB212" s="647"/>
      <c r="CC212" s="647"/>
      <c r="CD212" s="647"/>
      <c r="CE212" s="647"/>
      <c r="CF212" s="647"/>
      <c r="CG212" s="647"/>
      <c r="CH212" s="647"/>
      <c r="CI212" s="647"/>
      <c r="FK212" s="714"/>
      <c r="FL212" s="714"/>
    </row>
    <row r="213" spans="4:168" s="640" customFormat="1" ht="15.75" customHeight="1">
      <c r="D213" s="641"/>
      <c r="G213" s="642"/>
      <c r="J213" s="642"/>
      <c r="K213" s="643"/>
      <c r="M213" s="644"/>
      <c r="N213" s="642"/>
      <c r="Q213" s="642"/>
      <c r="T213" s="642"/>
      <c r="U213" s="643"/>
      <c r="X213" s="645"/>
      <c r="Y213" s="646"/>
      <c r="Z213" s="673"/>
      <c r="AA213" s="646"/>
      <c r="AB213" s="646"/>
      <c r="AC213" s="646"/>
      <c r="AD213" s="646"/>
      <c r="AE213" s="646"/>
      <c r="AF213" s="646"/>
      <c r="AG213" s="646"/>
      <c r="AH213" s="646"/>
      <c r="AI213" s="646"/>
      <c r="AJ213" s="646"/>
      <c r="AK213" s="646"/>
      <c r="AL213" s="646"/>
      <c r="AM213" s="646"/>
      <c r="AN213" s="646"/>
      <c r="AO213" s="646"/>
      <c r="AP213" s="646"/>
      <c r="AQ213" s="646"/>
      <c r="AR213" s="646"/>
      <c r="AS213" s="646"/>
      <c r="AT213" s="646"/>
      <c r="AU213" s="646"/>
      <c r="AV213" s="646"/>
      <c r="AW213" s="646"/>
      <c r="AX213" s="646"/>
      <c r="AY213" s="646"/>
      <c r="AZ213" s="646"/>
      <c r="BA213" s="646"/>
      <c r="BB213" s="646"/>
      <c r="BC213" s="646"/>
      <c r="BD213" s="646"/>
      <c r="BE213" s="646"/>
      <c r="BF213" s="646"/>
      <c r="BG213" s="646"/>
      <c r="BH213" s="646"/>
      <c r="BI213" s="646"/>
      <c r="BJ213" s="646"/>
      <c r="BK213" s="646"/>
      <c r="BL213" s="646"/>
      <c r="BM213" s="646"/>
      <c r="BN213" s="646"/>
      <c r="BO213" s="646"/>
      <c r="BP213" s="646"/>
      <c r="BQ213" s="646"/>
      <c r="BR213" s="645"/>
      <c r="BS213" s="645"/>
      <c r="BT213" s="645"/>
      <c r="BU213" s="645"/>
      <c r="BV213" s="646"/>
      <c r="BW213" s="647"/>
      <c r="BX213" s="647"/>
      <c r="BY213" s="647"/>
      <c r="BZ213" s="647"/>
      <c r="CA213" s="647"/>
      <c r="CB213" s="647"/>
      <c r="CC213" s="647"/>
      <c r="CD213" s="647"/>
      <c r="CE213" s="647"/>
      <c r="CF213" s="647"/>
      <c r="CG213" s="647"/>
      <c r="CH213" s="647"/>
      <c r="CI213" s="647"/>
      <c r="FK213" s="714"/>
      <c r="FL213" s="714"/>
    </row>
    <row r="214" spans="4:168" s="640" customFormat="1" ht="15.75" customHeight="1">
      <c r="D214" s="641"/>
      <c r="G214" s="642"/>
      <c r="J214" s="642"/>
      <c r="K214" s="643"/>
      <c r="M214" s="644"/>
      <c r="N214" s="642"/>
      <c r="Q214" s="642"/>
      <c r="T214" s="642"/>
      <c r="U214" s="643"/>
      <c r="X214" s="645"/>
      <c r="Y214" s="646"/>
      <c r="Z214" s="673"/>
      <c r="AA214" s="646"/>
      <c r="AB214" s="646"/>
      <c r="AC214" s="646"/>
      <c r="AD214" s="646"/>
      <c r="AE214" s="646"/>
      <c r="AF214" s="646"/>
      <c r="AG214" s="646"/>
      <c r="AH214" s="646"/>
      <c r="AI214" s="646"/>
      <c r="AJ214" s="646"/>
      <c r="AK214" s="646"/>
      <c r="AL214" s="646"/>
      <c r="AM214" s="646"/>
      <c r="AN214" s="646"/>
      <c r="AO214" s="646"/>
      <c r="AP214" s="646"/>
      <c r="AQ214" s="646"/>
      <c r="AR214" s="646"/>
      <c r="AS214" s="646"/>
      <c r="AT214" s="646"/>
      <c r="AU214" s="646"/>
      <c r="AV214" s="646"/>
      <c r="AW214" s="646"/>
      <c r="AX214" s="646"/>
      <c r="AY214" s="646"/>
      <c r="AZ214" s="646"/>
      <c r="BA214" s="646"/>
      <c r="BB214" s="646"/>
      <c r="BC214" s="646"/>
      <c r="BD214" s="646"/>
      <c r="BE214" s="646"/>
      <c r="BF214" s="646"/>
      <c r="BG214" s="646"/>
      <c r="BH214" s="646"/>
      <c r="BI214" s="646"/>
      <c r="BJ214" s="646"/>
      <c r="BK214" s="646"/>
      <c r="BL214" s="646"/>
      <c r="BM214" s="646"/>
      <c r="BN214" s="646"/>
      <c r="BO214" s="646"/>
      <c r="BP214" s="646"/>
      <c r="BQ214" s="646"/>
      <c r="BR214" s="645"/>
      <c r="BS214" s="645"/>
      <c r="BT214" s="645"/>
      <c r="BU214" s="645"/>
      <c r="BV214" s="646"/>
      <c r="BW214" s="647"/>
      <c r="BX214" s="647"/>
      <c r="BY214" s="647"/>
      <c r="BZ214" s="647"/>
      <c r="CA214" s="647"/>
      <c r="CB214" s="647"/>
      <c r="CC214" s="647"/>
      <c r="CD214" s="647"/>
      <c r="CE214" s="647"/>
      <c r="CF214" s="647"/>
      <c r="CG214" s="647"/>
      <c r="CH214" s="647"/>
      <c r="CI214" s="647"/>
      <c r="FK214" s="714"/>
      <c r="FL214" s="714"/>
    </row>
    <row r="215" spans="4:168" s="640" customFormat="1" ht="15.75" customHeight="1">
      <c r="D215" s="641"/>
      <c r="G215" s="642"/>
      <c r="J215" s="642"/>
      <c r="K215" s="643"/>
      <c r="M215" s="644"/>
      <c r="N215" s="642"/>
      <c r="Q215" s="642"/>
      <c r="T215" s="642"/>
      <c r="U215" s="643"/>
      <c r="X215" s="645"/>
      <c r="Y215" s="646"/>
      <c r="Z215" s="673"/>
      <c r="AA215" s="646"/>
      <c r="AB215" s="646"/>
      <c r="AC215" s="646"/>
      <c r="AD215" s="646"/>
      <c r="AE215" s="646"/>
      <c r="AF215" s="646"/>
      <c r="AG215" s="646"/>
      <c r="AH215" s="646"/>
      <c r="AI215" s="646"/>
      <c r="AJ215" s="646"/>
      <c r="AK215" s="646"/>
      <c r="AL215" s="646"/>
      <c r="AM215" s="646"/>
      <c r="AN215" s="646"/>
      <c r="AO215" s="646"/>
      <c r="AP215" s="646"/>
      <c r="AQ215" s="646"/>
      <c r="AR215" s="646"/>
      <c r="AS215" s="646"/>
      <c r="AT215" s="646"/>
      <c r="AU215" s="646"/>
      <c r="AV215" s="646"/>
      <c r="AW215" s="646"/>
      <c r="AX215" s="646"/>
      <c r="AY215" s="646"/>
      <c r="AZ215" s="646"/>
      <c r="BA215" s="646"/>
      <c r="BB215" s="646"/>
      <c r="BC215" s="646"/>
      <c r="BD215" s="646"/>
      <c r="BE215" s="646"/>
      <c r="BF215" s="646"/>
      <c r="BG215" s="646"/>
      <c r="BH215" s="646"/>
      <c r="BI215" s="646"/>
      <c r="BJ215" s="646"/>
      <c r="BK215" s="646"/>
      <c r="BL215" s="646"/>
      <c r="BM215" s="646"/>
      <c r="BN215" s="646"/>
      <c r="BO215" s="646"/>
      <c r="BP215" s="646"/>
      <c r="BQ215" s="646"/>
      <c r="BR215" s="645"/>
      <c r="BS215" s="645"/>
      <c r="BT215" s="645"/>
      <c r="BU215" s="645"/>
      <c r="BV215" s="646"/>
      <c r="BW215" s="647"/>
      <c r="BX215" s="647"/>
      <c r="BY215" s="647"/>
      <c r="BZ215" s="647"/>
      <c r="CA215" s="647"/>
      <c r="CB215" s="647"/>
      <c r="CC215" s="647"/>
      <c r="CD215" s="647"/>
      <c r="CE215" s="647"/>
      <c r="CF215" s="647"/>
      <c r="CG215" s="647"/>
      <c r="CH215" s="647"/>
      <c r="CI215" s="647"/>
      <c r="FK215" s="714"/>
      <c r="FL215" s="714"/>
    </row>
    <row r="216" spans="4:168" s="640" customFormat="1" ht="15.75" customHeight="1">
      <c r="D216" s="641"/>
      <c r="G216" s="642"/>
      <c r="J216" s="642"/>
      <c r="K216" s="643"/>
      <c r="M216" s="644"/>
      <c r="N216" s="642"/>
      <c r="Q216" s="642"/>
      <c r="T216" s="642"/>
      <c r="U216" s="643"/>
      <c r="X216" s="645"/>
      <c r="Y216" s="646"/>
      <c r="Z216" s="673"/>
      <c r="AA216" s="646"/>
      <c r="AB216" s="646"/>
      <c r="AC216" s="646"/>
      <c r="AD216" s="646"/>
      <c r="AE216" s="646"/>
      <c r="AF216" s="646"/>
      <c r="AG216" s="646"/>
      <c r="AH216" s="646"/>
      <c r="AI216" s="646"/>
      <c r="AJ216" s="646"/>
      <c r="AK216" s="646"/>
      <c r="AL216" s="646"/>
      <c r="AM216" s="646"/>
      <c r="AN216" s="646"/>
      <c r="AO216" s="646"/>
      <c r="AP216" s="646"/>
      <c r="AQ216" s="646"/>
      <c r="AR216" s="646"/>
      <c r="AS216" s="646"/>
      <c r="AT216" s="646"/>
      <c r="AU216" s="646"/>
      <c r="AV216" s="646"/>
      <c r="AW216" s="646"/>
      <c r="AX216" s="646"/>
      <c r="AY216" s="646"/>
      <c r="AZ216" s="646"/>
      <c r="BA216" s="646"/>
      <c r="BB216" s="646"/>
      <c r="BC216" s="646"/>
      <c r="BD216" s="646"/>
      <c r="BE216" s="646"/>
      <c r="BF216" s="646"/>
      <c r="BG216" s="646"/>
      <c r="BH216" s="646"/>
      <c r="BI216" s="646"/>
      <c r="BJ216" s="646"/>
      <c r="BK216" s="646"/>
      <c r="BL216" s="646"/>
      <c r="BM216" s="646"/>
      <c r="BN216" s="646"/>
      <c r="BO216" s="646"/>
      <c r="BP216" s="646"/>
      <c r="BQ216" s="646"/>
      <c r="BR216" s="645"/>
      <c r="BS216" s="645"/>
      <c r="BT216" s="645"/>
      <c r="BU216" s="645"/>
      <c r="BV216" s="646"/>
      <c r="BW216" s="647"/>
      <c r="BX216" s="647"/>
      <c r="BY216" s="647"/>
      <c r="BZ216" s="647"/>
      <c r="CA216" s="647"/>
      <c r="CB216" s="647"/>
      <c r="CC216" s="647"/>
      <c r="CD216" s="647"/>
      <c r="CE216" s="647"/>
      <c r="CF216" s="647"/>
      <c r="CG216" s="647"/>
      <c r="CH216" s="647"/>
      <c r="CI216" s="647"/>
      <c r="FK216" s="714"/>
      <c r="FL216" s="714"/>
    </row>
    <row r="217" spans="4:168" s="640" customFormat="1" ht="15.75" customHeight="1">
      <c r="D217" s="641"/>
      <c r="G217" s="642"/>
      <c r="J217" s="642"/>
      <c r="K217" s="643"/>
      <c r="M217" s="644"/>
      <c r="N217" s="642"/>
      <c r="Q217" s="642"/>
      <c r="T217" s="642"/>
      <c r="U217" s="643"/>
      <c r="X217" s="645"/>
      <c r="Y217" s="646"/>
      <c r="Z217" s="673"/>
      <c r="AA217" s="646"/>
      <c r="AB217" s="646"/>
      <c r="AC217" s="646"/>
      <c r="AD217" s="646"/>
      <c r="AE217" s="646"/>
      <c r="AF217" s="646"/>
      <c r="AG217" s="646"/>
      <c r="AH217" s="646"/>
      <c r="AI217" s="646"/>
      <c r="AJ217" s="646"/>
      <c r="AK217" s="646"/>
      <c r="AL217" s="646"/>
      <c r="AM217" s="646"/>
      <c r="AN217" s="646"/>
      <c r="AO217" s="646"/>
      <c r="AP217" s="646"/>
      <c r="AQ217" s="646"/>
      <c r="AR217" s="646"/>
      <c r="AS217" s="646"/>
      <c r="AT217" s="646"/>
      <c r="AU217" s="646"/>
      <c r="AV217" s="646"/>
      <c r="AW217" s="646"/>
      <c r="AX217" s="646"/>
      <c r="AY217" s="646"/>
      <c r="AZ217" s="646"/>
      <c r="BA217" s="646"/>
      <c r="BB217" s="646"/>
      <c r="BC217" s="646"/>
      <c r="BD217" s="646"/>
      <c r="BE217" s="646"/>
      <c r="BF217" s="646"/>
      <c r="BG217" s="646"/>
      <c r="BH217" s="646"/>
      <c r="BI217" s="646"/>
      <c r="BJ217" s="646"/>
      <c r="BK217" s="646"/>
      <c r="BL217" s="646"/>
      <c r="BM217" s="646"/>
      <c r="BN217" s="646"/>
      <c r="BO217" s="646"/>
      <c r="BP217" s="646"/>
      <c r="BQ217" s="646"/>
      <c r="BR217" s="645"/>
      <c r="BS217" s="645"/>
      <c r="BT217" s="645"/>
      <c r="BU217" s="645"/>
      <c r="BV217" s="646"/>
      <c r="BW217" s="647"/>
      <c r="BX217" s="647"/>
      <c r="BY217" s="647"/>
      <c r="BZ217" s="647"/>
      <c r="CA217" s="647"/>
      <c r="CB217" s="647"/>
      <c r="CC217" s="647"/>
      <c r="CD217" s="647"/>
      <c r="CE217" s="647"/>
      <c r="CF217" s="647"/>
      <c r="CG217" s="647"/>
      <c r="CH217" s="647"/>
      <c r="CI217" s="647"/>
      <c r="FK217" s="714"/>
      <c r="FL217" s="714"/>
    </row>
    <row r="218" spans="4:168" s="640" customFormat="1" ht="15.75" customHeight="1">
      <c r="D218" s="641"/>
      <c r="G218" s="642"/>
      <c r="J218" s="642"/>
      <c r="K218" s="643"/>
      <c r="M218" s="644"/>
      <c r="N218" s="642"/>
      <c r="Q218" s="642"/>
      <c r="T218" s="642"/>
      <c r="U218" s="643"/>
      <c r="X218" s="645"/>
      <c r="Y218" s="646"/>
      <c r="Z218" s="673"/>
      <c r="AA218" s="646"/>
      <c r="AB218" s="646"/>
      <c r="AC218" s="646"/>
      <c r="AD218" s="646"/>
      <c r="AE218" s="646"/>
      <c r="AF218" s="646"/>
      <c r="AG218" s="646"/>
      <c r="AH218" s="646"/>
      <c r="AI218" s="646"/>
      <c r="AJ218" s="646"/>
      <c r="AK218" s="646"/>
      <c r="AL218" s="646"/>
      <c r="AM218" s="646"/>
      <c r="AN218" s="646"/>
      <c r="AO218" s="646"/>
      <c r="AP218" s="646"/>
      <c r="AQ218" s="646"/>
      <c r="AR218" s="646"/>
      <c r="AS218" s="646"/>
      <c r="AT218" s="646"/>
      <c r="AU218" s="646"/>
      <c r="AV218" s="646"/>
      <c r="AW218" s="646"/>
      <c r="AX218" s="646"/>
      <c r="AY218" s="646"/>
      <c r="AZ218" s="646"/>
      <c r="BA218" s="646"/>
      <c r="BB218" s="646"/>
      <c r="BC218" s="646"/>
      <c r="BD218" s="646"/>
      <c r="BE218" s="646"/>
      <c r="BF218" s="646"/>
      <c r="BG218" s="646"/>
      <c r="BH218" s="646"/>
      <c r="BI218" s="646"/>
      <c r="BJ218" s="646"/>
      <c r="BK218" s="646"/>
      <c r="BL218" s="646"/>
      <c r="BM218" s="646"/>
      <c r="BN218" s="646"/>
      <c r="BO218" s="646"/>
      <c r="BP218" s="646"/>
      <c r="BQ218" s="646"/>
      <c r="BR218" s="645"/>
      <c r="BS218" s="645"/>
      <c r="BT218" s="645"/>
      <c r="BU218" s="645"/>
      <c r="BV218" s="646"/>
      <c r="BW218" s="647"/>
      <c r="BX218" s="647"/>
      <c r="BY218" s="647"/>
      <c r="BZ218" s="647"/>
      <c r="CA218" s="647"/>
      <c r="CB218" s="647"/>
      <c r="CC218" s="647"/>
      <c r="CD218" s="647"/>
      <c r="CE218" s="647"/>
      <c r="CF218" s="647"/>
      <c r="CG218" s="647"/>
      <c r="CH218" s="647"/>
      <c r="CI218" s="647"/>
      <c r="FK218" s="714"/>
      <c r="FL218" s="714"/>
    </row>
    <row r="219" spans="4:168" s="640" customFormat="1" ht="15.75" customHeight="1">
      <c r="D219" s="641"/>
      <c r="G219" s="642"/>
      <c r="J219" s="642"/>
      <c r="K219" s="643"/>
      <c r="M219" s="644"/>
      <c r="N219" s="642"/>
      <c r="Q219" s="642"/>
      <c r="T219" s="642"/>
      <c r="U219" s="643"/>
      <c r="X219" s="645"/>
      <c r="Y219" s="646"/>
      <c r="Z219" s="673"/>
      <c r="AA219" s="646"/>
      <c r="AB219" s="646"/>
      <c r="AC219" s="646"/>
      <c r="AD219" s="646"/>
      <c r="AE219" s="646"/>
      <c r="AF219" s="646"/>
      <c r="AG219" s="646"/>
      <c r="AH219" s="646"/>
      <c r="AI219" s="646"/>
      <c r="AJ219" s="646"/>
      <c r="AK219" s="646"/>
      <c r="AL219" s="646"/>
      <c r="AM219" s="646"/>
      <c r="AN219" s="646"/>
      <c r="AO219" s="646"/>
      <c r="AP219" s="646"/>
      <c r="AQ219" s="646"/>
      <c r="AR219" s="646"/>
      <c r="AS219" s="646"/>
      <c r="AT219" s="646"/>
      <c r="AU219" s="646"/>
      <c r="AV219" s="646"/>
      <c r="AW219" s="646"/>
      <c r="AX219" s="646"/>
      <c r="AY219" s="646"/>
      <c r="AZ219" s="646"/>
      <c r="BA219" s="646"/>
      <c r="BB219" s="646"/>
      <c r="BC219" s="646"/>
      <c r="BD219" s="646"/>
      <c r="BE219" s="646"/>
      <c r="BF219" s="646"/>
      <c r="BG219" s="646"/>
      <c r="BH219" s="646"/>
      <c r="BI219" s="646"/>
      <c r="BJ219" s="646"/>
      <c r="BK219" s="646"/>
      <c r="BL219" s="646"/>
      <c r="BM219" s="646"/>
      <c r="BN219" s="646"/>
      <c r="BO219" s="646"/>
      <c r="BP219" s="646"/>
      <c r="BQ219" s="646"/>
      <c r="BR219" s="645"/>
      <c r="BS219" s="645"/>
      <c r="BT219" s="645"/>
      <c r="BU219" s="645"/>
      <c r="BV219" s="646"/>
      <c r="BW219" s="647"/>
      <c r="BX219" s="647"/>
      <c r="BY219" s="647"/>
      <c r="BZ219" s="647"/>
      <c r="CA219" s="647"/>
      <c r="CB219" s="647"/>
      <c r="CC219" s="647"/>
      <c r="CD219" s="647"/>
      <c r="CE219" s="647"/>
      <c r="CF219" s="647"/>
      <c r="CG219" s="647"/>
      <c r="CH219" s="647"/>
      <c r="CI219" s="647"/>
      <c r="FK219" s="714"/>
      <c r="FL219" s="714"/>
    </row>
    <row r="220" spans="4:168" s="640" customFormat="1" ht="15.75" customHeight="1">
      <c r="D220" s="641"/>
      <c r="G220" s="642"/>
      <c r="J220" s="642"/>
      <c r="K220" s="643"/>
      <c r="M220" s="644"/>
      <c r="N220" s="642"/>
      <c r="Q220" s="642"/>
      <c r="T220" s="642"/>
      <c r="U220" s="643"/>
      <c r="X220" s="645"/>
      <c r="Y220" s="646"/>
      <c r="Z220" s="673"/>
      <c r="AA220" s="646"/>
      <c r="AB220" s="646"/>
      <c r="AC220" s="646"/>
      <c r="AD220" s="646"/>
      <c r="AE220" s="646"/>
      <c r="AF220" s="646"/>
      <c r="AG220" s="646"/>
      <c r="AH220" s="646"/>
      <c r="AI220" s="646"/>
      <c r="AJ220" s="646"/>
      <c r="AK220" s="646"/>
      <c r="AL220" s="646"/>
      <c r="AM220" s="646"/>
      <c r="AN220" s="646"/>
      <c r="AO220" s="646"/>
      <c r="AP220" s="646"/>
      <c r="AQ220" s="646"/>
      <c r="AR220" s="646"/>
      <c r="AS220" s="646"/>
      <c r="AT220" s="646"/>
      <c r="AU220" s="646"/>
      <c r="AV220" s="646"/>
      <c r="AW220" s="646"/>
      <c r="AX220" s="646"/>
      <c r="AY220" s="646"/>
      <c r="AZ220" s="646"/>
      <c r="BA220" s="646"/>
      <c r="BB220" s="646"/>
      <c r="BC220" s="646"/>
      <c r="BD220" s="646"/>
      <c r="BE220" s="646"/>
      <c r="BF220" s="646"/>
      <c r="BG220" s="646"/>
      <c r="BH220" s="646"/>
      <c r="BI220" s="646"/>
      <c r="BJ220" s="646"/>
      <c r="BK220" s="646"/>
      <c r="BL220" s="646"/>
      <c r="BM220" s="646"/>
      <c r="BN220" s="646"/>
      <c r="BO220" s="646"/>
      <c r="BP220" s="646"/>
      <c r="BQ220" s="646"/>
      <c r="BR220" s="645"/>
      <c r="BS220" s="645"/>
      <c r="BT220" s="645"/>
      <c r="BU220" s="645"/>
      <c r="BV220" s="646"/>
      <c r="BW220" s="647"/>
      <c r="BX220" s="647"/>
      <c r="BY220" s="647"/>
      <c r="BZ220" s="647"/>
      <c r="CA220" s="647"/>
      <c r="CB220" s="647"/>
      <c r="CC220" s="647"/>
      <c r="CD220" s="647"/>
      <c r="CE220" s="647"/>
      <c r="CF220" s="647"/>
      <c r="CG220" s="647"/>
      <c r="CH220" s="647"/>
      <c r="CI220" s="647"/>
      <c r="FK220" s="714"/>
      <c r="FL220" s="714"/>
    </row>
    <row r="221" spans="4:168" s="640" customFormat="1" ht="15.75" customHeight="1">
      <c r="D221" s="641"/>
      <c r="G221" s="642"/>
      <c r="J221" s="642"/>
      <c r="K221" s="643"/>
      <c r="M221" s="644"/>
      <c r="N221" s="642"/>
      <c r="Q221" s="642"/>
      <c r="T221" s="642"/>
      <c r="U221" s="643"/>
      <c r="X221" s="645"/>
      <c r="Y221" s="646"/>
      <c r="Z221" s="673"/>
      <c r="AA221" s="646"/>
      <c r="AB221" s="646"/>
      <c r="AC221" s="646"/>
      <c r="AD221" s="646"/>
      <c r="AE221" s="646"/>
      <c r="AF221" s="646"/>
      <c r="AG221" s="646"/>
      <c r="AH221" s="646"/>
      <c r="AI221" s="646"/>
      <c r="AJ221" s="646"/>
      <c r="AK221" s="646"/>
      <c r="AL221" s="646"/>
      <c r="AM221" s="646"/>
      <c r="AN221" s="646"/>
      <c r="AO221" s="646"/>
      <c r="AP221" s="646"/>
      <c r="AQ221" s="646"/>
      <c r="AR221" s="646"/>
      <c r="AS221" s="646"/>
      <c r="AT221" s="646"/>
      <c r="AU221" s="646"/>
      <c r="AV221" s="646"/>
      <c r="AW221" s="646"/>
      <c r="AX221" s="646"/>
      <c r="AY221" s="646"/>
      <c r="AZ221" s="646"/>
      <c r="BA221" s="646"/>
      <c r="BB221" s="646"/>
      <c r="BC221" s="646"/>
      <c r="BD221" s="646"/>
      <c r="BE221" s="646"/>
      <c r="BF221" s="646"/>
      <c r="BG221" s="646"/>
      <c r="BH221" s="646"/>
      <c r="BI221" s="646"/>
      <c r="BJ221" s="646"/>
      <c r="BK221" s="646"/>
      <c r="BL221" s="646"/>
      <c r="BM221" s="646"/>
      <c r="BN221" s="646"/>
      <c r="BO221" s="646"/>
      <c r="BP221" s="646"/>
      <c r="BQ221" s="646"/>
      <c r="BR221" s="645"/>
      <c r="BS221" s="645"/>
      <c r="BT221" s="645"/>
      <c r="BU221" s="645"/>
      <c r="BV221" s="646"/>
      <c r="BW221" s="647"/>
      <c r="BX221" s="647"/>
      <c r="BY221" s="647"/>
      <c r="BZ221" s="647"/>
      <c r="CA221" s="647"/>
      <c r="CB221" s="647"/>
      <c r="CC221" s="647"/>
      <c r="CD221" s="647"/>
      <c r="CE221" s="647"/>
      <c r="CF221" s="647"/>
      <c r="CG221" s="647"/>
      <c r="CH221" s="647"/>
      <c r="CI221" s="647"/>
      <c r="FK221" s="714"/>
      <c r="FL221" s="714"/>
    </row>
    <row r="222" spans="4:168" s="640" customFormat="1" ht="15.75" customHeight="1">
      <c r="D222" s="641"/>
      <c r="G222" s="642"/>
      <c r="J222" s="642"/>
      <c r="K222" s="643"/>
      <c r="M222" s="644"/>
      <c r="N222" s="642"/>
      <c r="Q222" s="642"/>
      <c r="T222" s="642"/>
      <c r="U222" s="643"/>
      <c r="X222" s="645"/>
      <c r="Y222" s="646"/>
      <c r="Z222" s="673"/>
      <c r="AA222" s="646"/>
      <c r="AB222" s="646"/>
      <c r="AC222" s="646"/>
      <c r="AD222" s="646"/>
      <c r="AE222" s="646"/>
      <c r="AF222" s="646"/>
      <c r="AG222" s="646"/>
      <c r="AH222" s="646"/>
      <c r="AI222" s="646"/>
      <c r="AJ222" s="646"/>
      <c r="AK222" s="646"/>
      <c r="AL222" s="646"/>
      <c r="AM222" s="646"/>
      <c r="AN222" s="646"/>
      <c r="AO222" s="646"/>
      <c r="AP222" s="646"/>
      <c r="AQ222" s="646"/>
      <c r="AR222" s="646"/>
      <c r="AS222" s="646"/>
      <c r="AT222" s="646"/>
      <c r="AU222" s="646"/>
      <c r="AV222" s="646"/>
      <c r="AW222" s="646"/>
      <c r="AX222" s="646"/>
      <c r="AY222" s="646"/>
      <c r="AZ222" s="646"/>
      <c r="BA222" s="646"/>
      <c r="BB222" s="646"/>
      <c r="BC222" s="646"/>
      <c r="BD222" s="646"/>
      <c r="BE222" s="646"/>
      <c r="BF222" s="646"/>
      <c r="BG222" s="646"/>
      <c r="BH222" s="646"/>
      <c r="BI222" s="646"/>
      <c r="BJ222" s="646"/>
      <c r="BK222" s="646"/>
      <c r="BL222" s="646"/>
      <c r="BM222" s="646"/>
      <c r="BN222" s="646"/>
      <c r="BO222" s="646"/>
      <c r="BP222" s="646"/>
      <c r="BQ222" s="646"/>
      <c r="BR222" s="645"/>
      <c r="BS222" s="645"/>
      <c r="BT222" s="645"/>
      <c r="BU222" s="645"/>
      <c r="BV222" s="646"/>
      <c r="BW222" s="647"/>
      <c r="BX222" s="647"/>
      <c r="BY222" s="647"/>
      <c r="BZ222" s="647"/>
      <c r="CA222" s="647"/>
      <c r="CB222" s="647"/>
      <c r="CC222" s="647"/>
      <c r="CD222" s="647"/>
      <c r="CE222" s="647"/>
      <c r="CF222" s="647"/>
      <c r="CG222" s="647"/>
      <c r="CH222" s="647"/>
      <c r="CI222" s="647"/>
      <c r="FK222" s="714"/>
      <c r="FL222" s="714"/>
    </row>
    <row r="223" spans="4:168" s="640" customFormat="1" ht="15.75" customHeight="1">
      <c r="D223" s="641"/>
      <c r="G223" s="642"/>
      <c r="J223" s="642"/>
      <c r="K223" s="643"/>
      <c r="M223" s="644"/>
      <c r="N223" s="642"/>
      <c r="Q223" s="642"/>
      <c r="T223" s="642"/>
      <c r="U223" s="643"/>
      <c r="X223" s="645"/>
      <c r="Y223" s="646"/>
      <c r="Z223" s="673"/>
      <c r="AA223" s="646"/>
      <c r="AB223" s="646"/>
      <c r="AC223" s="646"/>
      <c r="AD223" s="646"/>
      <c r="AE223" s="646"/>
      <c r="AF223" s="646"/>
      <c r="AG223" s="646"/>
      <c r="AH223" s="646"/>
      <c r="AI223" s="646"/>
      <c r="AJ223" s="646"/>
      <c r="AK223" s="646"/>
      <c r="AL223" s="646"/>
      <c r="AM223" s="646"/>
      <c r="AN223" s="646"/>
      <c r="AO223" s="646"/>
      <c r="AP223" s="646"/>
      <c r="AQ223" s="646"/>
      <c r="AR223" s="646"/>
      <c r="AS223" s="646"/>
      <c r="AT223" s="646"/>
      <c r="AU223" s="646"/>
      <c r="AV223" s="646"/>
      <c r="AW223" s="646"/>
      <c r="AX223" s="646"/>
      <c r="AY223" s="646"/>
      <c r="AZ223" s="646"/>
      <c r="BA223" s="646"/>
      <c r="BB223" s="646"/>
      <c r="BC223" s="646"/>
      <c r="BD223" s="646"/>
      <c r="BE223" s="646"/>
      <c r="BF223" s="646"/>
      <c r="BG223" s="646"/>
      <c r="BH223" s="646"/>
      <c r="BI223" s="646"/>
      <c r="BJ223" s="646"/>
      <c r="BK223" s="646"/>
      <c r="BL223" s="646"/>
      <c r="BM223" s="646"/>
      <c r="BN223" s="646"/>
      <c r="BO223" s="646"/>
      <c r="BP223" s="646"/>
      <c r="BQ223" s="646"/>
      <c r="BR223" s="645"/>
      <c r="BS223" s="645"/>
      <c r="BT223" s="645"/>
      <c r="BU223" s="645"/>
      <c r="BV223" s="646"/>
      <c r="BW223" s="647"/>
      <c r="BX223" s="647"/>
      <c r="BY223" s="647"/>
      <c r="BZ223" s="647"/>
      <c r="CA223" s="647"/>
      <c r="CB223" s="647"/>
      <c r="CC223" s="647"/>
      <c r="CD223" s="647"/>
      <c r="CE223" s="647"/>
      <c r="CF223" s="647"/>
      <c r="CG223" s="647"/>
      <c r="CH223" s="647"/>
      <c r="CI223" s="647"/>
      <c r="FK223" s="714"/>
      <c r="FL223" s="714"/>
    </row>
    <row r="224" spans="4:168" s="640" customFormat="1" ht="15.75" customHeight="1">
      <c r="D224" s="641"/>
      <c r="G224" s="642"/>
      <c r="J224" s="642"/>
      <c r="K224" s="643"/>
      <c r="M224" s="644"/>
      <c r="N224" s="642"/>
      <c r="Q224" s="642"/>
      <c r="T224" s="642"/>
      <c r="U224" s="643"/>
      <c r="X224" s="645"/>
      <c r="Y224" s="646"/>
      <c r="Z224" s="673"/>
      <c r="AA224" s="646"/>
      <c r="AB224" s="646"/>
      <c r="AC224" s="646"/>
      <c r="AD224" s="646"/>
      <c r="AE224" s="646"/>
      <c r="AF224" s="646"/>
      <c r="AG224" s="646"/>
      <c r="AH224" s="646"/>
      <c r="AI224" s="646"/>
      <c r="AJ224" s="646"/>
      <c r="AK224" s="646"/>
      <c r="AL224" s="646"/>
      <c r="AM224" s="646"/>
      <c r="AN224" s="646"/>
      <c r="AO224" s="646"/>
      <c r="AP224" s="646"/>
      <c r="AQ224" s="646"/>
      <c r="AR224" s="646"/>
      <c r="AS224" s="646"/>
      <c r="AT224" s="646"/>
      <c r="AU224" s="646"/>
      <c r="AV224" s="646"/>
      <c r="AW224" s="646"/>
      <c r="AX224" s="646"/>
      <c r="AY224" s="646"/>
      <c r="AZ224" s="646"/>
      <c r="BA224" s="646"/>
      <c r="BB224" s="646"/>
      <c r="BC224" s="646"/>
      <c r="BD224" s="646"/>
      <c r="BE224" s="646"/>
      <c r="BF224" s="646"/>
      <c r="BG224" s="646"/>
      <c r="BH224" s="646"/>
      <c r="BI224" s="646"/>
      <c r="BJ224" s="646"/>
      <c r="BK224" s="646"/>
      <c r="BL224" s="646"/>
      <c r="BM224" s="646"/>
      <c r="BN224" s="646"/>
      <c r="BO224" s="646"/>
      <c r="BP224" s="646"/>
      <c r="BQ224" s="646"/>
      <c r="BR224" s="645"/>
      <c r="BS224" s="645"/>
      <c r="BT224" s="645"/>
      <c r="BU224" s="645"/>
      <c r="BV224" s="646"/>
      <c r="BW224" s="647"/>
      <c r="BX224" s="647"/>
      <c r="BY224" s="647"/>
      <c r="BZ224" s="647"/>
      <c r="CA224" s="647"/>
      <c r="CB224" s="647"/>
      <c r="CC224" s="647"/>
      <c r="CD224" s="647"/>
      <c r="CE224" s="647"/>
      <c r="CF224" s="647"/>
      <c r="CG224" s="647"/>
      <c r="CH224" s="647"/>
      <c r="CI224" s="647"/>
      <c r="FK224" s="714"/>
      <c r="FL224" s="714"/>
    </row>
    <row r="225" spans="4:168" s="640" customFormat="1" ht="15.75" customHeight="1">
      <c r="D225" s="641"/>
      <c r="G225" s="642"/>
      <c r="J225" s="642"/>
      <c r="K225" s="643"/>
      <c r="M225" s="644"/>
      <c r="N225" s="642"/>
      <c r="Q225" s="642"/>
      <c r="T225" s="642"/>
      <c r="U225" s="643"/>
      <c r="X225" s="645"/>
      <c r="Y225" s="646"/>
      <c r="Z225" s="673"/>
      <c r="AA225" s="646"/>
      <c r="AB225" s="646"/>
      <c r="AC225" s="646"/>
      <c r="AD225" s="646"/>
      <c r="AE225" s="646"/>
      <c r="AF225" s="646"/>
      <c r="AG225" s="646"/>
      <c r="AH225" s="646"/>
      <c r="AI225" s="646"/>
      <c r="AJ225" s="646"/>
      <c r="AK225" s="646"/>
      <c r="AL225" s="646"/>
      <c r="AM225" s="646"/>
      <c r="AN225" s="646"/>
      <c r="AO225" s="646"/>
      <c r="AP225" s="646"/>
      <c r="AQ225" s="646"/>
      <c r="AR225" s="646"/>
      <c r="AS225" s="646"/>
      <c r="AT225" s="646"/>
      <c r="AU225" s="646"/>
      <c r="AV225" s="646"/>
      <c r="AW225" s="646"/>
      <c r="AX225" s="646"/>
      <c r="AY225" s="646"/>
      <c r="AZ225" s="646"/>
      <c r="BA225" s="646"/>
      <c r="BB225" s="646"/>
      <c r="BC225" s="646"/>
      <c r="BD225" s="646"/>
      <c r="BE225" s="646"/>
      <c r="BF225" s="646"/>
      <c r="BG225" s="646"/>
      <c r="BH225" s="646"/>
      <c r="BI225" s="646"/>
      <c r="BJ225" s="646"/>
      <c r="BK225" s="646"/>
      <c r="BL225" s="646"/>
      <c r="BM225" s="646"/>
      <c r="BN225" s="646"/>
      <c r="BO225" s="646"/>
      <c r="BP225" s="646"/>
      <c r="BQ225" s="646"/>
      <c r="BR225" s="645"/>
      <c r="BS225" s="645"/>
      <c r="BT225" s="645"/>
      <c r="BU225" s="645"/>
      <c r="BV225" s="646"/>
      <c r="BW225" s="647"/>
      <c r="BX225" s="647"/>
      <c r="BY225" s="647"/>
      <c r="BZ225" s="647"/>
      <c r="CA225" s="647"/>
      <c r="CB225" s="647"/>
      <c r="CC225" s="647"/>
      <c r="CD225" s="647"/>
      <c r="CE225" s="647"/>
      <c r="CF225" s="647"/>
      <c r="CG225" s="647"/>
      <c r="CH225" s="647"/>
      <c r="CI225" s="647"/>
      <c r="FK225" s="714"/>
      <c r="FL225" s="714"/>
    </row>
    <row r="226" spans="4:168" s="640" customFormat="1" ht="15.75" customHeight="1">
      <c r="D226" s="641"/>
      <c r="G226" s="642"/>
      <c r="J226" s="642"/>
      <c r="K226" s="643"/>
      <c r="M226" s="644"/>
      <c r="N226" s="642"/>
      <c r="Q226" s="642"/>
      <c r="T226" s="642"/>
      <c r="U226" s="643"/>
      <c r="X226" s="645"/>
      <c r="Y226" s="646"/>
      <c r="Z226" s="673"/>
      <c r="AA226" s="646"/>
      <c r="AB226" s="646"/>
      <c r="AC226" s="646"/>
      <c r="AD226" s="646"/>
      <c r="AE226" s="646"/>
      <c r="AF226" s="646"/>
      <c r="AG226" s="646"/>
      <c r="AH226" s="646"/>
      <c r="AI226" s="646"/>
      <c r="AJ226" s="646"/>
      <c r="AK226" s="646"/>
      <c r="AL226" s="646"/>
      <c r="AM226" s="646"/>
      <c r="AN226" s="646"/>
      <c r="AO226" s="646"/>
      <c r="AP226" s="646"/>
      <c r="AQ226" s="646"/>
      <c r="AR226" s="646"/>
      <c r="AS226" s="646"/>
      <c r="AT226" s="646"/>
      <c r="AU226" s="646"/>
      <c r="AV226" s="646"/>
      <c r="AW226" s="646"/>
      <c r="AX226" s="646"/>
      <c r="AY226" s="646"/>
      <c r="AZ226" s="646"/>
      <c r="BA226" s="646"/>
      <c r="BB226" s="646"/>
      <c r="BC226" s="646"/>
      <c r="BD226" s="646"/>
      <c r="BE226" s="646"/>
      <c r="BF226" s="646"/>
      <c r="BG226" s="646"/>
      <c r="BH226" s="646"/>
      <c r="BI226" s="646"/>
      <c r="BJ226" s="646"/>
      <c r="BK226" s="646"/>
      <c r="BL226" s="646"/>
      <c r="BM226" s="646"/>
      <c r="BN226" s="646"/>
      <c r="BO226" s="646"/>
      <c r="BP226" s="646"/>
      <c r="BQ226" s="646"/>
      <c r="BR226" s="645"/>
      <c r="BS226" s="645"/>
      <c r="BT226" s="645"/>
      <c r="BU226" s="645"/>
      <c r="BV226" s="646"/>
      <c r="BW226" s="647"/>
      <c r="BX226" s="647"/>
      <c r="BY226" s="647"/>
      <c r="BZ226" s="647"/>
      <c r="CA226" s="647"/>
      <c r="CB226" s="647"/>
      <c r="CC226" s="647"/>
      <c r="CD226" s="647"/>
      <c r="CE226" s="647"/>
      <c r="CF226" s="647"/>
      <c r="CG226" s="647"/>
      <c r="CH226" s="647"/>
      <c r="CI226" s="647"/>
      <c r="FK226" s="714"/>
      <c r="FL226" s="714"/>
    </row>
    <row r="227" spans="4:168" s="640" customFormat="1" ht="15.75" customHeight="1">
      <c r="D227" s="641"/>
      <c r="G227" s="642"/>
      <c r="J227" s="642"/>
      <c r="K227" s="643"/>
      <c r="M227" s="644"/>
      <c r="N227" s="642"/>
      <c r="Q227" s="642"/>
      <c r="T227" s="642"/>
      <c r="U227" s="643"/>
      <c r="X227" s="645"/>
      <c r="Y227" s="646"/>
      <c r="Z227" s="673"/>
      <c r="AA227" s="646"/>
      <c r="AB227" s="646"/>
      <c r="AC227" s="646"/>
      <c r="AD227" s="646"/>
      <c r="AE227" s="646"/>
      <c r="AF227" s="646"/>
      <c r="AG227" s="646"/>
      <c r="AH227" s="646"/>
      <c r="AI227" s="646"/>
      <c r="AJ227" s="646"/>
      <c r="AK227" s="646"/>
      <c r="AL227" s="646"/>
      <c r="AM227" s="646"/>
      <c r="AN227" s="646"/>
      <c r="AO227" s="646"/>
      <c r="AP227" s="646"/>
      <c r="AQ227" s="646"/>
      <c r="AR227" s="646"/>
      <c r="AS227" s="646"/>
      <c r="AT227" s="646"/>
      <c r="AU227" s="646"/>
      <c r="AV227" s="646"/>
      <c r="AW227" s="646"/>
      <c r="AX227" s="646"/>
      <c r="AY227" s="646"/>
      <c r="AZ227" s="646"/>
      <c r="BA227" s="646"/>
      <c r="BB227" s="646"/>
      <c r="BC227" s="646"/>
      <c r="BD227" s="646"/>
      <c r="BE227" s="646"/>
      <c r="BF227" s="646"/>
      <c r="BG227" s="646"/>
      <c r="BH227" s="646"/>
      <c r="BI227" s="646"/>
      <c r="BJ227" s="646"/>
      <c r="BK227" s="646"/>
      <c r="BL227" s="646"/>
      <c r="BM227" s="646"/>
      <c r="BN227" s="646"/>
      <c r="BO227" s="646"/>
      <c r="BP227" s="646"/>
      <c r="BQ227" s="646"/>
      <c r="BR227" s="645"/>
      <c r="BS227" s="645"/>
      <c r="BT227" s="645"/>
      <c r="BU227" s="645"/>
      <c r="BV227" s="646"/>
      <c r="BW227" s="647"/>
      <c r="BX227" s="647"/>
      <c r="BY227" s="647"/>
      <c r="BZ227" s="647"/>
      <c r="CA227" s="647"/>
      <c r="CB227" s="647"/>
      <c r="CC227" s="647"/>
      <c r="CD227" s="647"/>
      <c r="CE227" s="647"/>
      <c r="CF227" s="647"/>
      <c r="CG227" s="647"/>
      <c r="CH227" s="647"/>
      <c r="CI227" s="647"/>
      <c r="FK227" s="714"/>
      <c r="FL227" s="714"/>
    </row>
    <row r="228" spans="4:168" s="640" customFormat="1" ht="15.75" customHeight="1">
      <c r="D228" s="641"/>
      <c r="G228" s="642"/>
      <c r="J228" s="642"/>
      <c r="K228" s="643"/>
      <c r="M228" s="644"/>
      <c r="N228" s="642"/>
      <c r="Q228" s="642"/>
      <c r="T228" s="642"/>
      <c r="U228" s="643"/>
      <c r="X228" s="645"/>
      <c r="Y228" s="646"/>
      <c r="Z228" s="673"/>
      <c r="AA228" s="646"/>
      <c r="AB228" s="646"/>
      <c r="AC228" s="646"/>
      <c r="AD228" s="646"/>
      <c r="AE228" s="646"/>
      <c r="AF228" s="646"/>
      <c r="AG228" s="646"/>
      <c r="AH228" s="646"/>
      <c r="AI228" s="646"/>
      <c r="AJ228" s="646"/>
      <c r="AK228" s="646"/>
      <c r="AL228" s="646"/>
      <c r="AM228" s="646"/>
      <c r="AN228" s="646"/>
      <c r="AO228" s="646"/>
      <c r="AP228" s="646"/>
      <c r="AQ228" s="646"/>
      <c r="AR228" s="646"/>
      <c r="AS228" s="646"/>
      <c r="AT228" s="646"/>
      <c r="AU228" s="646"/>
      <c r="AV228" s="646"/>
      <c r="AW228" s="646"/>
      <c r="AX228" s="646"/>
      <c r="AY228" s="646"/>
      <c r="AZ228" s="646"/>
      <c r="BA228" s="646"/>
      <c r="BB228" s="646"/>
      <c r="BC228" s="646"/>
      <c r="BD228" s="646"/>
      <c r="BE228" s="646"/>
      <c r="BF228" s="646"/>
      <c r="BG228" s="646"/>
      <c r="BH228" s="646"/>
      <c r="BI228" s="646"/>
      <c r="BJ228" s="646"/>
      <c r="BK228" s="646"/>
      <c r="BL228" s="646"/>
      <c r="BM228" s="646"/>
      <c r="BN228" s="646"/>
      <c r="BO228" s="646"/>
      <c r="BP228" s="646"/>
      <c r="BQ228" s="646"/>
      <c r="BR228" s="645"/>
      <c r="BS228" s="645"/>
      <c r="BT228" s="645"/>
      <c r="BU228" s="645"/>
      <c r="BV228" s="646"/>
      <c r="BW228" s="647"/>
      <c r="BX228" s="647"/>
      <c r="BY228" s="647"/>
      <c r="BZ228" s="647"/>
      <c r="CA228" s="647"/>
      <c r="CB228" s="647"/>
      <c r="CC228" s="647"/>
      <c r="CD228" s="647"/>
      <c r="CE228" s="647"/>
      <c r="CF228" s="647"/>
      <c r="CG228" s="647"/>
      <c r="CH228" s="647"/>
      <c r="CI228" s="647"/>
      <c r="FK228" s="714"/>
      <c r="FL228" s="714"/>
    </row>
    <row r="229" spans="4:168" s="640" customFormat="1" ht="15.75" customHeight="1">
      <c r="D229" s="641"/>
      <c r="G229" s="642"/>
      <c r="J229" s="642"/>
      <c r="K229" s="643"/>
      <c r="M229" s="644"/>
      <c r="N229" s="642"/>
      <c r="Q229" s="642"/>
      <c r="T229" s="642"/>
      <c r="U229" s="643"/>
      <c r="X229" s="645"/>
      <c r="Y229" s="646"/>
      <c r="Z229" s="673"/>
      <c r="AA229" s="646"/>
      <c r="AB229" s="646"/>
      <c r="AC229" s="646"/>
      <c r="AD229" s="646"/>
      <c r="AE229" s="646"/>
      <c r="AF229" s="646"/>
      <c r="AG229" s="646"/>
      <c r="AH229" s="646"/>
      <c r="AI229" s="646"/>
      <c r="AJ229" s="646"/>
      <c r="AK229" s="646"/>
      <c r="AL229" s="646"/>
      <c r="AM229" s="646"/>
      <c r="AN229" s="646"/>
      <c r="AO229" s="646"/>
      <c r="AP229" s="646"/>
      <c r="AQ229" s="646"/>
      <c r="AR229" s="646"/>
      <c r="AS229" s="646"/>
      <c r="AT229" s="646"/>
      <c r="AU229" s="646"/>
      <c r="AV229" s="646"/>
      <c r="AW229" s="646"/>
      <c r="AX229" s="646"/>
      <c r="AY229" s="646"/>
      <c r="AZ229" s="646"/>
      <c r="BA229" s="646"/>
      <c r="BB229" s="646"/>
      <c r="BC229" s="646"/>
      <c r="BD229" s="646"/>
      <c r="BE229" s="646"/>
      <c r="BF229" s="646"/>
      <c r="BG229" s="646"/>
      <c r="BH229" s="646"/>
      <c r="BI229" s="646"/>
      <c r="BJ229" s="646"/>
      <c r="BK229" s="646"/>
      <c r="BL229" s="646"/>
      <c r="BM229" s="646"/>
      <c r="BN229" s="646"/>
      <c r="BO229" s="646"/>
      <c r="BP229" s="646"/>
      <c r="BQ229" s="646"/>
      <c r="BR229" s="645"/>
      <c r="BS229" s="645"/>
      <c r="BT229" s="645"/>
      <c r="BU229" s="645"/>
      <c r="BV229" s="646"/>
      <c r="BW229" s="647"/>
      <c r="BX229" s="647"/>
      <c r="BY229" s="647"/>
      <c r="BZ229" s="647"/>
      <c r="CA229" s="647"/>
      <c r="CB229" s="647"/>
      <c r="CC229" s="647"/>
      <c r="CD229" s="647"/>
      <c r="CE229" s="647"/>
      <c r="CF229" s="647"/>
      <c r="CG229" s="647"/>
      <c r="CH229" s="647"/>
      <c r="CI229" s="647"/>
      <c r="FK229" s="714"/>
      <c r="FL229" s="714"/>
    </row>
    <row r="230" spans="4:168" s="640" customFormat="1" ht="15.75" customHeight="1">
      <c r="D230" s="641"/>
      <c r="G230" s="642"/>
      <c r="J230" s="642"/>
      <c r="K230" s="643"/>
      <c r="M230" s="644"/>
      <c r="N230" s="642"/>
      <c r="Q230" s="642"/>
      <c r="T230" s="642"/>
      <c r="U230" s="643"/>
      <c r="X230" s="645"/>
      <c r="Y230" s="646"/>
      <c r="Z230" s="673"/>
      <c r="AA230" s="646"/>
      <c r="AB230" s="646"/>
      <c r="AC230" s="646"/>
      <c r="AD230" s="646"/>
      <c r="AE230" s="646"/>
      <c r="AF230" s="646"/>
      <c r="AG230" s="646"/>
      <c r="AH230" s="646"/>
      <c r="AI230" s="646"/>
      <c r="AJ230" s="646"/>
      <c r="AK230" s="646"/>
      <c r="AL230" s="646"/>
      <c r="AM230" s="646"/>
      <c r="AN230" s="646"/>
      <c r="AO230" s="646"/>
      <c r="AP230" s="646"/>
      <c r="AQ230" s="646"/>
      <c r="AR230" s="646"/>
      <c r="AS230" s="646"/>
      <c r="AT230" s="646"/>
      <c r="AU230" s="646"/>
      <c r="AV230" s="646"/>
      <c r="AW230" s="646"/>
      <c r="AX230" s="646"/>
      <c r="AY230" s="646"/>
      <c r="AZ230" s="646"/>
      <c r="BA230" s="646"/>
      <c r="BB230" s="646"/>
      <c r="BC230" s="646"/>
      <c r="BD230" s="646"/>
      <c r="BE230" s="646"/>
      <c r="BF230" s="646"/>
      <c r="BG230" s="646"/>
      <c r="BH230" s="646"/>
      <c r="BI230" s="646"/>
      <c r="BJ230" s="646"/>
      <c r="BK230" s="646"/>
      <c r="BL230" s="646"/>
      <c r="BM230" s="646"/>
      <c r="BN230" s="646"/>
      <c r="BO230" s="646"/>
      <c r="BP230" s="646"/>
      <c r="BQ230" s="646"/>
      <c r="BR230" s="645"/>
      <c r="BS230" s="645"/>
      <c r="BT230" s="645"/>
      <c r="BU230" s="645"/>
      <c r="BV230" s="646"/>
      <c r="BW230" s="647"/>
      <c r="BX230" s="647"/>
      <c r="BY230" s="647"/>
      <c r="BZ230" s="647"/>
      <c r="CA230" s="647"/>
      <c r="CB230" s="647"/>
      <c r="CC230" s="647"/>
      <c r="CD230" s="647"/>
      <c r="CE230" s="647"/>
      <c r="CF230" s="647"/>
      <c r="CG230" s="647"/>
      <c r="CH230" s="647"/>
      <c r="CI230" s="647"/>
      <c r="FK230" s="714"/>
      <c r="FL230" s="714"/>
    </row>
    <row r="231" spans="4:168" s="640" customFormat="1" ht="15.75" customHeight="1">
      <c r="D231" s="641"/>
      <c r="G231" s="642"/>
      <c r="J231" s="642"/>
      <c r="K231" s="643"/>
      <c r="M231" s="644"/>
      <c r="N231" s="642"/>
      <c r="Q231" s="642"/>
      <c r="T231" s="642"/>
      <c r="U231" s="643"/>
      <c r="X231" s="645"/>
      <c r="Y231" s="646"/>
      <c r="Z231" s="673"/>
      <c r="AA231" s="646"/>
      <c r="AB231" s="646"/>
      <c r="AC231" s="646"/>
      <c r="AD231" s="646"/>
      <c r="AE231" s="646"/>
      <c r="AF231" s="646"/>
      <c r="AG231" s="646"/>
      <c r="AH231" s="646"/>
      <c r="AI231" s="646"/>
      <c r="AJ231" s="646"/>
      <c r="AK231" s="646"/>
      <c r="AL231" s="646"/>
      <c r="AM231" s="646"/>
      <c r="AN231" s="646"/>
      <c r="AO231" s="646"/>
      <c r="AP231" s="646"/>
      <c r="AQ231" s="646"/>
      <c r="AR231" s="646"/>
      <c r="AS231" s="646"/>
      <c r="AT231" s="646"/>
      <c r="AU231" s="646"/>
      <c r="AV231" s="646"/>
      <c r="AW231" s="646"/>
      <c r="AX231" s="646"/>
      <c r="AY231" s="646"/>
      <c r="AZ231" s="646"/>
      <c r="BA231" s="646"/>
      <c r="BB231" s="646"/>
      <c r="BC231" s="646"/>
      <c r="BD231" s="646"/>
      <c r="BE231" s="646"/>
      <c r="BF231" s="646"/>
      <c r="BG231" s="646"/>
      <c r="BH231" s="646"/>
      <c r="BI231" s="646"/>
      <c r="BJ231" s="646"/>
      <c r="BK231" s="646"/>
      <c r="BL231" s="646"/>
      <c r="BM231" s="646"/>
      <c r="BN231" s="646"/>
      <c r="BO231" s="646"/>
      <c r="BP231" s="646"/>
      <c r="BQ231" s="646"/>
      <c r="BR231" s="645"/>
      <c r="BS231" s="645"/>
      <c r="BT231" s="645"/>
      <c r="BU231" s="645"/>
      <c r="BV231" s="646"/>
      <c r="BW231" s="647"/>
      <c r="BX231" s="647"/>
      <c r="BY231" s="647"/>
      <c r="BZ231" s="647"/>
      <c r="CA231" s="647"/>
      <c r="CB231" s="647"/>
      <c r="CC231" s="647"/>
      <c r="CD231" s="647"/>
      <c r="CE231" s="647"/>
      <c r="CF231" s="647"/>
      <c r="CG231" s="647"/>
      <c r="CH231" s="647"/>
      <c r="CI231" s="647"/>
      <c r="FK231" s="714"/>
      <c r="FL231" s="714"/>
    </row>
    <row r="232" spans="4:168" s="640" customFormat="1" ht="15.75" customHeight="1">
      <c r="D232" s="641"/>
      <c r="G232" s="642"/>
      <c r="J232" s="642"/>
      <c r="K232" s="643"/>
      <c r="M232" s="644"/>
      <c r="N232" s="642"/>
      <c r="Q232" s="642"/>
      <c r="T232" s="642"/>
      <c r="U232" s="643"/>
      <c r="X232" s="645"/>
      <c r="Y232" s="646"/>
      <c r="Z232" s="673"/>
      <c r="AA232" s="646"/>
      <c r="AB232" s="646"/>
      <c r="AC232" s="646"/>
      <c r="AD232" s="646"/>
      <c r="AE232" s="646"/>
      <c r="AF232" s="646"/>
      <c r="AG232" s="646"/>
      <c r="AH232" s="646"/>
      <c r="AI232" s="646"/>
      <c r="AJ232" s="646"/>
      <c r="AK232" s="646"/>
      <c r="AL232" s="646"/>
      <c r="AM232" s="646"/>
      <c r="AN232" s="646"/>
      <c r="AO232" s="646"/>
      <c r="AP232" s="646"/>
      <c r="AQ232" s="646"/>
      <c r="AR232" s="646"/>
      <c r="AS232" s="646"/>
      <c r="AT232" s="646"/>
      <c r="AU232" s="646"/>
      <c r="AV232" s="646"/>
      <c r="AW232" s="646"/>
      <c r="AX232" s="646"/>
      <c r="AY232" s="646"/>
      <c r="AZ232" s="646"/>
      <c r="BA232" s="646"/>
      <c r="BB232" s="646"/>
      <c r="BC232" s="646"/>
      <c r="BD232" s="646"/>
      <c r="BE232" s="646"/>
      <c r="BF232" s="646"/>
      <c r="BG232" s="646"/>
      <c r="BH232" s="646"/>
      <c r="BI232" s="646"/>
      <c r="BJ232" s="646"/>
      <c r="BK232" s="646"/>
      <c r="BL232" s="646"/>
      <c r="BM232" s="646"/>
      <c r="BN232" s="646"/>
      <c r="BO232" s="646"/>
      <c r="BP232" s="646"/>
      <c r="BQ232" s="646"/>
      <c r="BR232" s="645"/>
      <c r="BS232" s="645"/>
      <c r="BT232" s="645"/>
      <c r="BU232" s="645"/>
      <c r="BV232" s="646"/>
      <c r="BW232" s="647"/>
      <c r="BX232" s="647"/>
      <c r="BY232" s="647"/>
      <c r="BZ232" s="647"/>
      <c r="CA232" s="647"/>
      <c r="CB232" s="647"/>
      <c r="CC232" s="647"/>
      <c r="CD232" s="647"/>
      <c r="CE232" s="647"/>
      <c r="CF232" s="647"/>
      <c r="CG232" s="647"/>
      <c r="CH232" s="647"/>
      <c r="CI232" s="647"/>
      <c r="FK232" s="714"/>
      <c r="FL232" s="714"/>
    </row>
    <row r="233" spans="4:168" s="640" customFormat="1" ht="15.75" customHeight="1">
      <c r="D233" s="641"/>
      <c r="G233" s="642"/>
      <c r="J233" s="642"/>
      <c r="K233" s="643"/>
      <c r="M233" s="644"/>
      <c r="N233" s="642"/>
      <c r="Q233" s="642"/>
      <c r="T233" s="642"/>
      <c r="U233" s="643"/>
      <c r="X233" s="645"/>
      <c r="Y233" s="646"/>
      <c r="Z233" s="673"/>
      <c r="AA233" s="646"/>
      <c r="AB233" s="646"/>
      <c r="AC233" s="646"/>
      <c r="AD233" s="646"/>
      <c r="AE233" s="646"/>
      <c r="AF233" s="646"/>
      <c r="AG233" s="646"/>
      <c r="AH233" s="646"/>
      <c r="AI233" s="646"/>
      <c r="AJ233" s="646"/>
      <c r="AK233" s="646"/>
      <c r="AL233" s="646"/>
      <c r="AM233" s="646"/>
      <c r="AN233" s="646"/>
      <c r="AO233" s="646"/>
      <c r="AP233" s="646"/>
      <c r="AQ233" s="646"/>
      <c r="AR233" s="646"/>
      <c r="AS233" s="646"/>
      <c r="AT233" s="646"/>
      <c r="AU233" s="646"/>
      <c r="AV233" s="646"/>
      <c r="AW233" s="646"/>
      <c r="AX233" s="646"/>
      <c r="AY233" s="646"/>
      <c r="AZ233" s="646"/>
      <c r="BA233" s="646"/>
      <c r="BB233" s="646"/>
      <c r="BC233" s="646"/>
      <c r="BD233" s="646"/>
      <c r="BE233" s="646"/>
      <c r="BF233" s="646"/>
      <c r="BG233" s="646"/>
      <c r="BH233" s="646"/>
      <c r="BI233" s="646"/>
      <c r="BJ233" s="646"/>
      <c r="BK233" s="646"/>
      <c r="BL233" s="646"/>
      <c r="BM233" s="646"/>
      <c r="BN233" s="646"/>
      <c r="BO233" s="646"/>
      <c r="BP233" s="646"/>
      <c r="BQ233" s="646"/>
      <c r="BR233" s="645"/>
      <c r="BS233" s="645"/>
      <c r="BT233" s="645"/>
      <c r="BU233" s="645"/>
      <c r="BV233" s="646"/>
      <c r="BW233" s="647"/>
      <c r="BX233" s="647"/>
      <c r="BY233" s="647"/>
      <c r="BZ233" s="647"/>
      <c r="CA233" s="647"/>
      <c r="CB233" s="647"/>
      <c r="CC233" s="647"/>
      <c r="CD233" s="647"/>
      <c r="CE233" s="647"/>
      <c r="CF233" s="647"/>
      <c r="CG233" s="647"/>
      <c r="CH233" s="647"/>
      <c r="CI233" s="647"/>
      <c r="FK233" s="714"/>
      <c r="FL233" s="714"/>
    </row>
    <row r="234" spans="4:168" s="640" customFormat="1" ht="15.75" customHeight="1">
      <c r="D234" s="641"/>
      <c r="G234" s="642"/>
      <c r="J234" s="642"/>
      <c r="K234" s="643"/>
      <c r="M234" s="644"/>
      <c r="N234" s="642"/>
      <c r="Q234" s="642"/>
      <c r="T234" s="642"/>
      <c r="U234" s="643"/>
      <c r="X234" s="645"/>
      <c r="Y234" s="646"/>
      <c r="Z234" s="673"/>
      <c r="AA234" s="646"/>
      <c r="AB234" s="646"/>
      <c r="AC234" s="646"/>
      <c r="AD234" s="646"/>
      <c r="AE234" s="646"/>
      <c r="AF234" s="646"/>
      <c r="AG234" s="646"/>
      <c r="AH234" s="646"/>
      <c r="AI234" s="646"/>
      <c r="AJ234" s="646"/>
      <c r="AK234" s="646"/>
      <c r="AL234" s="646"/>
      <c r="AM234" s="646"/>
      <c r="AN234" s="646"/>
      <c r="AO234" s="646"/>
      <c r="AP234" s="646"/>
      <c r="AQ234" s="646"/>
      <c r="AR234" s="646"/>
      <c r="AS234" s="646"/>
      <c r="AT234" s="646"/>
      <c r="AU234" s="646"/>
      <c r="AV234" s="646"/>
      <c r="AW234" s="646"/>
      <c r="AX234" s="646"/>
      <c r="AY234" s="646"/>
      <c r="AZ234" s="646"/>
      <c r="BA234" s="646"/>
      <c r="BB234" s="646"/>
      <c r="BC234" s="646"/>
      <c r="BD234" s="646"/>
      <c r="BE234" s="646"/>
      <c r="BF234" s="646"/>
      <c r="BG234" s="646"/>
      <c r="BH234" s="646"/>
      <c r="BI234" s="646"/>
      <c r="BJ234" s="646"/>
      <c r="BK234" s="646"/>
      <c r="BL234" s="646"/>
      <c r="BM234" s="646"/>
      <c r="BN234" s="646"/>
      <c r="BO234" s="646"/>
      <c r="BP234" s="646"/>
      <c r="BQ234" s="646"/>
      <c r="BR234" s="645"/>
      <c r="BS234" s="645"/>
      <c r="BT234" s="645"/>
      <c r="BU234" s="645"/>
      <c r="BV234" s="646"/>
      <c r="BW234" s="647"/>
      <c r="BX234" s="647"/>
      <c r="BY234" s="647"/>
      <c r="BZ234" s="647"/>
      <c r="CA234" s="647"/>
      <c r="CB234" s="647"/>
      <c r="CC234" s="647"/>
      <c r="CD234" s="647"/>
      <c r="CE234" s="647"/>
      <c r="CF234" s="647"/>
      <c r="CG234" s="647"/>
      <c r="CH234" s="647"/>
      <c r="CI234" s="647"/>
      <c r="FK234" s="714"/>
      <c r="FL234" s="714"/>
    </row>
    <row r="235" spans="4:168" s="640" customFormat="1" ht="15.75" customHeight="1">
      <c r="D235" s="641"/>
      <c r="G235" s="642"/>
      <c r="J235" s="642"/>
      <c r="K235" s="643"/>
      <c r="M235" s="644"/>
      <c r="N235" s="642"/>
      <c r="Q235" s="642"/>
      <c r="T235" s="642"/>
      <c r="U235" s="643"/>
      <c r="X235" s="645"/>
      <c r="Y235" s="646"/>
      <c r="Z235" s="673"/>
      <c r="AA235" s="646"/>
      <c r="AB235" s="646"/>
      <c r="AC235" s="646"/>
      <c r="AD235" s="646"/>
      <c r="AE235" s="646"/>
      <c r="AF235" s="646"/>
      <c r="AG235" s="646"/>
      <c r="AH235" s="646"/>
      <c r="AI235" s="646"/>
      <c r="AJ235" s="646"/>
      <c r="AK235" s="646"/>
      <c r="AL235" s="646"/>
      <c r="AM235" s="646"/>
      <c r="AN235" s="646"/>
      <c r="AO235" s="646"/>
      <c r="AP235" s="646"/>
      <c r="AQ235" s="646"/>
      <c r="AR235" s="646"/>
      <c r="AS235" s="646"/>
      <c r="AT235" s="646"/>
      <c r="AU235" s="646"/>
      <c r="AV235" s="646"/>
      <c r="AW235" s="646"/>
      <c r="AX235" s="646"/>
      <c r="AY235" s="646"/>
      <c r="AZ235" s="646"/>
      <c r="BA235" s="646"/>
      <c r="BB235" s="646"/>
      <c r="BC235" s="646"/>
      <c r="BD235" s="646"/>
      <c r="BE235" s="646"/>
      <c r="BF235" s="646"/>
      <c r="BG235" s="646"/>
      <c r="BH235" s="646"/>
      <c r="BI235" s="646"/>
      <c r="BJ235" s="646"/>
      <c r="BK235" s="646"/>
      <c r="BL235" s="646"/>
      <c r="BM235" s="646"/>
      <c r="BN235" s="646"/>
      <c r="BO235" s="646"/>
      <c r="BP235" s="646"/>
      <c r="BQ235" s="646"/>
      <c r="BR235" s="645"/>
      <c r="BS235" s="645"/>
      <c r="BT235" s="645"/>
      <c r="BU235" s="645"/>
      <c r="BV235" s="646"/>
      <c r="BW235" s="647"/>
      <c r="BX235" s="647"/>
      <c r="BY235" s="647"/>
      <c r="BZ235" s="647"/>
      <c r="CA235" s="647"/>
      <c r="CB235" s="647"/>
      <c r="CC235" s="647"/>
      <c r="CD235" s="647"/>
      <c r="CE235" s="647"/>
      <c r="CF235" s="647"/>
      <c r="CG235" s="647"/>
      <c r="CH235" s="647"/>
      <c r="CI235" s="647"/>
      <c r="FK235" s="714"/>
      <c r="FL235" s="714"/>
    </row>
    <row r="236" spans="4:168" s="640" customFormat="1" ht="15.75" customHeight="1">
      <c r="D236" s="641"/>
      <c r="G236" s="642"/>
      <c r="J236" s="642"/>
      <c r="K236" s="643"/>
      <c r="M236" s="644"/>
      <c r="N236" s="642"/>
      <c r="Q236" s="642"/>
      <c r="T236" s="642"/>
      <c r="U236" s="643"/>
      <c r="X236" s="645"/>
      <c r="Y236" s="646"/>
      <c r="Z236" s="673"/>
      <c r="AA236" s="646"/>
      <c r="AB236" s="646"/>
      <c r="AC236" s="646"/>
      <c r="AD236" s="646"/>
      <c r="AE236" s="646"/>
      <c r="AF236" s="646"/>
      <c r="AG236" s="646"/>
      <c r="AH236" s="646"/>
      <c r="AI236" s="646"/>
      <c r="AJ236" s="646"/>
      <c r="AK236" s="646"/>
      <c r="AL236" s="646"/>
      <c r="AM236" s="646"/>
      <c r="AN236" s="646"/>
      <c r="AO236" s="646"/>
      <c r="AP236" s="646"/>
      <c r="AQ236" s="646"/>
      <c r="AR236" s="646"/>
      <c r="AS236" s="646"/>
      <c r="AT236" s="646"/>
      <c r="AU236" s="646"/>
      <c r="AV236" s="646"/>
      <c r="AW236" s="646"/>
      <c r="AX236" s="646"/>
      <c r="AY236" s="646"/>
      <c r="AZ236" s="646"/>
      <c r="BA236" s="646"/>
      <c r="BB236" s="646"/>
      <c r="BC236" s="646"/>
      <c r="BD236" s="646"/>
      <c r="BE236" s="646"/>
      <c r="BF236" s="646"/>
      <c r="BG236" s="646"/>
      <c r="BH236" s="646"/>
      <c r="BI236" s="646"/>
      <c r="BJ236" s="646"/>
      <c r="BK236" s="646"/>
      <c r="BL236" s="646"/>
      <c r="BM236" s="646"/>
      <c r="BN236" s="646"/>
      <c r="BO236" s="646"/>
      <c r="BP236" s="646"/>
      <c r="BQ236" s="646"/>
      <c r="BR236" s="645"/>
      <c r="BS236" s="645"/>
      <c r="BT236" s="645"/>
      <c r="BU236" s="645"/>
      <c r="BV236" s="646"/>
      <c r="BW236" s="647"/>
      <c r="BX236" s="647"/>
      <c r="BY236" s="647"/>
      <c r="BZ236" s="647"/>
      <c r="CA236" s="647"/>
      <c r="CB236" s="647"/>
      <c r="CC236" s="647"/>
      <c r="CD236" s="647"/>
      <c r="CE236" s="647"/>
      <c r="CF236" s="647"/>
      <c r="CG236" s="647"/>
      <c r="CH236" s="647"/>
      <c r="CI236" s="647"/>
      <c r="FK236" s="714"/>
      <c r="FL236" s="714"/>
    </row>
    <row r="237" spans="4:168" s="640" customFormat="1" ht="15.75" customHeight="1">
      <c r="D237" s="641"/>
      <c r="G237" s="642"/>
      <c r="J237" s="642"/>
      <c r="K237" s="643"/>
      <c r="M237" s="644"/>
      <c r="N237" s="642"/>
      <c r="Q237" s="642"/>
      <c r="T237" s="642"/>
      <c r="U237" s="643"/>
      <c r="X237" s="645"/>
      <c r="Y237" s="646"/>
      <c r="Z237" s="673"/>
      <c r="AA237" s="646"/>
      <c r="AB237" s="646"/>
      <c r="AC237" s="646"/>
      <c r="AD237" s="646"/>
      <c r="AE237" s="646"/>
      <c r="AF237" s="646"/>
      <c r="AG237" s="646"/>
      <c r="AH237" s="646"/>
      <c r="AI237" s="646"/>
      <c r="AJ237" s="646"/>
      <c r="AK237" s="646"/>
      <c r="AL237" s="646"/>
      <c r="AM237" s="646"/>
      <c r="AN237" s="646"/>
      <c r="AO237" s="646"/>
      <c r="AP237" s="646"/>
      <c r="AQ237" s="646"/>
      <c r="AR237" s="646"/>
      <c r="AS237" s="646"/>
      <c r="AT237" s="646"/>
      <c r="AU237" s="646"/>
      <c r="AV237" s="646"/>
      <c r="AW237" s="646"/>
      <c r="AX237" s="646"/>
      <c r="AY237" s="646"/>
      <c r="AZ237" s="646"/>
      <c r="BA237" s="646"/>
      <c r="BB237" s="646"/>
      <c r="BC237" s="646"/>
      <c r="BD237" s="646"/>
      <c r="BE237" s="646"/>
      <c r="BF237" s="646"/>
      <c r="BG237" s="646"/>
      <c r="BH237" s="646"/>
      <c r="BI237" s="646"/>
      <c r="BJ237" s="646"/>
      <c r="BK237" s="646"/>
      <c r="BL237" s="646"/>
      <c r="BM237" s="646"/>
      <c r="BN237" s="646"/>
      <c r="BO237" s="646"/>
      <c r="BP237" s="646"/>
      <c r="BQ237" s="646"/>
      <c r="BR237" s="645"/>
      <c r="BS237" s="645"/>
      <c r="BT237" s="645"/>
      <c r="BU237" s="645"/>
      <c r="BV237" s="646"/>
      <c r="BW237" s="647"/>
      <c r="BX237" s="647"/>
      <c r="BY237" s="647"/>
      <c r="BZ237" s="647"/>
      <c r="CA237" s="647"/>
      <c r="CB237" s="647"/>
      <c r="CC237" s="647"/>
      <c r="CD237" s="647"/>
      <c r="CE237" s="647"/>
      <c r="CF237" s="647"/>
      <c r="CG237" s="647"/>
      <c r="CH237" s="647"/>
      <c r="CI237" s="647"/>
      <c r="FK237" s="714"/>
      <c r="FL237" s="714"/>
    </row>
    <row r="238" spans="4:168" s="640" customFormat="1" ht="15.75" customHeight="1">
      <c r="D238" s="641"/>
      <c r="G238" s="642"/>
      <c r="J238" s="642"/>
      <c r="K238" s="643"/>
      <c r="M238" s="644"/>
      <c r="N238" s="642"/>
      <c r="Q238" s="642"/>
      <c r="T238" s="642"/>
      <c r="U238" s="643"/>
      <c r="X238" s="645"/>
      <c r="Y238" s="646"/>
      <c r="Z238" s="673"/>
      <c r="AA238" s="646"/>
      <c r="AB238" s="646"/>
      <c r="AC238" s="646"/>
      <c r="AD238" s="646"/>
      <c r="AE238" s="646"/>
      <c r="AF238" s="646"/>
      <c r="AG238" s="646"/>
      <c r="AH238" s="646"/>
      <c r="AI238" s="646"/>
      <c r="AJ238" s="646"/>
      <c r="AK238" s="646"/>
      <c r="AL238" s="646"/>
      <c r="AM238" s="646"/>
      <c r="AN238" s="646"/>
      <c r="AO238" s="646"/>
      <c r="AP238" s="646"/>
      <c r="AQ238" s="646"/>
      <c r="AR238" s="646"/>
      <c r="AS238" s="646"/>
      <c r="AT238" s="646"/>
      <c r="AU238" s="646"/>
      <c r="AV238" s="646"/>
      <c r="AW238" s="646"/>
      <c r="AX238" s="646"/>
      <c r="AY238" s="646"/>
      <c r="AZ238" s="646"/>
      <c r="BA238" s="646"/>
      <c r="BB238" s="646"/>
      <c r="BC238" s="646"/>
      <c r="BD238" s="646"/>
      <c r="BE238" s="646"/>
      <c r="BF238" s="646"/>
      <c r="BG238" s="646"/>
      <c r="BH238" s="646"/>
      <c r="BI238" s="646"/>
      <c r="BJ238" s="646"/>
      <c r="BK238" s="646"/>
      <c r="BL238" s="646"/>
      <c r="BM238" s="646"/>
      <c r="BN238" s="646"/>
      <c r="BO238" s="646"/>
      <c r="BP238" s="646"/>
      <c r="BQ238" s="646"/>
      <c r="BR238" s="645"/>
      <c r="BS238" s="645"/>
      <c r="BT238" s="645"/>
      <c r="BU238" s="645"/>
      <c r="BV238" s="646"/>
      <c r="BW238" s="647"/>
      <c r="BX238" s="647"/>
      <c r="BY238" s="647"/>
      <c r="BZ238" s="647"/>
      <c r="CA238" s="647"/>
      <c r="CB238" s="647"/>
      <c r="CC238" s="647"/>
      <c r="CD238" s="647"/>
      <c r="CE238" s="647"/>
      <c r="CF238" s="647"/>
      <c r="CG238" s="647"/>
      <c r="CH238" s="647"/>
      <c r="CI238" s="647"/>
      <c r="FK238" s="714"/>
      <c r="FL238" s="714"/>
    </row>
    <row r="239" spans="4:168" s="640" customFormat="1" ht="15.75" customHeight="1">
      <c r="D239" s="641"/>
      <c r="G239" s="642"/>
      <c r="J239" s="642"/>
      <c r="K239" s="643"/>
      <c r="M239" s="644"/>
      <c r="N239" s="642"/>
      <c r="Q239" s="642"/>
      <c r="T239" s="642"/>
      <c r="U239" s="643"/>
      <c r="X239" s="645"/>
      <c r="Y239" s="646"/>
      <c r="Z239" s="673"/>
      <c r="AA239" s="646"/>
      <c r="AB239" s="646"/>
      <c r="AC239" s="646"/>
      <c r="AD239" s="646"/>
      <c r="AE239" s="646"/>
      <c r="AF239" s="646"/>
      <c r="AG239" s="646"/>
      <c r="AH239" s="646"/>
      <c r="AI239" s="646"/>
      <c r="AJ239" s="646"/>
      <c r="AK239" s="646"/>
      <c r="AL239" s="646"/>
      <c r="AM239" s="646"/>
      <c r="AN239" s="646"/>
      <c r="AO239" s="646"/>
      <c r="AP239" s="646"/>
      <c r="AQ239" s="646"/>
      <c r="AR239" s="646"/>
      <c r="AS239" s="646"/>
      <c r="AT239" s="646"/>
      <c r="AU239" s="646"/>
      <c r="AV239" s="646"/>
      <c r="AW239" s="646"/>
      <c r="AX239" s="646"/>
      <c r="AY239" s="646"/>
      <c r="AZ239" s="646"/>
      <c r="BA239" s="646"/>
      <c r="BB239" s="646"/>
      <c r="BC239" s="646"/>
      <c r="BD239" s="646"/>
      <c r="BE239" s="646"/>
      <c r="BF239" s="646"/>
      <c r="BG239" s="646"/>
      <c r="BH239" s="646"/>
      <c r="BI239" s="646"/>
      <c r="BJ239" s="646"/>
      <c r="BK239" s="646"/>
      <c r="BL239" s="646"/>
      <c r="BM239" s="646"/>
      <c r="BN239" s="646"/>
      <c r="BO239" s="646"/>
      <c r="BP239" s="646"/>
      <c r="BQ239" s="646"/>
      <c r="BR239" s="645"/>
      <c r="BS239" s="645"/>
      <c r="BT239" s="645"/>
      <c r="BU239" s="645"/>
      <c r="BV239" s="646"/>
      <c r="BW239" s="647"/>
      <c r="BX239" s="647"/>
      <c r="BY239" s="647"/>
      <c r="BZ239" s="647"/>
      <c r="CA239" s="647"/>
      <c r="CB239" s="647"/>
      <c r="CC239" s="647"/>
      <c r="CD239" s="647"/>
      <c r="CE239" s="647"/>
      <c r="CF239" s="647"/>
      <c r="CG239" s="647"/>
      <c r="CH239" s="647"/>
      <c r="CI239" s="647"/>
      <c r="FK239" s="714"/>
      <c r="FL239" s="714"/>
    </row>
    <row r="240" spans="4:168" s="640" customFormat="1" ht="15.75" customHeight="1">
      <c r="D240" s="641"/>
      <c r="G240" s="642"/>
      <c r="J240" s="642"/>
      <c r="K240" s="643"/>
      <c r="M240" s="644"/>
      <c r="N240" s="642"/>
      <c r="Q240" s="642"/>
      <c r="T240" s="642"/>
      <c r="U240" s="643"/>
      <c r="X240" s="645"/>
      <c r="Y240" s="646"/>
      <c r="Z240" s="673"/>
      <c r="AA240" s="646"/>
      <c r="AB240" s="646"/>
      <c r="AC240" s="646"/>
      <c r="AD240" s="646"/>
      <c r="AE240" s="646"/>
      <c r="AF240" s="646"/>
      <c r="AG240" s="646"/>
      <c r="AH240" s="646"/>
      <c r="AI240" s="646"/>
      <c r="AJ240" s="646"/>
      <c r="AK240" s="646"/>
      <c r="AL240" s="646"/>
      <c r="AM240" s="646"/>
      <c r="AN240" s="646"/>
      <c r="AO240" s="646"/>
      <c r="AP240" s="646"/>
      <c r="AQ240" s="646"/>
      <c r="AR240" s="646"/>
      <c r="AS240" s="646"/>
      <c r="AT240" s="646"/>
      <c r="AU240" s="646"/>
      <c r="AV240" s="646"/>
      <c r="AW240" s="646"/>
      <c r="AX240" s="646"/>
      <c r="AY240" s="646"/>
      <c r="AZ240" s="646"/>
      <c r="BA240" s="646"/>
      <c r="BB240" s="646"/>
      <c r="BC240" s="646"/>
      <c r="BD240" s="646"/>
      <c r="BE240" s="646"/>
      <c r="BF240" s="646"/>
      <c r="BG240" s="646"/>
      <c r="BH240" s="646"/>
      <c r="BI240" s="646"/>
      <c r="BJ240" s="646"/>
      <c r="BK240" s="646"/>
      <c r="BL240" s="646"/>
      <c r="BM240" s="646"/>
      <c r="BN240" s="646"/>
      <c r="BO240" s="646"/>
      <c r="BP240" s="646"/>
      <c r="BQ240" s="646"/>
      <c r="BR240" s="645"/>
      <c r="BS240" s="645"/>
      <c r="BT240" s="645"/>
      <c r="BU240" s="645"/>
      <c r="BV240" s="646"/>
      <c r="BW240" s="647"/>
      <c r="BX240" s="647"/>
      <c r="BY240" s="647"/>
      <c r="BZ240" s="647"/>
      <c r="CA240" s="647"/>
      <c r="CB240" s="647"/>
      <c r="CC240" s="647"/>
      <c r="CD240" s="647"/>
      <c r="CE240" s="647"/>
      <c r="CF240" s="647"/>
      <c r="CG240" s="647"/>
      <c r="CH240" s="647"/>
      <c r="CI240" s="647"/>
      <c r="FK240" s="714"/>
      <c r="FL240" s="714"/>
    </row>
    <row r="241" spans="4:168" s="640" customFormat="1" ht="15.75" customHeight="1">
      <c r="D241" s="641"/>
      <c r="G241" s="642"/>
      <c r="J241" s="642"/>
      <c r="K241" s="643"/>
      <c r="M241" s="644"/>
      <c r="N241" s="642"/>
      <c r="Q241" s="642"/>
      <c r="T241" s="642"/>
      <c r="U241" s="643"/>
      <c r="X241" s="645"/>
      <c r="Y241" s="646"/>
      <c r="Z241" s="673"/>
      <c r="AA241" s="646"/>
      <c r="AB241" s="646"/>
      <c r="AC241" s="646"/>
      <c r="AD241" s="646"/>
      <c r="AE241" s="646"/>
      <c r="AF241" s="646"/>
      <c r="AG241" s="646"/>
      <c r="AH241" s="646"/>
      <c r="AI241" s="646"/>
      <c r="AJ241" s="646"/>
      <c r="AK241" s="646"/>
      <c r="AL241" s="646"/>
      <c r="AM241" s="646"/>
      <c r="AN241" s="646"/>
      <c r="AO241" s="646"/>
      <c r="AP241" s="646"/>
      <c r="AQ241" s="646"/>
      <c r="AR241" s="646"/>
      <c r="AS241" s="646"/>
      <c r="AT241" s="646"/>
      <c r="AU241" s="646"/>
      <c r="AV241" s="646"/>
      <c r="AW241" s="646"/>
      <c r="AX241" s="646"/>
      <c r="AY241" s="646"/>
      <c r="AZ241" s="646"/>
      <c r="BA241" s="646"/>
      <c r="BB241" s="646"/>
      <c r="BC241" s="646"/>
      <c r="BD241" s="646"/>
      <c r="BE241" s="646"/>
      <c r="BF241" s="646"/>
      <c r="BG241" s="646"/>
      <c r="BH241" s="646"/>
      <c r="BI241" s="646"/>
      <c r="BJ241" s="646"/>
      <c r="BK241" s="646"/>
      <c r="BL241" s="646"/>
      <c r="BM241" s="646"/>
      <c r="BN241" s="646"/>
      <c r="BO241" s="646"/>
      <c r="BP241" s="646"/>
      <c r="BQ241" s="646"/>
      <c r="BR241" s="645"/>
      <c r="BS241" s="645"/>
      <c r="BT241" s="645"/>
      <c r="BU241" s="645"/>
      <c r="BV241" s="646"/>
      <c r="BW241" s="647"/>
      <c r="BX241" s="647"/>
      <c r="BY241" s="647"/>
      <c r="BZ241" s="647"/>
      <c r="CA241" s="647"/>
      <c r="CB241" s="647"/>
      <c r="CC241" s="647"/>
      <c r="CD241" s="647"/>
      <c r="CE241" s="647"/>
      <c r="CF241" s="647"/>
      <c r="CG241" s="647"/>
      <c r="CH241" s="647"/>
      <c r="CI241" s="647"/>
      <c r="FK241" s="714"/>
      <c r="FL241" s="714"/>
    </row>
    <row r="242" spans="4:168" s="640" customFormat="1" ht="15.75" customHeight="1">
      <c r="D242" s="641"/>
      <c r="G242" s="642"/>
      <c r="J242" s="642"/>
      <c r="K242" s="643"/>
      <c r="M242" s="644"/>
      <c r="N242" s="642"/>
      <c r="Q242" s="642"/>
      <c r="T242" s="642"/>
      <c r="U242" s="643"/>
      <c r="X242" s="645"/>
      <c r="Y242" s="646"/>
      <c r="Z242" s="673"/>
      <c r="AA242" s="646"/>
      <c r="AB242" s="646"/>
      <c r="AC242" s="646"/>
      <c r="AD242" s="646"/>
      <c r="AE242" s="646"/>
      <c r="AF242" s="646"/>
      <c r="AG242" s="646"/>
      <c r="AH242" s="646"/>
      <c r="AI242" s="646"/>
      <c r="AJ242" s="646"/>
      <c r="AK242" s="646"/>
      <c r="AL242" s="646"/>
      <c r="AM242" s="646"/>
      <c r="AN242" s="646"/>
      <c r="AO242" s="646"/>
      <c r="AP242" s="646"/>
      <c r="AQ242" s="646"/>
      <c r="AR242" s="646"/>
      <c r="AS242" s="646"/>
      <c r="AT242" s="646"/>
      <c r="AU242" s="646"/>
      <c r="AV242" s="646"/>
      <c r="AW242" s="646"/>
      <c r="AX242" s="646"/>
      <c r="AY242" s="646"/>
      <c r="AZ242" s="646"/>
      <c r="BA242" s="646"/>
      <c r="BB242" s="646"/>
      <c r="BC242" s="646"/>
      <c r="BD242" s="646"/>
      <c r="BE242" s="646"/>
      <c r="BF242" s="646"/>
      <c r="BG242" s="646"/>
      <c r="BH242" s="646"/>
      <c r="BI242" s="646"/>
      <c r="BJ242" s="646"/>
      <c r="BK242" s="646"/>
      <c r="BL242" s="646"/>
      <c r="BM242" s="646"/>
      <c r="BN242" s="646"/>
      <c r="BO242" s="646"/>
      <c r="BP242" s="646"/>
      <c r="BQ242" s="646"/>
      <c r="BR242" s="645"/>
      <c r="BS242" s="645"/>
      <c r="BT242" s="645"/>
      <c r="BU242" s="645"/>
      <c r="BV242" s="646"/>
      <c r="BW242" s="647"/>
      <c r="BX242" s="647"/>
      <c r="BY242" s="647"/>
      <c r="BZ242" s="647"/>
      <c r="CA242" s="647"/>
      <c r="CB242" s="647"/>
      <c r="CC242" s="647"/>
      <c r="CD242" s="647"/>
      <c r="CE242" s="647"/>
      <c r="CF242" s="647"/>
      <c r="CG242" s="647"/>
      <c r="CH242" s="647"/>
      <c r="CI242" s="647"/>
      <c r="FK242" s="714"/>
      <c r="FL242" s="714"/>
    </row>
    <row r="243" spans="4:168" s="640" customFormat="1" ht="15.75" customHeight="1">
      <c r="D243" s="641"/>
      <c r="G243" s="642"/>
      <c r="J243" s="642"/>
      <c r="K243" s="643"/>
      <c r="M243" s="644"/>
      <c r="N243" s="642"/>
      <c r="Q243" s="642"/>
      <c r="T243" s="642"/>
      <c r="U243" s="643"/>
      <c r="X243" s="645"/>
      <c r="Y243" s="646"/>
      <c r="Z243" s="673"/>
      <c r="AA243" s="646"/>
      <c r="AB243" s="646"/>
      <c r="AC243" s="646"/>
      <c r="AD243" s="646"/>
      <c r="AE243" s="646"/>
      <c r="AF243" s="646"/>
      <c r="AG243" s="646"/>
      <c r="AH243" s="646"/>
      <c r="AI243" s="646"/>
      <c r="AJ243" s="646"/>
      <c r="AK243" s="646"/>
      <c r="AL243" s="646"/>
      <c r="AM243" s="646"/>
      <c r="AN243" s="646"/>
      <c r="AO243" s="646"/>
      <c r="AP243" s="646"/>
      <c r="AQ243" s="646"/>
      <c r="AR243" s="646"/>
      <c r="AS243" s="646"/>
      <c r="AT243" s="646"/>
      <c r="AU243" s="646"/>
      <c r="AV243" s="646"/>
      <c r="AW243" s="646"/>
      <c r="AX243" s="646"/>
      <c r="AY243" s="646"/>
      <c r="AZ243" s="646"/>
      <c r="BA243" s="646"/>
      <c r="BB243" s="646"/>
      <c r="BC243" s="646"/>
      <c r="BD243" s="646"/>
      <c r="BE243" s="646"/>
      <c r="BF243" s="646"/>
      <c r="BG243" s="646"/>
      <c r="BH243" s="646"/>
      <c r="BI243" s="646"/>
      <c r="BJ243" s="646"/>
      <c r="BK243" s="646"/>
      <c r="BL243" s="646"/>
      <c r="BM243" s="646"/>
      <c r="BN243" s="646"/>
      <c r="BO243" s="646"/>
      <c r="BP243" s="646"/>
      <c r="BQ243" s="646"/>
      <c r="BR243" s="645"/>
      <c r="BS243" s="645"/>
      <c r="BT243" s="645"/>
      <c r="BU243" s="645"/>
      <c r="BV243" s="646"/>
      <c r="BW243" s="647"/>
      <c r="BX243" s="647"/>
      <c r="BY243" s="647"/>
      <c r="BZ243" s="647"/>
      <c r="CA243" s="647"/>
      <c r="CB243" s="647"/>
      <c r="CC243" s="647"/>
      <c r="CD243" s="647"/>
      <c r="CE243" s="647"/>
      <c r="CF243" s="647"/>
      <c r="CG243" s="647"/>
      <c r="CH243" s="647"/>
      <c r="CI243" s="647"/>
      <c r="FK243" s="714"/>
      <c r="FL243" s="714"/>
    </row>
    <row r="244" spans="4:168" s="640" customFormat="1" ht="15.75" customHeight="1">
      <c r="D244" s="641"/>
      <c r="G244" s="642"/>
      <c r="J244" s="642"/>
      <c r="K244" s="643"/>
      <c r="M244" s="644"/>
      <c r="N244" s="642"/>
      <c r="Q244" s="642"/>
      <c r="T244" s="642"/>
      <c r="U244" s="643"/>
      <c r="X244" s="645"/>
      <c r="Y244" s="646"/>
      <c r="Z244" s="673"/>
      <c r="AA244" s="646"/>
      <c r="AB244" s="646"/>
      <c r="AC244" s="646"/>
      <c r="AD244" s="646"/>
      <c r="AE244" s="646"/>
      <c r="AF244" s="646"/>
      <c r="AG244" s="646"/>
      <c r="AH244" s="646"/>
      <c r="AI244" s="646"/>
      <c r="AJ244" s="646"/>
      <c r="AK244" s="646"/>
      <c r="AL244" s="646"/>
      <c r="AM244" s="646"/>
      <c r="AN244" s="646"/>
      <c r="AO244" s="646"/>
      <c r="AP244" s="646"/>
      <c r="AQ244" s="646"/>
      <c r="AR244" s="646"/>
      <c r="AS244" s="646"/>
      <c r="AT244" s="646"/>
      <c r="AU244" s="646"/>
      <c r="AV244" s="646"/>
      <c r="AW244" s="646"/>
      <c r="AX244" s="646"/>
      <c r="AY244" s="646"/>
      <c r="AZ244" s="646"/>
      <c r="BA244" s="646"/>
      <c r="BB244" s="646"/>
      <c r="BC244" s="646"/>
      <c r="BD244" s="646"/>
      <c r="BE244" s="646"/>
      <c r="BF244" s="646"/>
      <c r="BG244" s="646"/>
      <c r="BH244" s="646"/>
      <c r="BI244" s="646"/>
      <c r="BJ244" s="646"/>
      <c r="BK244" s="646"/>
      <c r="BL244" s="646"/>
      <c r="BM244" s="646"/>
      <c r="BN244" s="646"/>
      <c r="BO244" s="646"/>
      <c r="BP244" s="646"/>
      <c r="BQ244" s="646"/>
      <c r="BR244" s="645"/>
      <c r="BS244" s="645"/>
      <c r="BT244" s="645"/>
      <c r="BU244" s="645"/>
      <c r="BV244" s="646"/>
      <c r="BW244" s="647"/>
      <c r="BX244" s="647"/>
      <c r="BY244" s="647"/>
      <c r="BZ244" s="647"/>
      <c r="CA244" s="647"/>
      <c r="CB244" s="647"/>
      <c r="CC244" s="647"/>
      <c r="CD244" s="647"/>
      <c r="CE244" s="647"/>
      <c r="CF244" s="647"/>
      <c r="CG244" s="647"/>
      <c r="CH244" s="647"/>
      <c r="CI244" s="647"/>
      <c r="FK244" s="714"/>
      <c r="FL244" s="714"/>
    </row>
    <row r="245" spans="4:168" s="640" customFormat="1" ht="15.75" customHeight="1">
      <c r="D245" s="641"/>
      <c r="G245" s="642"/>
      <c r="J245" s="642"/>
      <c r="K245" s="643"/>
      <c r="M245" s="644"/>
      <c r="N245" s="642"/>
      <c r="Q245" s="642"/>
      <c r="T245" s="642"/>
      <c r="U245" s="643"/>
      <c r="X245" s="645"/>
      <c r="Y245" s="646"/>
      <c r="Z245" s="673"/>
      <c r="AA245" s="646"/>
      <c r="AB245" s="646"/>
      <c r="AC245" s="646"/>
      <c r="AD245" s="646"/>
      <c r="AE245" s="646"/>
      <c r="AF245" s="646"/>
      <c r="AG245" s="646"/>
      <c r="AH245" s="646"/>
      <c r="AI245" s="646"/>
      <c r="AJ245" s="646"/>
      <c r="AK245" s="646"/>
      <c r="AL245" s="646"/>
      <c r="AM245" s="646"/>
      <c r="AN245" s="646"/>
      <c r="AO245" s="646"/>
      <c r="AP245" s="646"/>
      <c r="AQ245" s="646"/>
      <c r="AR245" s="646"/>
      <c r="AS245" s="646"/>
      <c r="AT245" s="646"/>
      <c r="AU245" s="646"/>
      <c r="AV245" s="646"/>
      <c r="AW245" s="646"/>
      <c r="AX245" s="646"/>
      <c r="AY245" s="646"/>
      <c r="AZ245" s="646"/>
      <c r="BA245" s="646"/>
      <c r="BB245" s="646"/>
      <c r="BC245" s="646"/>
      <c r="BD245" s="646"/>
      <c r="BE245" s="646"/>
      <c r="BF245" s="646"/>
      <c r="BG245" s="646"/>
      <c r="BH245" s="646"/>
      <c r="BI245" s="646"/>
      <c r="BJ245" s="646"/>
      <c r="BK245" s="646"/>
      <c r="BL245" s="646"/>
      <c r="BM245" s="646"/>
      <c r="BN245" s="646"/>
      <c r="BO245" s="646"/>
      <c r="BP245" s="646"/>
      <c r="BQ245" s="646"/>
      <c r="BR245" s="645"/>
      <c r="BS245" s="645"/>
      <c r="BT245" s="645"/>
      <c r="BU245" s="645"/>
      <c r="BV245" s="646"/>
      <c r="BW245" s="647"/>
      <c r="BX245" s="647"/>
      <c r="BY245" s="647"/>
      <c r="BZ245" s="647"/>
      <c r="CA245" s="647"/>
      <c r="CB245" s="647"/>
      <c r="CC245" s="647"/>
      <c r="CD245" s="647"/>
      <c r="CE245" s="647"/>
      <c r="CF245" s="647"/>
      <c r="CG245" s="647"/>
      <c r="CH245" s="647"/>
      <c r="CI245" s="647"/>
      <c r="FK245" s="714"/>
      <c r="FL245" s="714"/>
    </row>
    <row r="246" spans="4:168" s="640" customFormat="1" ht="15.75" customHeight="1">
      <c r="D246" s="641"/>
      <c r="G246" s="642"/>
      <c r="J246" s="642"/>
      <c r="K246" s="643"/>
      <c r="M246" s="644"/>
      <c r="N246" s="642"/>
      <c r="Q246" s="642"/>
      <c r="T246" s="642"/>
      <c r="U246" s="643"/>
      <c r="X246" s="645"/>
      <c r="Y246" s="646"/>
      <c r="Z246" s="673"/>
      <c r="AA246" s="646"/>
      <c r="AB246" s="646"/>
      <c r="AC246" s="646"/>
      <c r="AD246" s="646"/>
      <c r="AE246" s="646"/>
      <c r="AF246" s="646"/>
      <c r="AG246" s="646"/>
      <c r="AH246" s="646"/>
      <c r="AI246" s="646"/>
      <c r="AJ246" s="646"/>
      <c r="AK246" s="646"/>
      <c r="AL246" s="646"/>
      <c r="AM246" s="646"/>
      <c r="AN246" s="646"/>
      <c r="AO246" s="646"/>
      <c r="AP246" s="646"/>
      <c r="AQ246" s="646"/>
      <c r="AR246" s="646"/>
      <c r="AS246" s="646"/>
      <c r="AT246" s="646"/>
      <c r="AU246" s="646"/>
      <c r="AV246" s="646"/>
      <c r="AW246" s="646"/>
      <c r="AX246" s="646"/>
      <c r="AY246" s="646"/>
      <c r="AZ246" s="646"/>
      <c r="BA246" s="646"/>
      <c r="BB246" s="646"/>
      <c r="BC246" s="646"/>
      <c r="BD246" s="646"/>
      <c r="BE246" s="646"/>
      <c r="BF246" s="646"/>
      <c r="BG246" s="646"/>
      <c r="BH246" s="646"/>
      <c r="BI246" s="646"/>
      <c r="BJ246" s="646"/>
      <c r="BK246" s="646"/>
      <c r="BL246" s="646"/>
      <c r="BM246" s="646"/>
      <c r="BN246" s="646"/>
      <c r="BO246" s="646"/>
      <c r="BP246" s="646"/>
      <c r="BQ246" s="646"/>
      <c r="BR246" s="645"/>
      <c r="BS246" s="645"/>
      <c r="BT246" s="645"/>
      <c r="BU246" s="645"/>
      <c r="BV246" s="646"/>
      <c r="BW246" s="647"/>
      <c r="BX246" s="647"/>
      <c r="BY246" s="647"/>
      <c r="BZ246" s="647"/>
      <c r="CA246" s="647"/>
      <c r="CB246" s="647"/>
      <c r="CC246" s="647"/>
      <c r="CD246" s="647"/>
      <c r="CE246" s="647"/>
      <c r="CF246" s="647"/>
      <c r="CG246" s="647"/>
      <c r="CH246" s="647"/>
      <c r="CI246" s="647"/>
      <c r="FK246" s="714"/>
      <c r="FL246" s="714"/>
    </row>
    <row r="247" spans="4:168" s="640" customFormat="1" ht="15.75" customHeight="1">
      <c r="D247" s="641"/>
      <c r="G247" s="642"/>
      <c r="J247" s="642"/>
      <c r="K247" s="643"/>
      <c r="M247" s="644"/>
      <c r="N247" s="642"/>
      <c r="Q247" s="642"/>
      <c r="T247" s="642"/>
      <c r="U247" s="643"/>
      <c r="X247" s="645"/>
      <c r="Y247" s="646"/>
      <c r="Z247" s="673"/>
      <c r="AA247" s="646"/>
      <c r="AB247" s="646"/>
      <c r="AC247" s="646"/>
      <c r="AD247" s="646"/>
      <c r="AE247" s="646"/>
      <c r="AF247" s="646"/>
      <c r="AG247" s="646"/>
      <c r="AH247" s="646"/>
      <c r="AI247" s="646"/>
      <c r="AJ247" s="646"/>
      <c r="AK247" s="646"/>
      <c r="AL247" s="646"/>
      <c r="AM247" s="646"/>
      <c r="AN247" s="646"/>
      <c r="AO247" s="646"/>
      <c r="AP247" s="646"/>
      <c r="AQ247" s="646"/>
      <c r="AR247" s="646"/>
      <c r="AS247" s="646"/>
      <c r="AT247" s="646"/>
      <c r="AU247" s="646"/>
      <c r="AV247" s="646"/>
      <c r="AW247" s="646"/>
      <c r="AX247" s="646"/>
      <c r="AY247" s="646"/>
      <c r="AZ247" s="646"/>
      <c r="BA247" s="646"/>
      <c r="BB247" s="646"/>
      <c r="BC247" s="646"/>
      <c r="BD247" s="646"/>
      <c r="BE247" s="646"/>
      <c r="BF247" s="646"/>
      <c r="BG247" s="646"/>
      <c r="BH247" s="646"/>
      <c r="BI247" s="646"/>
      <c r="BJ247" s="646"/>
      <c r="BK247" s="646"/>
      <c r="BL247" s="646"/>
      <c r="BM247" s="646"/>
      <c r="BN247" s="646"/>
      <c r="BO247" s="646"/>
      <c r="BP247" s="646"/>
      <c r="BQ247" s="646"/>
      <c r="BR247" s="645"/>
      <c r="BS247" s="645"/>
      <c r="BT247" s="645"/>
      <c r="BU247" s="645"/>
      <c r="BV247" s="646"/>
      <c r="BW247" s="647"/>
      <c r="BX247" s="647"/>
      <c r="BY247" s="647"/>
      <c r="BZ247" s="647"/>
      <c r="CA247" s="647"/>
      <c r="CB247" s="647"/>
      <c r="CC247" s="647"/>
      <c r="CD247" s="647"/>
      <c r="CE247" s="647"/>
      <c r="CF247" s="647"/>
      <c r="CG247" s="647"/>
      <c r="CH247" s="647"/>
      <c r="CI247" s="647"/>
      <c r="FK247" s="714"/>
      <c r="FL247" s="714"/>
    </row>
    <row r="248" spans="4:168" s="640" customFormat="1" ht="15.75" customHeight="1">
      <c r="D248" s="641"/>
      <c r="G248" s="642"/>
      <c r="J248" s="642"/>
      <c r="K248" s="643"/>
      <c r="M248" s="644"/>
      <c r="N248" s="642"/>
      <c r="Q248" s="642"/>
      <c r="T248" s="642"/>
      <c r="U248" s="643"/>
      <c r="X248" s="645"/>
      <c r="Y248" s="646"/>
      <c r="Z248" s="673"/>
      <c r="AA248" s="646"/>
      <c r="AB248" s="646"/>
      <c r="AC248" s="646"/>
      <c r="AD248" s="646"/>
      <c r="AE248" s="646"/>
      <c r="AF248" s="646"/>
      <c r="AG248" s="646"/>
      <c r="AH248" s="646"/>
      <c r="AI248" s="646"/>
      <c r="AJ248" s="646"/>
      <c r="AK248" s="646"/>
      <c r="AL248" s="646"/>
      <c r="AM248" s="646"/>
      <c r="AN248" s="646"/>
      <c r="AO248" s="646"/>
      <c r="AP248" s="646"/>
      <c r="AQ248" s="646"/>
      <c r="AR248" s="646"/>
      <c r="AS248" s="646"/>
      <c r="AT248" s="646"/>
      <c r="AU248" s="646"/>
      <c r="AV248" s="646"/>
      <c r="AW248" s="646"/>
      <c r="AX248" s="646"/>
      <c r="AY248" s="646"/>
      <c r="AZ248" s="646"/>
      <c r="BA248" s="646"/>
      <c r="BB248" s="646"/>
      <c r="BC248" s="646"/>
      <c r="BD248" s="646"/>
      <c r="BE248" s="646"/>
      <c r="BF248" s="646"/>
      <c r="BG248" s="646"/>
      <c r="BH248" s="646"/>
      <c r="BI248" s="646"/>
      <c r="BJ248" s="646"/>
      <c r="BK248" s="646"/>
      <c r="BL248" s="646"/>
      <c r="BM248" s="646"/>
      <c r="BN248" s="646"/>
      <c r="BO248" s="646"/>
      <c r="BP248" s="646"/>
      <c r="BQ248" s="646"/>
      <c r="BR248" s="645"/>
      <c r="BS248" s="645"/>
      <c r="BT248" s="645"/>
      <c r="BU248" s="645"/>
      <c r="BV248" s="646"/>
      <c r="BW248" s="647"/>
      <c r="BX248" s="647"/>
      <c r="BY248" s="647"/>
      <c r="BZ248" s="647"/>
      <c r="CA248" s="647"/>
      <c r="CB248" s="647"/>
      <c r="CC248" s="647"/>
      <c r="CD248" s="647"/>
      <c r="CE248" s="647"/>
      <c r="CF248" s="647"/>
      <c r="CG248" s="647"/>
      <c r="CH248" s="647"/>
      <c r="CI248" s="647"/>
      <c r="FK248" s="714"/>
      <c r="FL248" s="714"/>
    </row>
    <row r="249" spans="4:168" s="640" customFormat="1" ht="15.75" customHeight="1">
      <c r="D249" s="641"/>
      <c r="G249" s="642"/>
      <c r="J249" s="642"/>
      <c r="K249" s="643"/>
      <c r="M249" s="644"/>
      <c r="N249" s="642"/>
      <c r="Q249" s="642"/>
      <c r="T249" s="642"/>
      <c r="U249" s="643"/>
      <c r="X249" s="645"/>
      <c r="Y249" s="646"/>
      <c r="Z249" s="673"/>
      <c r="AA249" s="646"/>
      <c r="AB249" s="646"/>
      <c r="AC249" s="646"/>
      <c r="AD249" s="646"/>
      <c r="AE249" s="646"/>
      <c r="AF249" s="646"/>
      <c r="AG249" s="646"/>
      <c r="AH249" s="646"/>
      <c r="AI249" s="646"/>
      <c r="AJ249" s="646"/>
      <c r="AK249" s="646"/>
      <c r="AL249" s="646"/>
      <c r="AM249" s="646"/>
      <c r="AN249" s="646"/>
      <c r="AO249" s="646"/>
      <c r="AP249" s="646"/>
      <c r="AQ249" s="646"/>
      <c r="AR249" s="646"/>
      <c r="AS249" s="646"/>
      <c r="AT249" s="646"/>
      <c r="AU249" s="646"/>
      <c r="AV249" s="646"/>
      <c r="AW249" s="646"/>
      <c r="AX249" s="646"/>
      <c r="AY249" s="646"/>
      <c r="AZ249" s="646"/>
      <c r="BA249" s="646"/>
      <c r="BB249" s="646"/>
      <c r="BC249" s="646"/>
      <c r="BD249" s="646"/>
      <c r="BE249" s="646"/>
      <c r="BF249" s="646"/>
      <c r="BG249" s="646"/>
      <c r="BH249" s="646"/>
      <c r="BI249" s="646"/>
      <c r="BJ249" s="646"/>
      <c r="BK249" s="646"/>
      <c r="BL249" s="646"/>
      <c r="BM249" s="646"/>
      <c r="BN249" s="646"/>
      <c r="BO249" s="646"/>
      <c r="BP249" s="646"/>
      <c r="BQ249" s="646"/>
      <c r="BR249" s="645"/>
      <c r="BS249" s="645"/>
      <c r="BT249" s="645"/>
      <c r="BU249" s="645"/>
      <c r="BV249" s="646"/>
      <c r="BW249" s="647"/>
      <c r="BX249" s="647"/>
      <c r="BY249" s="647"/>
      <c r="BZ249" s="647"/>
      <c r="CA249" s="647"/>
      <c r="CB249" s="647"/>
      <c r="CC249" s="647"/>
      <c r="CD249" s="647"/>
      <c r="CE249" s="647"/>
      <c r="CF249" s="647"/>
      <c r="CG249" s="647"/>
      <c r="CH249" s="647"/>
      <c r="CI249" s="647"/>
      <c r="FK249" s="714"/>
      <c r="FL249" s="714"/>
    </row>
    <row r="250" spans="4:168" s="640" customFormat="1" ht="15.75" customHeight="1">
      <c r="D250" s="641"/>
      <c r="G250" s="642"/>
      <c r="J250" s="642"/>
      <c r="K250" s="643"/>
      <c r="M250" s="644"/>
      <c r="N250" s="642"/>
      <c r="Q250" s="642"/>
      <c r="T250" s="642"/>
      <c r="U250" s="643"/>
      <c r="X250" s="645"/>
      <c r="Y250" s="646"/>
      <c r="Z250" s="673"/>
      <c r="AA250" s="646"/>
      <c r="AB250" s="646"/>
      <c r="AC250" s="646"/>
      <c r="AD250" s="646"/>
      <c r="AE250" s="646"/>
      <c r="AF250" s="646"/>
      <c r="AG250" s="646"/>
      <c r="AH250" s="646"/>
      <c r="AI250" s="646"/>
      <c r="AJ250" s="646"/>
      <c r="AK250" s="646"/>
      <c r="AL250" s="646"/>
      <c r="AM250" s="646"/>
      <c r="AN250" s="646"/>
      <c r="AO250" s="646"/>
      <c r="AP250" s="646"/>
      <c r="AQ250" s="646"/>
      <c r="AR250" s="646"/>
      <c r="AS250" s="646"/>
      <c r="AT250" s="646"/>
      <c r="AU250" s="646"/>
      <c r="AV250" s="646"/>
      <c r="AW250" s="646"/>
      <c r="AX250" s="646"/>
      <c r="AY250" s="646"/>
      <c r="AZ250" s="646"/>
      <c r="BA250" s="646"/>
      <c r="BB250" s="646"/>
      <c r="BC250" s="646"/>
      <c r="BD250" s="646"/>
      <c r="BE250" s="646"/>
      <c r="BF250" s="646"/>
      <c r="BG250" s="646"/>
      <c r="BH250" s="646"/>
      <c r="BI250" s="646"/>
      <c r="BJ250" s="646"/>
      <c r="BK250" s="646"/>
      <c r="BL250" s="646"/>
      <c r="BM250" s="646"/>
      <c r="BN250" s="646"/>
      <c r="BO250" s="646"/>
      <c r="BP250" s="646"/>
      <c r="BQ250" s="646"/>
      <c r="BR250" s="645"/>
      <c r="BS250" s="645"/>
      <c r="BT250" s="645"/>
      <c r="BU250" s="645"/>
      <c r="BV250" s="646"/>
      <c r="BW250" s="647"/>
      <c r="BX250" s="647"/>
      <c r="BY250" s="647"/>
      <c r="BZ250" s="647"/>
      <c r="CA250" s="647"/>
      <c r="CB250" s="647"/>
      <c r="CC250" s="647"/>
      <c r="CD250" s="647"/>
      <c r="CE250" s="647"/>
      <c r="CF250" s="647"/>
      <c r="CG250" s="647"/>
      <c r="CH250" s="647"/>
      <c r="CI250" s="647"/>
      <c r="FK250" s="714"/>
      <c r="FL250" s="714"/>
    </row>
    <row r="251" spans="4:168" s="640" customFormat="1" ht="15.75" customHeight="1">
      <c r="D251" s="641"/>
      <c r="G251" s="642"/>
      <c r="J251" s="642"/>
      <c r="K251" s="643"/>
      <c r="M251" s="644"/>
      <c r="N251" s="642"/>
      <c r="Q251" s="642"/>
      <c r="T251" s="642"/>
      <c r="U251" s="643"/>
      <c r="X251" s="645"/>
      <c r="Y251" s="646"/>
      <c r="Z251" s="673"/>
      <c r="AA251" s="646"/>
      <c r="AB251" s="646"/>
      <c r="AC251" s="646"/>
      <c r="AD251" s="646"/>
      <c r="AE251" s="646"/>
      <c r="AF251" s="646"/>
      <c r="AG251" s="646"/>
      <c r="AH251" s="646"/>
      <c r="AI251" s="646"/>
      <c r="AJ251" s="646"/>
      <c r="AK251" s="646"/>
      <c r="AL251" s="646"/>
      <c r="AM251" s="646"/>
      <c r="AN251" s="646"/>
      <c r="AO251" s="646"/>
      <c r="AP251" s="646"/>
      <c r="AQ251" s="646"/>
      <c r="AR251" s="646"/>
      <c r="AS251" s="646"/>
      <c r="AT251" s="646"/>
      <c r="AU251" s="646"/>
      <c r="AV251" s="646"/>
      <c r="AW251" s="646"/>
      <c r="AX251" s="646"/>
      <c r="AY251" s="646"/>
      <c r="AZ251" s="646"/>
      <c r="BA251" s="646"/>
      <c r="BB251" s="646"/>
      <c r="BC251" s="646"/>
      <c r="BD251" s="646"/>
      <c r="BE251" s="646"/>
      <c r="BF251" s="646"/>
      <c r="BG251" s="646"/>
      <c r="BH251" s="646"/>
      <c r="BI251" s="646"/>
      <c r="BJ251" s="646"/>
      <c r="BK251" s="646"/>
      <c r="BL251" s="646"/>
      <c r="BM251" s="646"/>
      <c r="BN251" s="646"/>
      <c r="BO251" s="646"/>
      <c r="BP251" s="646"/>
      <c r="BQ251" s="646"/>
      <c r="BR251" s="645"/>
      <c r="BS251" s="645"/>
      <c r="BT251" s="645"/>
      <c r="BU251" s="645"/>
      <c r="BV251" s="646"/>
      <c r="BW251" s="647"/>
      <c r="BX251" s="647"/>
      <c r="BY251" s="647"/>
      <c r="BZ251" s="647"/>
      <c r="CA251" s="647"/>
      <c r="CB251" s="647"/>
      <c r="CC251" s="647"/>
      <c r="CD251" s="647"/>
      <c r="CE251" s="647"/>
      <c r="CF251" s="647"/>
      <c r="CG251" s="647"/>
      <c r="CH251" s="647"/>
      <c r="CI251" s="647"/>
      <c r="FK251" s="714"/>
      <c r="FL251" s="714"/>
    </row>
    <row r="252" spans="4:168" s="640" customFormat="1" ht="15.75" customHeight="1">
      <c r="D252" s="641"/>
      <c r="G252" s="642"/>
      <c r="J252" s="642"/>
      <c r="K252" s="643"/>
      <c r="M252" s="644"/>
      <c r="N252" s="642"/>
      <c r="Q252" s="642"/>
      <c r="T252" s="642"/>
      <c r="U252" s="643"/>
      <c r="X252" s="645"/>
      <c r="Y252" s="646"/>
      <c r="Z252" s="673"/>
      <c r="AA252" s="646"/>
      <c r="AB252" s="646"/>
      <c r="AC252" s="646"/>
      <c r="AD252" s="646"/>
      <c r="AE252" s="646"/>
      <c r="AF252" s="646"/>
      <c r="AG252" s="646"/>
      <c r="AH252" s="646"/>
      <c r="AI252" s="646"/>
      <c r="AJ252" s="646"/>
      <c r="AK252" s="646"/>
      <c r="AL252" s="646"/>
      <c r="AM252" s="646"/>
      <c r="AN252" s="646"/>
      <c r="AO252" s="646"/>
      <c r="AP252" s="646"/>
      <c r="AQ252" s="646"/>
      <c r="AR252" s="646"/>
      <c r="AS252" s="646"/>
      <c r="AT252" s="646"/>
      <c r="AU252" s="646"/>
      <c r="AV252" s="646"/>
      <c r="AW252" s="646"/>
      <c r="AX252" s="646"/>
      <c r="AY252" s="646"/>
      <c r="AZ252" s="646"/>
      <c r="BA252" s="646"/>
      <c r="BB252" s="646"/>
      <c r="BC252" s="646"/>
      <c r="BD252" s="646"/>
      <c r="BE252" s="646"/>
      <c r="BF252" s="646"/>
      <c r="BG252" s="646"/>
      <c r="BH252" s="646"/>
      <c r="BI252" s="646"/>
      <c r="BJ252" s="646"/>
      <c r="BK252" s="646"/>
      <c r="BL252" s="646"/>
      <c r="BM252" s="646"/>
      <c r="BN252" s="646"/>
      <c r="BO252" s="646"/>
      <c r="BP252" s="646"/>
      <c r="BQ252" s="646"/>
      <c r="BR252" s="645"/>
      <c r="BS252" s="645"/>
      <c r="BT252" s="645"/>
      <c r="BU252" s="645"/>
      <c r="BV252" s="646"/>
      <c r="BW252" s="647"/>
      <c r="BX252" s="647"/>
      <c r="BY252" s="647"/>
      <c r="BZ252" s="647"/>
      <c r="CA252" s="647"/>
      <c r="CB252" s="647"/>
      <c r="CC252" s="647"/>
      <c r="CD252" s="647"/>
      <c r="CE252" s="647"/>
      <c r="CF252" s="647"/>
      <c r="CG252" s="647"/>
      <c r="CH252" s="647"/>
      <c r="CI252" s="647"/>
      <c r="FK252" s="714"/>
      <c r="FL252" s="714"/>
    </row>
    <row r="253" spans="4:168" s="640" customFormat="1" ht="15.75" customHeight="1">
      <c r="D253" s="641"/>
      <c r="G253" s="642"/>
      <c r="J253" s="642"/>
      <c r="K253" s="643"/>
      <c r="M253" s="644"/>
      <c r="N253" s="642"/>
      <c r="Q253" s="642"/>
      <c r="T253" s="642"/>
      <c r="U253" s="643"/>
      <c r="X253" s="645"/>
      <c r="Y253" s="646"/>
      <c r="Z253" s="673"/>
      <c r="AA253" s="646"/>
      <c r="AB253" s="646"/>
      <c r="AC253" s="646"/>
      <c r="AD253" s="646"/>
      <c r="AE253" s="646"/>
      <c r="AF253" s="646"/>
      <c r="AG253" s="646"/>
      <c r="AH253" s="646"/>
      <c r="AI253" s="646"/>
      <c r="AJ253" s="646"/>
      <c r="AK253" s="646"/>
      <c r="AL253" s="646"/>
      <c r="AM253" s="646"/>
      <c r="AN253" s="646"/>
      <c r="AO253" s="646"/>
      <c r="AP253" s="646"/>
      <c r="AQ253" s="646"/>
      <c r="AR253" s="646"/>
      <c r="AS253" s="646"/>
      <c r="AT253" s="646"/>
      <c r="AU253" s="646"/>
      <c r="AV253" s="646"/>
      <c r="AW253" s="646"/>
      <c r="AX253" s="646"/>
      <c r="AY253" s="646"/>
      <c r="AZ253" s="646"/>
      <c r="BA253" s="646"/>
      <c r="BB253" s="646"/>
      <c r="BC253" s="646"/>
      <c r="BD253" s="646"/>
      <c r="BE253" s="646"/>
      <c r="BF253" s="646"/>
      <c r="BG253" s="646"/>
      <c r="BH253" s="646"/>
      <c r="BI253" s="646"/>
      <c r="BJ253" s="646"/>
      <c r="BK253" s="646"/>
      <c r="BL253" s="646"/>
      <c r="BM253" s="646"/>
      <c r="BN253" s="646"/>
      <c r="BO253" s="646"/>
      <c r="BP253" s="646"/>
      <c r="BQ253" s="646"/>
      <c r="BR253" s="645"/>
      <c r="BS253" s="645"/>
      <c r="BT253" s="645"/>
      <c r="BU253" s="645"/>
      <c r="BV253" s="646"/>
      <c r="BW253" s="647"/>
      <c r="BX253" s="647"/>
      <c r="BY253" s="647"/>
      <c r="BZ253" s="647"/>
      <c r="CA253" s="647"/>
      <c r="CB253" s="647"/>
      <c r="CC253" s="647"/>
      <c r="CD253" s="647"/>
      <c r="CE253" s="647"/>
      <c r="CF253" s="647"/>
      <c r="CG253" s="647"/>
      <c r="CH253" s="647"/>
      <c r="CI253" s="647"/>
      <c r="FK253" s="714"/>
      <c r="FL253" s="714"/>
    </row>
    <row r="254" spans="4:168" s="640" customFormat="1" ht="15.75" customHeight="1">
      <c r="D254" s="641"/>
      <c r="G254" s="642"/>
      <c r="J254" s="642"/>
      <c r="K254" s="643"/>
      <c r="M254" s="644"/>
      <c r="N254" s="642"/>
      <c r="Q254" s="642"/>
      <c r="T254" s="642"/>
      <c r="U254" s="643"/>
      <c r="X254" s="645"/>
      <c r="Y254" s="646"/>
      <c r="Z254" s="673"/>
      <c r="AA254" s="646"/>
      <c r="AB254" s="646"/>
      <c r="AC254" s="646"/>
      <c r="AD254" s="646"/>
      <c r="AE254" s="646"/>
      <c r="AF254" s="646"/>
      <c r="AG254" s="646"/>
      <c r="AH254" s="646"/>
      <c r="AI254" s="646"/>
      <c r="AJ254" s="646"/>
      <c r="AK254" s="646"/>
      <c r="AL254" s="646"/>
      <c r="AM254" s="646"/>
      <c r="AN254" s="646"/>
      <c r="AO254" s="646"/>
      <c r="AP254" s="646"/>
      <c r="AQ254" s="646"/>
      <c r="AR254" s="646"/>
      <c r="AS254" s="646"/>
      <c r="AT254" s="646"/>
      <c r="AU254" s="646"/>
      <c r="AV254" s="646"/>
      <c r="AW254" s="646"/>
      <c r="AX254" s="646"/>
      <c r="AY254" s="646"/>
      <c r="AZ254" s="646"/>
      <c r="BA254" s="646"/>
      <c r="BB254" s="646"/>
      <c r="BC254" s="646"/>
      <c r="BD254" s="646"/>
      <c r="BE254" s="646"/>
      <c r="BF254" s="646"/>
      <c r="BG254" s="646"/>
      <c r="BH254" s="646"/>
      <c r="BI254" s="646"/>
      <c r="BJ254" s="646"/>
      <c r="BK254" s="646"/>
      <c r="BL254" s="646"/>
      <c r="BM254" s="646"/>
      <c r="BN254" s="646"/>
      <c r="BO254" s="646"/>
      <c r="BP254" s="646"/>
      <c r="BQ254" s="646"/>
      <c r="BR254" s="645"/>
      <c r="BS254" s="645"/>
      <c r="BT254" s="645"/>
      <c r="BU254" s="645"/>
      <c r="BV254" s="646"/>
      <c r="BW254" s="647"/>
      <c r="BX254" s="647"/>
      <c r="BY254" s="647"/>
      <c r="BZ254" s="647"/>
      <c r="CA254" s="647"/>
      <c r="CB254" s="647"/>
      <c r="CC254" s="647"/>
      <c r="CD254" s="647"/>
      <c r="CE254" s="647"/>
      <c r="CF254" s="647"/>
      <c r="CG254" s="647"/>
      <c r="CH254" s="647"/>
      <c r="CI254" s="647"/>
      <c r="FK254" s="714"/>
      <c r="FL254" s="714"/>
    </row>
    <row r="255" spans="4:168" s="640" customFormat="1" ht="15.75" customHeight="1">
      <c r="D255" s="641"/>
      <c r="G255" s="642"/>
      <c r="J255" s="642"/>
      <c r="K255" s="643"/>
      <c r="M255" s="644"/>
      <c r="N255" s="642"/>
      <c r="Q255" s="642"/>
      <c r="T255" s="642"/>
      <c r="U255" s="643"/>
      <c r="X255" s="645"/>
      <c r="Y255" s="646"/>
      <c r="Z255" s="673"/>
      <c r="AA255" s="646"/>
      <c r="AB255" s="646"/>
      <c r="AC255" s="646"/>
      <c r="AD255" s="646"/>
      <c r="AE255" s="646"/>
      <c r="AF255" s="646"/>
      <c r="AG255" s="646"/>
      <c r="AH255" s="646"/>
      <c r="AI255" s="646"/>
      <c r="AJ255" s="646"/>
      <c r="AK255" s="646"/>
      <c r="AL255" s="646"/>
      <c r="AM255" s="646"/>
      <c r="AN255" s="646"/>
      <c r="AO255" s="646"/>
      <c r="AP255" s="646"/>
      <c r="AQ255" s="646"/>
      <c r="AR255" s="646"/>
      <c r="AS255" s="646"/>
      <c r="AT255" s="646"/>
      <c r="AU255" s="646"/>
      <c r="AV255" s="646"/>
      <c r="AW255" s="646"/>
      <c r="AX255" s="646"/>
      <c r="AY255" s="646"/>
      <c r="AZ255" s="646"/>
      <c r="BA255" s="646"/>
      <c r="BB255" s="646"/>
      <c r="BC255" s="646"/>
      <c r="BD255" s="646"/>
      <c r="BE255" s="646"/>
      <c r="BF255" s="646"/>
      <c r="BG255" s="646"/>
      <c r="BH255" s="646"/>
      <c r="BI255" s="646"/>
      <c r="BJ255" s="646"/>
      <c r="BK255" s="646"/>
      <c r="BL255" s="646"/>
      <c r="BM255" s="646"/>
      <c r="BN255" s="646"/>
      <c r="BO255" s="646"/>
      <c r="BP255" s="646"/>
      <c r="BQ255" s="646"/>
      <c r="BR255" s="645"/>
      <c r="BS255" s="645"/>
      <c r="BT255" s="645"/>
      <c r="BU255" s="645"/>
      <c r="BV255" s="646"/>
      <c r="BW255" s="647"/>
      <c r="BX255" s="647"/>
      <c r="BY255" s="647"/>
      <c r="BZ255" s="647"/>
      <c r="CA255" s="647"/>
      <c r="CB255" s="647"/>
      <c r="CC255" s="647"/>
      <c r="CD255" s="647"/>
      <c r="CE255" s="647"/>
      <c r="CF255" s="647"/>
      <c r="CG255" s="647"/>
      <c r="CH255" s="647"/>
      <c r="CI255" s="647"/>
      <c r="FK255" s="714"/>
      <c r="FL255" s="714"/>
    </row>
    <row r="256" spans="4:168" s="640" customFormat="1" ht="15.75" customHeight="1">
      <c r="D256" s="641"/>
      <c r="G256" s="642"/>
      <c r="J256" s="642"/>
      <c r="K256" s="643"/>
      <c r="M256" s="644"/>
      <c r="N256" s="642"/>
      <c r="Q256" s="642"/>
      <c r="T256" s="642"/>
      <c r="U256" s="643"/>
      <c r="X256" s="645"/>
      <c r="Y256" s="646"/>
      <c r="Z256" s="673"/>
      <c r="AA256" s="646"/>
      <c r="AB256" s="646"/>
      <c r="AC256" s="646"/>
      <c r="AD256" s="646"/>
      <c r="AE256" s="646"/>
      <c r="AF256" s="646"/>
      <c r="AG256" s="646"/>
      <c r="AH256" s="646"/>
      <c r="AI256" s="646"/>
      <c r="AJ256" s="646"/>
      <c r="AK256" s="646"/>
      <c r="AL256" s="646"/>
      <c r="AM256" s="646"/>
      <c r="AN256" s="646"/>
      <c r="AO256" s="646"/>
      <c r="AP256" s="646"/>
      <c r="AQ256" s="646"/>
      <c r="AR256" s="646"/>
      <c r="AS256" s="646"/>
      <c r="AT256" s="646"/>
      <c r="AU256" s="646"/>
      <c r="AV256" s="646"/>
      <c r="AW256" s="646"/>
      <c r="AX256" s="646"/>
      <c r="AY256" s="646"/>
      <c r="AZ256" s="646"/>
      <c r="BA256" s="646"/>
      <c r="BB256" s="646"/>
      <c r="BC256" s="646"/>
      <c r="BD256" s="646"/>
      <c r="BE256" s="646"/>
      <c r="BF256" s="646"/>
      <c r="BG256" s="646"/>
      <c r="BH256" s="646"/>
      <c r="BI256" s="646"/>
      <c r="BJ256" s="646"/>
      <c r="BK256" s="646"/>
      <c r="BL256" s="646"/>
      <c r="BM256" s="646"/>
      <c r="BN256" s="646"/>
      <c r="BO256" s="646"/>
      <c r="BP256" s="646"/>
      <c r="BQ256" s="646"/>
      <c r="BR256" s="645"/>
      <c r="BS256" s="645"/>
      <c r="BT256" s="645"/>
      <c r="BU256" s="645"/>
      <c r="BV256" s="646"/>
      <c r="BW256" s="647"/>
      <c r="BX256" s="647"/>
      <c r="BY256" s="647"/>
      <c r="BZ256" s="647"/>
      <c r="CA256" s="647"/>
      <c r="CB256" s="647"/>
      <c r="CC256" s="647"/>
      <c r="CD256" s="647"/>
      <c r="CE256" s="647"/>
      <c r="CF256" s="647"/>
      <c r="CG256" s="647"/>
      <c r="CH256" s="647"/>
      <c r="CI256" s="647"/>
      <c r="FK256" s="714"/>
      <c r="FL256" s="714"/>
    </row>
    <row r="257" spans="4:168" s="640" customFormat="1" ht="15.75" customHeight="1">
      <c r="D257" s="641"/>
      <c r="G257" s="642"/>
      <c r="J257" s="642"/>
      <c r="K257" s="643"/>
      <c r="M257" s="644"/>
      <c r="N257" s="642"/>
      <c r="Q257" s="642"/>
      <c r="T257" s="642"/>
      <c r="U257" s="643"/>
      <c r="X257" s="645"/>
      <c r="Y257" s="646"/>
      <c r="Z257" s="673"/>
      <c r="AA257" s="646"/>
      <c r="AB257" s="646"/>
      <c r="AC257" s="646"/>
      <c r="AD257" s="646"/>
      <c r="AE257" s="646"/>
      <c r="AF257" s="646"/>
      <c r="AG257" s="646"/>
      <c r="AH257" s="646"/>
      <c r="AI257" s="646"/>
      <c r="AJ257" s="646"/>
      <c r="AK257" s="646"/>
      <c r="AL257" s="646"/>
      <c r="AM257" s="646"/>
      <c r="AN257" s="646"/>
      <c r="AO257" s="646"/>
      <c r="AP257" s="646"/>
      <c r="AQ257" s="646"/>
      <c r="AR257" s="646"/>
      <c r="AS257" s="646"/>
      <c r="AT257" s="646"/>
      <c r="AU257" s="646"/>
      <c r="AV257" s="646"/>
      <c r="AW257" s="646"/>
      <c r="AX257" s="646"/>
      <c r="AY257" s="646"/>
      <c r="AZ257" s="646"/>
      <c r="BA257" s="646"/>
      <c r="BB257" s="646"/>
      <c r="BC257" s="646"/>
      <c r="BD257" s="646"/>
      <c r="BE257" s="646"/>
      <c r="BF257" s="646"/>
      <c r="BG257" s="646"/>
      <c r="BH257" s="646"/>
      <c r="BI257" s="646"/>
      <c r="BJ257" s="646"/>
      <c r="BK257" s="646"/>
      <c r="BL257" s="646"/>
      <c r="BM257" s="646"/>
      <c r="BN257" s="646"/>
      <c r="BO257" s="646"/>
      <c r="BP257" s="646"/>
      <c r="BQ257" s="646"/>
      <c r="BR257" s="645"/>
      <c r="BS257" s="645"/>
      <c r="BT257" s="645"/>
      <c r="BU257" s="645"/>
      <c r="BV257" s="646"/>
      <c r="BW257" s="647"/>
      <c r="BX257" s="647"/>
      <c r="BY257" s="647"/>
      <c r="BZ257" s="647"/>
      <c r="CA257" s="647"/>
      <c r="CB257" s="647"/>
      <c r="CC257" s="647"/>
      <c r="CD257" s="647"/>
      <c r="CE257" s="647"/>
      <c r="CF257" s="647"/>
      <c r="CG257" s="647"/>
      <c r="CH257" s="647"/>
      <c r="CI257" s="647"/>
      <c r="FK257" s="714"/>
      <c r="FL257" s="714"/>
    </row>
    <row r="258" spans="4:168" s="640" customFormat="1" ht="15.75" customHeight="1">
      <c r="D258" s="641"/>
      <c r="G258" s="642"/>
      <c r="J258" s="642"/>
      <c r="K258" s="643"/>
      <c r="M258" s="644"/>
      <c r="N258" s="642"/>
      <c r="Q258" s="642"/>
      <c r="T258" s="642"/>
      <c r="U258" s="643"/>
      <c r="X258" s="645"/>
      <c r="Y258" s="646"/>
      <c r="Z258" s="673"/>
      <c r="AA258" s="646"/>
      <c r="AB258" s="646"/>
      <c r="AC258" s="646"/>
      <c r="AD258" s="646"/>
      <c r="AE258" s="646"/>
      <c r="AF258" s="646"/>
      <c r="AG258" s="646"/>
      <c r="AH258" s="646"/>
      <c r="AI258" s="646"/>
      <c r="AJ258" s="646"/>
      <c r="AK258" s="646"/>
      <c r="AL258" s="646"/>
      <c r="AM258" s="646"/>
      <c r="AN258" s="646"/>
      <c r="AO258" s="646"/>
      <c r="AP258" s="646"/>
      <c r="AQ258" s="646"/>
      <c r="AR258" s="646"/>
      <c r="AS258" s="646"/>
      <c r="AT258" s="646"/>
      <c r="AU258" s="646"/>
      <c r="AV258" s="646"/>
      <c r="AW258" s="646"/>
      <c r="AX258" s="646"/>
      <c r="AY258" s="646"/>
      <c r="AZ258" s="646"/>
      <c r="BA258" s="646"/>
      <c r="BB258" s="646"/>
      <c r="BC258" s="646"/>
      <c r="BD258" s="646"/>
      <c r="BE258" s="646"/>
      <c r="BF258" s="646"/>
      <c r="BG258" s="646"/>
      <c r="BH258" s="646"/>
      <c r="BI258" s="646"/>
      <c r="BJ258" s="646"/>
      <c r="BK258" s="646"/>
      <c r="BL258" s="646"/>
      <c r="BM258" s="646"/>
      <c r="BN258" s="646"/>
      <c r="BO258" s="646"/>
      <c r="BP258" s="646"/>
      <c r="BQ258" s="646"/>
      <c r="BR258" s="645"/>
      <c r="BS258" s="645"/>
      <c r="BT258" s="645"/>
      <c r="BU258" s="645"/>
      <c r="BV258" s="646"/>
      <c r="BW258" s="647"/>
      <c r="BX258" s="647"/>
      <c r="BY258" s="647"/>
      <c r="BZ258" s="647"/>
      <c r="CA258" s="647"/>
      <c r="CB258" s="647"/>
      <c r="CC258" s="647"/>
      <c r="CD258" s="647"/>
      <c r="CE258" s="647"/>
      <c r="CF258" s="647"/>
      <c r="CG258" s="647"/>
      <c r="CH258" s="647"/>
      <c r="CI258" s="647"/>
      <c r="FK258" s="714"/>
      <c r="FL258" s="714"/>
    </row>
    <row r="259" spans="4:168" s="640" customFormat="1" ht="15.75" customHeight="1">
      <c r="D259" s="641"/>
      <c r="G259" s="642"/>
      <c r="J259" s="642"/>
      <c r="K259" s="643"/>
      <c r="M259" s="644"/>
      <c r="N259" s="642"/>
      <c r="Q259" s="642"/>
      <c r="T259" s="642"/>
      <c r="U259" s="643"/>
      <c r="X259" s="645"/>
      <c r="Y259" s="646"/>
      <c r="Z259" s="673"/>
      <c r="AA259" s="646"/>
      <c r="AB259" s="646"/>
      <c r="AC259" s="646"/>
      <c r="AD259" s="646"/>
      <c r="AE259" s="646"/>
      <c r="AF259" s="646"/>
      <c r="AG259" s="646"/>
      <c r="AH259" s="646"/>
      <c r="AI259" s="646"/>
      <c r="AJ259" s="646"/>
      <c r="AK259" s="646"/>
      <c r="AL259" s="646"/>
      <c r="AM259" s="646"/>
      <c r="AN259" s="646"/>
      <c r="AO259" s="646"/>
      <c r="AP259" s="646"/>
      <c r="AQ259" s="646"/>
      <c r="AR259" s="646"/>
      <c r="AS259" s="646"/>
      <c r="AT259" s="646"/>
      <c r="AU259" s="646"/>
      <c r="AV259" s="646"/>
      <c r="AW259" s="646"/>
      <c r="AX259" s="646"/>
      <c r="AY259" s="646"/>
      <c r="AZ259" s="646"/>
      <c r="BA259" s="646"/>
      <c r="BB259" s="646"/>
      <c r="BC259" s="646"/>
      <c r="BD259" s="646"/>
      <c r="BE259" s="646"/>
      <c r="BF259" s="646"/>
      <c r="BG259" s="646"/>
      <c r="BH259" s="646"/>
      <c r="BI259" s="646"/>
      <c r="BJ259" s="646"/>
      <c r="BK259" s="646"/>
      <c r="BL259" s="646"/>
      <c r="BM259" s="646"/>
      <c r="BN259" s="646"/>
      <c r="BO259" s="646"/>
      <c r="BP259" s="646"/>
      <c r="BQ259" s="646"/>
      <c r="BR259" s="645"/>
      <c r="BS259" s="645"/>
      <c r="BT259" s="645"/>
      <c r="BU259" s="645"/>
      <c r="BV259" s="646"/>
      <c r="BW259" s="647"/>
      <c r="BX259" s="647"/>
      <c r="BY259" s="647"/>
      <c r="BZ259" s="647"/>
      <c r="CA259" s="647"/>
      <c r="CB259" s="647"/>
      <c r="CC259" s="647"/>
      <c r="CD259" s="647"/>
      <c r="CE259" s="647"/>
      <c r="CF259" s="647"/>
      <c r="CG259" s="647"/>
      <c r="CH259" s="647"/>
      <c r="CI259" s="647"/>
      <c r="FK259" s="714"/>
      <c r="FL259" s="714"/>
    </row>
    <row r="260" spans="4:168" s="640" customFormat="1" ht="15.75" customHeight="1">
      <c r="D260" s="641"/>
      <c r="G260" s="642"/>
      <c r="J260" s="642"/>
      <c r="K260" s="643"/>
      <c r="M260" s="644"/>
      <c r="N260" s="642"/>
      <c r="Q260" s="642"/>
      <c r="T260" s="642"/>
      <c r="U260" s="643"/>
      <c r="X260" s="645"/>
      <c r="Y260" s="646"/>
      <c r="Z260" s="673"/>
      <c r="AA260" s="646"/>
      <c r="AB260" s="646"/>
      <c r="AC260" s="646"/>
      <c r="AD260" s="646"/>
      <c r="AE260" s="646"/>
      <c r="AF260" s="646"/>
      <c r="AG260" s="646"/>
      <c r="AH260" s="646"/>
      <c r="AI260" s="646"/>
      <c r="AJ260" s="646"/>
      <c r="AK260" s="646"/>
      <c r="AL260" s="646"/>
      <c r="AM260" s="646"/>
      <c r="AN260" s="646"/>
      <c r="AO260" s="646"/>
      <c r="AP260" s="646"/>
      <c r="AQ260" s="646"/>
      <c r="AR260" s="646"/>
      <c r="AS260" s="646"/>
      <c r="AT260" s="646"/>
      <c r="AU260" s="646"/>
      <c r="AV260" s="646"/>
      <c r="AW260" s="646"/>
      <c r="AX260" s="646"/>
      <c r="AY260" s="646"/>
      <c r="AZ260" s="646"/>
      <c r="BA260" s="646"/>
      <c r="BB260" s="646"/>
      <c r="BC260" s="646"/>
      <c r="BD260" s="646"/>
      <c r="BE260" s="646"/>
      <c r="BF260" s="646"/>
      <c r="BG260" s="646"/>
      <c r="BH260" s="646"/>
      <c r="BI260" s="646"/>
      <c r="BJ260" s="646"/>
      <c r="BK260" s="646"/>
      <c r="BL260" s="646"/>
      <c r="BM260" s="646"/>
      <c r="BN260" s="646"/>
      <c r="BO260" s="646"/>
      <c r="BP260" s="646"/>
      <c r="BQ260" s="646"/>
      <c r="BR260" s="645"/>
      <c r="BS260" s="645"/>
      <c r="BT260" s="645"/>
      <c r="BU260" s="645"/>
      <c r="BV260" s="646"/>
      <c r="BW260" s="647"/>
      <c r="BX260" s="647"/>
      <c r="BY260" s="647"/>
      <c r="BZ260" s="647"/>
      <c r="CA260" s="647"/>
      <c r="CB260" s="647"/>
      <c r="CC260" s="647"/>
      <c r="CD260" s="647"/>
      <c r="CE260" s="647"/>
      <c r="CF260" s="647"/>
      <c r="CG260" s="647"/>
      <c r="CH260" s="647"/>
      <c r="CI260" s="647"/>
      <c r="FK260" s="714"/>
      <c r="FL260" s="714"/>
    </row>
    <row r="261" spans="4:168" s="640" customFormat="1" ht="15.75" customHeight="1">
      <c r="D261" s="641"/>
      <c r="G261" s="642"/>
      <c r="J261" s="642"/>
      <c r="K261" s="643"/>
      <c r="M261" s="644"/>
      <c r="N261" s="642"/>
      <c r="Q261" s="642"/>
      <c r="T261" s="642"/>
      <c r="U261" s="643"/>
      <c r="X261" s="645"/>
      <c r="Y261" s="646"/>
      <c r="Z261" s="673"/>
      <c r="AA261" s="646"/>
      <c r="AB261" s="646"/>
      <c r="AC261" s="646"/>
      <c r="AD261" s="646"/>
      <c r="AE261" s="646"/>
      <c r="AF261" s="646"/>
      <c r="AG261" s="646"/>
      <c r="AH261" s="646"/>
      <c r="AI261" s="646"/>
      <c r="AJ261" s="646"/>
      <c r="AK261" s="646"/>
      <c r="AL261" s="646"/>
      <c r="AM261" s="646"/>
      <c r="AN261" s="646"/>
      <c r="AO261" s="646"/>
      <c r="AP261" s="646"/>
      <c r="AQ261" s="646"/>
      <c r="AR261" s="646"/>
      <c r="AS261" s="646"/>
      <c r="AT261" s="646"/>
      <c r="AU261" s="646"/>
      <c r="AV261" s="646"/>
      <c r="AW261" s="646"/>
      <c r="AX261" s="646"/>
      <c r="AY261" s="646"/>
      <c r="AZ261" s="646"/>
      <c r="BA261" s="646"/>
      <c r="BB261" s="646"/>
      <c r="BC261" s="646"/>
      <c r="BD261" s="646"/>
      <c r="BE261" s="646"/>
      <c r="BF261" s="646"/>
      <c r="BG261" s="646"/>
      <c r="BH261" s="646"/>
      <c r="BI261" s="646"/>
      <c r="BJ261" s="646"/>
      <c r="BK261" s="646"/>
      <c r="BL261" s="646"/>
      <c r="BM261" s="646"/>
      <c r="BN261" s="646"/>
      <c r="BO261" s="646"/>
      <c r="BP261" s="646"/>
      <c r="BQ261" s="646"/>
      <c r="BR261" s="645"/>
      <c r="BS261" s="645"/>
      <c r="BT261" s="645"/>
      <c r="BU261" s="645"/>
      <c r="BV261" s="646"/>
      <c r="BW261" s="647"/>
      <c r="BX261" s="647"/>
      <c r="BY261" s="647"/>
      <c r="BZ261" s="647"/>
      <c r="CA261" s="647"/>
      <c r="CB261" s="647"/>
      <c r="CC261" s="647"/>
      <c r="CD261" s="647"/>
      <c r="CE261" s="647"/>
      <c r="CF261" s="647"/>
      <c r="CG261" s="647"/>
      <c r="CH261" s="647"/>
      <c r="CI261" s="647"/>
      <c r="FK261" s="714"/>
      <c r="FL261" s="714"/>
    </row>
    <row r="262" spans="4:168" s="640" customFormat="1" ht="15.75" customHeight="1">
      <c r="D262" s="641"/>
      <c r="G262" s="642"/>
      <c r="J262" s="642"/>
      <c r="K262" s="643"/>
      <c r="M262" s="644"/>
      <c r="N262" s="642"/>
      <c r="Q262" s="642"/>
      <c r="T262" s="642"/>
      <c r="U262" s="643"/>
      <c r="X262" s="645"/>
      <c r="Y262" s="646"/>
      <c r="Z262" s="673"/>
      <c r="AA262" s="646"/>
      <c r="AB262" s="646"/>
      <c r="AC262" s="646"/>
      <c r="AD262" s="646"/>
      <c r="AE262" s="646"/>
      <c r="AF262" s="646"/>
      <c r="AG262" s="646"/>
      <c r="AH262" s="646"/>
      <c r="AI262" s="646"/>
      <c r="AJ262" s="646"/>
      <c r="AK262" s="646"/>
      <c r="AL262" s="646"/>
      <c r="AM262" s="646"/>
      <c r="AN262" s="646"/>
      <c r="AO262" s="646"/>
      <c r="AP262" s="646"/>
      <c r="AQ262" s="646"/>
      <c r="AR262" s="646"/>
      <c r="AS262" s="646"/>
      <c r="AT262" s="646"/>
      <c r="AU262" s="646"/>
      <c r="AV262" s="646"/>
      <c r="AW262" s="646"/>
      <c r="AX262" s="646"/>
      <c r="AY262" s="646"/>
      <c r="AZ262" s="646"/>
      <c r="BA262" s="646"/>
      <c r="BB262" s="646"/>
      <c r="BC262" s="646"/>
      <c r="BD262" s="646"/>
      <c r="BE262" s="646"/>
      <c r="BF262" s="646"/>
      <c r="BG262" s="646"/>
      <c r="BH262" s="646"/>
      <c r="BI262" s="646"/>
      <c r="BJ262" s="646"/>
      <c r="BK262" s="646"/>
      <c r="BL262" s="646"/>
      <c r="BM262" s="646"/>
      <c r="BN262" s="646"/>
      <c r="BO262" s="646"/>
      <c r="BP262" s="646"/>
      <c r="BQ262" s="646"/>
      <c r="BR262" s="645"/>
      <c r="BS262" s="645"/>
      <c r="BT262" s="645"/>
      <c r="BU262" s="645"/>
      <c r="BV262" s="646"/>
      <c r="BW262" s="647"/>
      <c r="BX262" s="647"/>
      <c r="BY262" s="647"/>
      <c r="BZ262" s="647"/>
      <c r="CA262" s="647"/>
      <c r="CB262" s="647"/>
      <c r="CC262" s="647"/>
      <c r="CD262" s="647"/>
      <c r="CE262" s="647"/>
      <c r="CF262" s="647"/>
      <c r="CG262" s="647"/>
      <c r="CH262" s="647"/>
      <c r="CI262" s="647"/>
      <c r="FK262" s="714"/>
      <c r="FL262" s="714"/>
    </row>
    <row r="263" spans="4:168" s="640" customFormat="1" ht="15.75" customHeight="1">
      <c r="D263" s="641"/>
      <c r="G263" s="642"/>
      <c r="J263" s="642"/>
      <c r="K263" s="643"/>
      <c r="M263" s="644"/>
      <c r="N263" s="642"/>
      <c r="Q263" s="642"/>
      <c r="T263" s="642"/>
      <c r="U263" s="643"/>
      <c r="X263" s="645"/>
      <c r="Y263" s="646"/>
      <c r="Z263" s="673"/>
      <c r="AA263" s="646"/>
      <c r="AB263" s="646"/>
      <c r="AC263" s="646"/>
      <c r="AD263" s="646"/>
      <c r="AE263" s="646"/>
      <c r="AF263" s="646"/>
      <c r="AG263" s="646"/>
      <c r="AH263" s="646"/>
      <c r="AI263" s="646"/>
      <c r="AJ263" s="646"/>
      <c r="AK263" s="646"/>
      <c r="AL263" s="646"/>
      <c r="AM263" s="646"/>
      <c r="AN263" s="646"/>
      <c r="AO263" s="646"/>
      <c r="AP263" s="646"/>
      <c r="AQ263" s="646"/>
      <c r="AR263" s="646"/>
      <c r="AS263" s="646"/>
      <c r="AT263" s="646"/>
      <c r="AU263" s="646"/>
      <c r="AV263" s="646"/>
      <c r="AW263" s="646"/>
      <c r="AX263" s="646"/>
      <c r="AY263" s="646"/>
      <c r="AZ263" s="646"/>
      <c r="BA263" s="646"/>
      <c r="BB263" s="646"/>
      <c r="BC263" s="646"/>
      <c r="BD263" s="646"/>
      <c r="BE263" s="646"/>
      <c r="BF263" s="646"/>
      <c r="BG263" s="646"/>
      <c r="BH263" s="646"/>
      <c r="BI263" s="646"/>
      <c r="BJ263" s="646"/>
      <c r="BK263" s="646"/>
      <c r="BL263" s="646"/>
      <c r="BM263" s="646"/>
      <c r="BN263" s="646"/>
      <c r="BO263" s="646"/>
      <c r="BP263" s="646"/>
      <c r="BQ263" s="646"/>
      <c r="BR263" s="645"/>
      <c r="BS263" s="645"/>
      <c r="BT263" s="645"/>
      <c r="BU263" s="645"/>
      <c r="BV263" s="646"/>
      <c r="BW263" s="647"/>
      <c r="BX263" s="647"/>
      <c r="BY263" s="647"/>
      <c r="BZ263" s="647"/>
      <c r="CA263" s="647"/>
      <c r="CB263" s="647"/>
      <c r="CC263" s="647"/>
      <c r="CD263" s="647"/>
      <c r="CE263" s="647"/>
      <c r="CF263" s="647"/>
      <c r="CG263" s="647"/>
      <c r="CH263" s="647"/>
      <c r="CI263" s="647"/>
      <c r="FK263" s="714"/>
      <c r="FL263" s="714"/>
    </row>
    <row r="264" spans="4:168" s="640" customFormat="1" ht="15.75" customHeight="1">
      <c r="D264" s="641"/>
      <c r="G264" s="642"/>
      <c r="J264" s="642"/>
      <c r="K264" s="643"/>
      <c r="M264" s="644"/>
      <c r="N264" s="642"/>
      <c r="Q264" s="642"/>
      <c r="T264" s="642"/>
      <c r="U264" s="643"/>
      <c r="X264" s="645"/>
      <c r="Y264" s="646"/>
      <c r="Z264" s="673"/>
      <c r="AA264" s="646"/>
      <c r="AB264" s="646"/>
      <c r="AC264" s="646"/>
      <c r="AD264" s="646"/>
      <c r="AE264" s="646"/>
      <c r="AF264" s="646"/>
      <c r="AG264" s="646"/>
      <c r="AH264" s="646"/>
      <c r="AI264" s="646"/>
      <c r="AJ264" s="646"/>
      <c r="AK264" s="646"/>
      <c r="AL264" s="646"/>
      <c r="AM264" s="646"/>
      <c r="AN264" s="646"/>
      <c r="AO264" s="646"/>
      <c r="AP264" s="646"/>
      <c r="AQ264" s="646"/>
      <c r="AR264" s="646"/>
      <c r="AS264" s="646"/>
      <c r="AT264" s="646"/>
      <c r="AU264" s="646"/>
      <c r="AV264" s="646"/>
      <c r="AW264" s="646"/>
      <c r="AX264" s="646"/>
      <c r="AY264" s="646"/>
      <c r="AZ264" s="646"/>
      <c r="BA264" s="646"/>
      <c r="BB264" s="646"/>
      <c r="BC264" s="646"/>
      <c r="BD264" s="646"/>
      <c r="BE264" s="646"/>
      <c r="BF264" s="646"/>
      <c r="BG264" s="646"/>
      <c r="BH264" s="646"/>
      <c r="BI264" s="646"/>
      <c r="BJ264" s="646"/>
      <c r="BK264" s="646"/>
      <c r="BL264" s="646"/>
      <c r="BM264" s="646"/>
      <c r="BN264" s="646"/>
      <c r="BO264" s="646"/>
      <c r="BP264" s="646"/>
      <c r="BQ264" s="646"/>
      <c r="BR264" s="645"/>
      <c r="BS264" s="645"/>
      <c r="BT264" s="645"/>
      <c r="BU264" s="645"/>
      <c r="BV264" s="646"/>
      <c r="BW264" s="647"/>
      <c r="BX264" s="647"/>
      <c r="BY264" s="647"/>
      <c r="BZ264" s="647"/>
      <c r="CA264" s="647"/>
      <c r="CB264" s="647"/>
      <c r="CC264" s="647"/>
      <c r="CD264" s="647"/>
      <c r="CE264" s="647"/>
      <c r="CF264" s="647"/>
      <c r="CG264" s="647"/>
      <c r="CH264" s="647"/>
      <c r="CI264" s="647"/>
      <c r="FK264" s="714"/>
      <c r="FL264" s="714"/>
    </row>
    <row r="265" spans="4:168" s="640" customFormat="1" ht="15.75" customHeight="1">
      <c r="D265" s="641"/>
      <c r="G265" s="642"/>
      <c r="J265" s="642"/>
      <c r="K265" s="643"/>
      <c r="M265" s="644"/>
      <c r="N265" s="642"/>
      <c r="Q265" s="642"/>
      <c r="T265" s="642"/>
      <c r="U265" s="643"/>
      <c r="X265" s="645"/>
      <c r="Y265" s="646"/>
      <c r="Z265" s="673"/>
      <c r="AA265" s="646"/>
      <c r="AB265" s="646"/>
      <c r="AC265" s="646"/>
      <c r="AD265" s="646"/>
      <c r="AE265" s="646"/>
      <c r="AF265" s="646"/>
      <c r="AG265" s="646"/>
      <c r="AH265" s="646"/>
      <c r="AI265" s="646"/>
      <c r="AJ265" s="646"/>
      <c r="AK265" s="646"/>
      <c r="AL265" s="646"/>
      <c r="AM265" s="646"/>
      <c r="AN265" s="646"/>
      <c r="AO265" s="646"/>
      <c r="AP265" s="646"/>
      <c r="AQ265" s="646"/>
      <c r="AR265" s="646"/>
      <c r="AS265" s="646"/>
      <c r="AT265" s="646"/>
      <c r="AU265" s="646"/>
      <c r="AV265" s="646"/>
      <c r="AW265" s="646"/>
      <c r="AX265" s="646"/>
      <c r="AY265" s="646"/>
      <c r="AZ265" s="646"/>
      <c r="BA265" s="646"/>
      <c r="BB265" s="646"/>
      <c r="BC265" s="646"/>
      <c r="BD265" s="646"/>
      <c r="BE265" s="646"/>
      <c r="BF265" s="646"/>
      <c r="BG265" s="646"/>
      <c r="BH265" s="646"/>
      <c r="BI265" s="646"/>
      <c r="BJ265" s="646"/>
      <c r="BK265" s="646"/>
      <c r="BL265" s="646"/>
      <c r="BM265" s="646"/>
      <c r="BN265" s="646"/>
      <c r="BO265" s="646"/>
      <c r="BP265" s="646"/>
      <c r="BQ265" s="646"/>
      <c r="BR265" s="645"/>
      <c r="BS265" s="645"/>
      <c r="BT265" s="645"/>
      <c r="BU265" s="645"/>
      <c r="BV265" s="646"/>
      <c r="BW265" s="647"/>
      <c r="BX265" s="647"/>
      <c r="BY265" s="647"/>
      <c r="BZ265" s="647"/>
      <c r="CA265" s="647"/>
      <c r="CB265" s="647"/>
      <c r="CC265" s="647"/>
      <c r="CD265" s="647"/>
      <c r="CE265" s="647"/>
      <c r="CF265" s="647"/>
      <c r="CG265" s="647"/>
      <c r="CH265" s="647"/>
      <c r="CI265" s="647"/>
      <c r="FK265" s="714"/>
      <c r="FL265" s="714"/>
    </row>
    <row r="266" spans="4:168" s="640" customFormat="1" ht="15.75" customHeight="1">
      <c r="D266" s="641"/>
      <c r="G266" s="642"/>
      <c r="J266" s="642"/>
      <c r="K266" s="643"/>
      <c r="M266" s="644"/>
      <c r="N266" s="642"/>
      <c r="Q266" s="642"/>
      <c r="T266" s="642"/>
      <c r="U266" s="643"/>
      <c r="X266" s="645"/>
      <c r="Y266" s="646"/>
      <c r="Z266" s="673"/>
      <c r="AA266" s="646"/>
      <c r="AB266" s="646"/>
      <c r="AC266" s="646"/>
      <c r="AD266" s="646"/>
      <c r="AE266" s="646"/>
      <c r="AF266" s="646"/>
      <c r="AG266" s="646"/>
      <c r="AH266" s="646"/>
      <c r="AI266" s="646"/>
      <c r="AJ266" s="646"/>
      <c r="AK266" s="646"/>
      <c r="AL266" s="646"/>
      <c r="AM266" s="646"/>
      <c r="AN266" s="646"/>
      <c r="AO266" s="646"/>
      <c r="AP266" s="646"/>
      <c r="AQ266" s="646"/>
      <c r="AR266" s="646"/>
      <c r="AS266" s="646"/>
      <c r="AT266" s="646"/>
      <c r="AU266" s="646"/>
      <c r="AV266" s="646"/>
      <c r="AW266" s="646"/>
      <c r="AX266" s="646"/>
      <c r="AY266" s="646"/>
      <c r="AZ266" s="646"/>
      <c r="BA266" s="646"/>
      <c r="BB266" s="646"/>
      <c r="BC266" s="646"/>
      <c r="BD266" s="646"/>
      <c r="BE266" s="646"/>
      <c r="BF266" s="646"/>
      <c r="BG266" s="646"/>
      <c r="BH266" s="646"/>
      <c r="BI266" s="646"/>
      <c r="BJ266" s="646"/>
      <c r="BK266" s="646"/>
      <c r="BL266" s="646"/>
      <c r="BM266" s="646"/>
      <c r="BN266" s="646"/>
      <c r="BO266" s="646"/>
      <c r="BP266" s="646"/>
      <c r="BQ266" s="646"/>
      <c r="BR266" s="645"/>
      <c r="BS266" s="645"/>
      <c r="BT266" s="645"/>
      <c r="BU266" s="645"/>
      <c r="BV266" s="646"/>
      <c r="BW266" s="647"/>
      <c r="BX266" s="647"/>
      <c r="BY266" s="647"/>
      <c r="BZ266" s="647"/>
      <c r="CA266" s="647"/>
      <c r="CB266" s="647"/>
      <c r="CC266" s="647"/>
      <c r="CD266" s="647"/>
      <c r="CE266" s="647"/>
      <c r="CF266" s="647"/>
      <c r="CG266" s="647"/>
      <c r="CH266" s="647"/>
      <c r="CI266" s="647"/>
      <c r="FK266" s="714"/>
      <c r="FL266" s="714"/>
    </row>
    <row r="267" spans="4:168" s="640" customFormat="1" ht="15.75" customHeight="1">
      <c r="D267" s="641"/>
      <c r="G267" s="642"/>
      <c r="J267" s="642"/>
      <c r="K267" s="643"/>
      <c r="M267" s="644"/>
      <c r="N267" s="642"/>
      <c r="Q267" s="642"/>
      <c r="T267" s="642"/>
      <c r="U267" s="643"/>
      <c r="X267" s="645"/>
      <c r="Y267" s="646"/>
      <c r="Z267" s="673"/>
      <c r="AA267" s="646"/>
      <c r="AB267" s="646"/>
      <c r="AC267" s="646"/>
      <c r="AD267" s="646"/>
      <c r="AE267" s="646"/>
      <c r="AF267" s="646"/>
      <c r="AG267" s="646"/>
      <c r="AH267" s="646"/>
      <c r="AI267" s="646"/>
      <c r="AJ267" s="646"/>
      <c r="AK267" s="646"/>
      <c r="AL267" s="646"/>
      <c r="AM267" s="646"/>
      <c r="AN267" s="646"/>
      <c r="AO267" s="646"/>
      <c r="AP267" s="646"/>
      <c r="AQ267" s="646"/>
      <c r="AR267" s="646"/>
      <c r="AS267" s="646"/>
      <c r="AT267" s="646"/>
      <c r="AU267" s="646"/>
      <c r="AV267" s="646"/>
      <c r="AW267" s="646"/>
      <c r="AX267" s="646"/>
      <c r="AY267" s="646"/>
      <c r="AZ267" s="646"/>
      <c r="BA267" s="646"/>
      <c r="BB267" s="646"/>
      <c r="BC267" s="646"/>
      <c r="BD267" s="646"/>
      <c r="BE267" s="646"/>
      <c r="BF267" s="646"/>
      <c r="BG267" s="646"/>
      <c r="BH267" s="646"/>
      <c r="BI267" s="646"/>
      <c r="BJ267" s="646"/>
      <c r="BK267" s="646"/>
      <c r="BL267" s="646"/>
      <c r="BM267" s="646"/>
      <c r="BN267" s="646"/>
      <c r="BO267" s="646"/>
      <c r="BP267" s="646"/>
      <c r="BQ267" s="646"/>
      <c r="BR267" s="645"/>
      <c r="BS267" s="645"/>
      <c r="BT267" s="645"/>
      <c r="BU267" s="645"/>
      <c r="BV267" s="646"/>
      <c r="BW267" s="647"/>
      <c r="BX267" s="647"/>
      <c r="BY267" s="647"/>
      <c r="BZ267" s="647"/>
      <c r="CA267" s="647"/>
      <c r="CB267" s="647"/>
      <c r="CC267" s="647"/>
      <c r="CD267" s="647"/>
      <c r="CE267" s="647"/>
      <c r="CF267" s="647"/>
      <c r="CG267" s="647"/>
      <c r="CH267" s="647"/>
      <c r="CI267" s="647"/>
      <c r="FK267" s="714"/>
      <c r="FL267" s="714"/>
    </row>
    <row r="268" spans="4:168" s="640" customFormat="1" ht="15.75" customHeight="1">
      <c r="D268" s="641"/>
      <c r="G268" s="642"/>
      <c r="J268" s="642"/>
      <c r="K268" s="643"/>
      <c r="M268" s="644"/>
      <c r="N268" s="642"/>
      <c r="Q268" s="642"/>
      <c r="T268" s="642"/>
      <c r="U268" s="643"/>
      <c r="X268" s="645"/>
      <c r="Y268" s="646"/>
      <c r="Z268" s="673"/>
      <c r="AA268" s="646"/>
      <c r="AB268" s="646"/>
      <c r="AC268" s="646"/>
      <c r="AD268" s="646"/>
      <c r="AE268" s="646"/>
      <c r="AF268" s="646"/>
      <c r="AG268" s="646"/>
      <c r="AH268" s="646"/>
      <c r="AI268" s="646"/>
      <c r="AJ268" s="646"/>
      <c r="AK268" s="646"/>
      <c r="AL268" s="646"/>
      <c r="AM268" s="646"/>
      <c r="AN268" s="646"/>
      <c r="AO268" s="646"/>
      <c r="AP268" s="646"/>
      <c r="AQ268" s="646"/>
      <c r="AR268" s="646"/>
      <c r="AS268" s="646"/>
      <c r="AT268" s="646"/>
      <c r="AU268" s="646"/>
      <c r="AV268" s="646"/>
      <c r="AW268" s="646"/>
      <c r="AX268" s="646"/>
      <c r="AY268" s="646"/>
      <c r="AZ268" s="646"/>
      <c r="BA268" s="646"/>
      <c r="BB268" s="646"/>
      <c r="BC268" s="646"/>
      <c r="BD268" s="646"/>
      <c r="BE268" s="646"/>
      <c r="BF268" s="646"/>
      <c r="BG268" s="646"/>
      <c r="BH268" s="646"/>
      <c r="BI268" s="646"/>
      <c r="BJ268" s="646"/>
      <c r="BK268" s="646"/>
      <c r="BL268" s="646"/>
      <c r="BM268" s="646"/>
      <c r="BN268" s="646"/>
      <c r="BO268" s="646"/>
      <c r="BP268" s="646"/>
      <c r="BQ268" s="646"/>
      <c r="BR268" s="645"/>
      <c r="BS268" s="645"/>
      <c r="BT268" s="645"/>
      <c r="BU268" s="645"/>
      <c r="BV268" s="646"/>
      <c r="BW268" s="647"/>
      <c r="BX268" s="647"/>
      <c r="BY268" s="647"/>
      <c r="BZ268" s="647"/>
      <c r="CA268" s="647"/>
      <c r="CB268" s="647"/>
      <c r="CC268" s="647"/>
      <c r="CD268" s="647"/>
      <c r="CE268" s="647"/>
      <c r="CF268" s="647"/>
      <c r="CG268" s="647"/>
      <c r="CH268" s="647"/>
      <c r="CI268" s="647"/>
      <c r="FK268" s="714"/>
      <c r="FL268" s="714"/>
    </row>
    <row r="269" spans="4:168" s="640" customFormat="1" ht="15.75" customHeight="1">
      <c r="D269" s="641"/>
      <c r="G269" s="642"/>
      <c r="J269" s="642"/>
      <c r="K269" s="643"/>
      <c r="M269" s="644"/>
      <c r="N269" s="642"/>
      <c r="Q269" s="642"/>
      <c r="T269" s="642"/>
      <c r="U269" s="643"/>
      <c r="X269" s="645"/>
      <c r="Y269" s="646"/>
      <c r="Z269" s="673"/>
      <c r="AA269" s="646"/>
      <c r="AB269" s="646"/>
      <c r="AC269" s="646"/>
      <c r="AD269" s="646"/>
      <c r="AE269" s="646"/>
      <c r="AF269" s="646"/>
      <c r="AG269" s="646"/>
      <c r="AH269" s="646"/>
      <c r="AI269" s="646"/>
      <c r="AJ269" s="646"/>
      <c r="AK269" s="646"/>
      <c r="AL269" s="646"/>
      <c r="AM269" s="646"/>
      <c r="AN269" s="646"/>
      <c r="AO269" s="646"/>
      <c r="AP269" s="646"/>
      <c r="AQ269" s="646"/>
      <c r="AR269" s="646"/>
      <c r="AS269" s="646"/>
      <c r="AT269" s="646"/>
      <c r="AU269" s="646"/>
      <c r="AV269" s="646"/>
      <c r="AW269" s="646"/>
      <c r="AX269" s="646"/>
      <c r="AY269" s="646"/>
      <c r="AZ269" s="646"/>
      <c r="BA269" s="646"/>
      <c r="BB269" s="646"/>
      <c r="BC269" s="646"/>
      <c r="BD269" s="646"/>
      <c r="BE269" s="646"/>
      <c r="BF269" s="646"/>
      <c r="BG269" s="646"/>
      <c r="BH269" s="646"/>
      <c r="BI269" s="646"/>
      <c r="BJ269" s="646"/>
      <c r="BK269" s="646"/>
      <c r="BL269" s="646"/>
      <c r="BM269" s="646"/>
      <c r="BN269" s="646"/>
      <c r="BO269" s="646"/>
      <c r="BP269" s="646"/>
      <c r="BQ269" s="646"/>
      <c r="BR269" s="645"/>
      <c r="BS269" s="645"/>
      <c r="BT269" s="645"/>
      <c r="BU269" s="645"/>
      <c r="BV269" s="646"/>
      <c r="BW269" s="647"/>
      <c r="BX269" s="647"/>
      <c r="BY269" s="647"/>
      <c r="BZ269" s="647"/>
      <c r="CA269" s="647"/>
      <c r="CB269" s="647"/>
      <c r="CC269" s="647"/>
      <c r="CD269" s="647"/>
      <c r="CE269" s="647"/>
      <c r="CF269" s="647"/>
      <c r="CG269" s="647"/>
      <c r="CH269" s="647"/>
      <c r="CI269" s="647"/>
      <c r="FK269" s="714"/>
      <c r="FL269" s="714"/>
    </row>
    <row r="270" spans="4:168" s="640" customFormat="1" ht="15.75" customHeight="1">
      <c r="D270" s="641"/>
      <c r="G270" s="642"/>
      <c r="J270" s="642"/>
      <c r="K270" s="643"/>
      <c r="M270" s="644"/>
      <c r="N270" s="642"/>
      <c r="Q270" s="642"/>
      <c r="T270" s="642"/>
      <c r="U270" s="643"/>
      <c r="X270" s="645"/>
      <c r="Y270" s="646"/>
      <c r="Z270" s="673"/>
      <c r="AA270" s="646"/>
      <c r="AB270" s="646"/>
      <c r="AC270" s="646"/>
      <c r="AD270" s="646"/>
      <c r="AE270" s="646"/>
      <c r="AF270" s="646"/>
      <c r="AG270" s="646"/>
      <c r="AH270" s="646"/>
      <c r="AI270" s="646"/>
      <c r="AJ270" s="646"/>
      <c r="AK270" s="646"/>
      <c r="AL270" s="646"/>
      <c r="AM270" s="646"/>
      <c r="AN270" s="646"/>
      <c r="AO270" s="646"/>
      <c r="AP270" s="646"/>
      <c r="AQ270" s="646"/>
      <c r="AR270" s="646"/>
      <c r="AS270" s="646"/>
      <c r="AT270" s="646"/>
      <c r="AU270" s="646"/>
      <c r="AV270" s="646"/>
      <c r="AW270" s="646"/>
      <c r="AX270" s="646"/>
      <c r="AY270" s="646"/>
      <c r="AZ270" s="646"/>
      <c r="BA270" s="646"/>
      <c r="BB270" s="646"/>
      <c r="BC270" s="646"/>
      <c r="BD270" s="646"/>
      <c r="BE270" s="646"/>
      <c r="BF270" s="646"/>
      <c r="BG270" s="646"/>
      <c r="BH270" s="646"/>
      <c r="BI270" s="646"/>
      <c r="BJ270" s="646"/>
      <c r="BK270" s="646"/>
      <c r="BL270" s="646"/>
      <c r="BM270" s="646"/>
      <c r="BN270" s="646"/>
      <c r="BO270" s="646"/>
      <c r="BP270" s="646"/>
      <c r="BQ270" s="646"/>
      <c r="BR270" s="645"/>
      <c r="BS270" s="645"/>
      <c r="BT270" s="645"/>
      <c r="BU270" s="645"/>
      <c r="BV270" s="646"/>
      <c r="BW270" s="647"/>
      <c r="BX270" s="647"/>
      <c r="BY270" s="647"/>
      <c r="BZ270" s="647"/>
      <c r="CA270" s="647"/>
      <c r="CB270" s="647"/>
      <c r="CC270" s="647"/>
      <c r="CD270" s="647"/>
      <c r="CE270" s="647"/>
      <c r="CF270" s="647"/>
      <c r="CG270" s="647"/>
      <c r="CH270" s="647"/>
      <c r="CI270" s="647"/>
      <c r="FK270" s="714"/>
      <c r="FL270" s="714"/>
    </row>
    <row r="271" spans="4:168" s="640" customFormat="1" ht="15.75" customHeight="1">
      <c r="D271" s="641"/>
      <c r="G271" s="642"/>
      <c r="J271" s="642"/>
      <c r="K271" s="643"/>
      <c r="M271" s="644"/>
      <c r="N271" s="642"/>
      <c r="Q271" s="642"/>
      <c r="T271" s="642"/>
      <c r="U271" s="643"/>
      <c r="X271" s="645"/>
      <c r="Y271" s="646"/>
      <c r="Z271" s="673"/>
      <c r="AA271" s="646"/>
      <c r="AB271" s="646"/>
      <c r="AC271" s="646"/>
      <c r="AD271" s="646"/>
      <c r="AE271" s="646"/>
      <c r="AF271" s="646"/>
      <c r="AG271" s="646"/>
      <c r="AH271" s="646"/>
      <c r="AI271" s="646"/>
      <c r="AJ271" s="646"/>
      <c r="AK271" s="646"/>
      <c r="AL271" s="646"/>
      <c r="AM271" s="646"/>
      <c r="AN271" s="646"/>
      <c r="AO271" s="646"/>
      <c r="AP271" s="646"/>
      <c r="AQ271" s="646"/>
      <c r="AR271" s="646"/>
      <c r="AS271" s="646"/>
      <c r="AT271" s="646"/>
      <c r="AU271" s="646"/>
      <c r="AV271" s="646"/>
      <c r="AW271" s="646"/>
      <c r="AX271" s="646"/>
      <c r="AY271" s="646"/>
      <c r="AZ271" s="646"/>
      <c r="BA271" s="646"/>
      <c r="BB271" s="646"/>
      <c r="BC271" s="646"/>
      <c r="BD271" s="646"/>
      <c r="BE271" s="646"/>
      <c r="BF271" s="646"/>
      <c r="BG271" s="646"/>
      <c r="BH271" s="646"/>
      <c r="BI271" s="646"/>
      <c r="BJ271" s="646"/>
      <c r="BK271" s="646"/>
      <c r="BL271" s="646"/>
      <c r="BM271" s="646"/>
      <c r="BN271" s="646"/>
      <c r="BO271" s="646"/>
      <c r="BP271" s="646"/>
      <c r="BQ271" s="646"/>
      <c r="BR271" s="645"/>
      <c r="BS271" s="645"/>
      <c r="BT271" s="645"/>
      <c r="BU271" s="645"/>
      <c r="BV271" s="646"/>
      <c r="BW271" s="647"/>
      <c r="BX271" s="647"/>
      <c r="BY271" s="647"/>
      <c r="BZ271" s="647"/>
      <c r="CA271" s="647"/>
      <c r="CB271" s="647"/>
      <c r="CC271" s="647"/>
      <c r="CD271" s="647"/>
      <c r="CE271" s="647"/>
      <c r="CF271" s="647"/>
      <c r="CG271" s="647"/>
      <c r="CH271" s="647"/>
      <c r="CI271" s="647"/>
      <c r="FK271" s="714"/>
      <c r="FL271" s="714"/>
    </row>
    <row r="272" spans="4:168" s="640" customFormat="1" ht="15.75" customHeight="1">
      <c r="D272" s="641"/>
      <c r="G272" s="642"/>
      <c r="J272" s="642"/>
      <c r="K272" s="643"/>
      <c r="M272" s="644"/>
      <c r="N272" s="642"/>
      <c r="Q272" s="642"/>
      <c r="T272" s="642"/>
      <c r="U272" s="643"/>
      <c r="X272" s="645"/>
      <c r="Y272" s="646"/>
      <c r="Z272" s="673"/>
      <c r="AA272" s="646"/>
      <c r="AB272" s="646"/>
      <c r="AC272" s="646"/>
      <c r="AD272" s="646"/>
      <c r="AE272" s="646"/>
      <c r="AF272" s="646"/>
      <c r="AG272" s="646"/>
      <c r="AH272" s="646"/>
      <c r="AI272" s="646"/>
      <c r="AJ272" s="646"/>
      <c r="AK272" s="646"/>
      <c r="AL272" s="646"/>
      <c r="AM272" s="646"/>
      <c r="AN272" s="646"/>
      <c r="AO272" s="646"/>
      <c r="AP272" s="646"/>
      <c r="AQ272" s="646"/>
      <c r="AR272" s="646"/>
      <c r="AS272" s="646"/>
      <c r="AT272" s="646"/>
      <c r="AU272" s="646"/>
      <c r="AV272" s="646"/>
      <c r="AW272" s="646"/>
      <c r="AX272" s="646"/>
      <c r="AY272" s="646"/>
      <c r="AZ272" s="646"/>
      <c r="BA272" s="646"/>
      <c r="BB272" s="646"/>
      <c r="BC272" s="646"/>
      <c r="BD272" s="646"/>
      <c r="BE272" s="646"/>
      <c r="BF272" s="646"/>
      <c r="BG272" s="646"/>
      <c r="BH272" s="646"/>
      <c r="BI272" s="646"/>
      <c r="BJ272" s="646"/>
      <c r="BK272" s="646"/>
      <c r="BL272" s="646"/>
      <c r="BM272" s="646"/>
      <c r="BN272" s="646"/>
      <c r="BO272" s="646"/>
      <c r="BP272" s="646"/>
      <c r="BQ272" s="646"/>
      <c r="BR272" s="645"/>
      <c r="BS272" s="645"/>
      <c r="BT272" s="645"/>
      <c r="BU272" s="645"/>
      <c r="BV272" s="646"/>
      <c r="BW272" s="647"/>
      <c r="BX272" s="647"/>
      <c r="BY272" s="647"/>
      <c r="BZ272" s="647"/>
      <c r="CA272" s="647"/>
      <c r="CB272" s="647"/>
      <c r="CC272" s="647"/>
      <c r="CD272" s="647"/>
      <c r="CE272" s="647"/>
      <c r="CF272" s="647"/>
      <c r="CG272" s="647"/>
      <c r="CH272" s="647"/>
      <c r="CI272" s="647"/>
      <c r="FK272" s="714"/>
      <c r="FL272" s="714"/>
    </row>
    <row r="273" spans="4:168" s="640" customFormat="1" ht="15.75" customHeight="1">
      <c r="D273" s="641"/>
      <c r="G273" s="642"/>
      <c r="J273" s="642"/>
      <c r="K273" s="643"/>
      <c r="M273" s="644"/>
      <c r="N273" s="642"/>
      <c r="Q273" s="642"/>
      <c r="T273" s="642"/>
      <c r="U273" s="643"/>
      <c r="X273" s="645"/>
      <c r="Y273" s="646"/>
      <c r="Z273" s="673"/>
      <c r="AA273" s="646"/>
      <c r="AB273" s="646"/>
      <c r="AC273" s="646"/>
      <c r="AD273" s="646"/>
      <c r="AE273" s="646"/>
      <c r="AF273" s="646"/>
      <c r="AG273" s="646"/>
      <c r="AH273" s="646"/>
      <c r="AI273" s="646"/>
      <c r="AJ273" s="646"/>
      <c r="AK273" s="646"/>
      <c r="AL273" s="646"/>
      <c r="AM273" s="646"/>
      <c r="AN273" s="646"/>
      <c r="AO273" s="646"/>
      <c r="AP273" s="646"/>
      <c r="AQ273" s="646"/>
      <c r="AR273" s="646"/>
      <c r="AS273" s="646"/>
      <c r="AT273" s="646"/>
      <c r="AU273" s="646"/>
      <c r="AV273" s="646"/>
      <c r="AW273" s="646"/>
      <c r="AX273" s="646"/>
      <c r="AY273" s="646"/>
      <c r="AZ273" s="646"/>
      <c r="BA273" s="646"/>
      <c r="BB273" s="646"/>
      <c r="BC273" s="646"/>
      <c r="BD273" s="646"/>
      <c r="BE273" s="646"/>
      <c r="BF273" s="646"/>
      <c r="BG273" s="646"/>
      <c r="BH273" s="646"/>
      <c r="BI273" s="646"/>
      <c r="BJ273" s="646"/>
      <c r="BK273" s="646"/>
      <c r="BL273" s="646"/>
      <c r="BM273" s="646"/>
      <c r="BN273" s="646"/>
      <c r="BO273" s="646"/>
      <c r="BP273" s="646"/>
      <c r="BQ273" s="646"/>
      <c r="BR273" s="645"/>
      <c r="BS273" s="645"/>
      <c r="BT273" s="645"/>
      <c r="BU273" s="645"/>
      <c r="BV273" s="646"/>
      <c r="BW273" s="647"/>
      <c r="BX273" s="647"/>
      <c r="BY273" s="647"/>
      <c r="BZ273" s="647"/>
      <c r="CA273" s="647"/>
      <c r="CB273" s="647"/>
      <c r="CC273" s="647"/>
      <c r="CD273" s="647"/>
      <c r="CE273" s="647"/>
      <c r="CF273" s="647"/>
      <c r="CG273" s="647"/>
      <c r="CH273" s="647"/>
      <c r="CI273" s="647"/>
      <c r="FK273" s="714"/>
      <c r="FL273" s="714"/>
    </row>
    <row r="274" spans="4:168" s="640" customFormat="1" ht="15.75" customHeight="1">
      <c r="D274" s="641"/>
      <c r="G274" s="642"/>
      <c r="J274" s="642"/>
      <c r="K274" s="643"/>
      <c r="M274" s="644"/>
      <c r="N274" s="642"/>
      <c r="Q274" s="642"/>
      <c r="T274" s="642"/>
      <c r="U274" s="643"/>
      <c r="X274" s="645"/>
      <c r="Y274" s="646"/>
      <c r="Z274" s="673"/>
      <c r="AA274" s="646"/>
      <c r="AB274" s="646"/>
      <c r="AC274" s="646"/>
      <c r="AD274" s="646"/>
      <c r="AE274" s="646"/>
      <c r="AF274" s="646"/>
      <c r="AG274" s="646"/>
      <c r="AH274" s="646"/>
      <c r="AI274" s="646"/>
      <c r="AJ274" s="646"/>
      <c r="AK274" s="646"/>
      <c r="AL274" s="646"/>
      <c r="AM274" s="646"/>
      <c r="AN274" s="646"/>
      <c r="AO274" s="646"/>
      <c r="AP274" s="646"/>
      <c r="AQ274" s="646"/>
      <c r="AR274" s="646"/>
      <c r="AS274" s="646"/>
      <c r="AT274" s="646"/>
      <c r="AU274" s="646"/>
      <c r="AV274" s="646"/>
      <c r="AW274" s="646"/>
      <c r="AX274" s="646"/>
      <c r="AY274" s="646"/>
      <c r="AZ274" s="646"/>
      <c r="BA274" s="646"/>
      <c r="BB274" s="646"/>
      <c r="BC274" s="646"/>
      <c r="BD274" s="646"/>
      <c r="BE274" s="646"/>
      <c r="BF274" s="646"/>
      <c r="BG274" s="646"/>
      <c r="BH274" s="646"/>
      <c r="BI274" s="646"/>
      <c r="BJ274" s="646"/>
      <c r="BK274" s="646"/>
      <c r="BL274" s="646"/>
      <c r="BM274" s="646"/>
      <c r="BN274" s="646"/>
      <c r="BO274" s="646"/>
      <c r="BP274" s="646"/>
      <c r="BQ274" s="646"/>
      <c r="BR274" s="645"/>
      <c r="BS274" s="645"/>
      <c r="BT274" s="645"/>
      <c r="BU274" s="645"/>
      <c r="BV274" s="646"/>
      <c r="BW274" s="647"/>
      <c r="BX274" s="647"/>
      <c r="BY274" s="647"/>
      <c r="BZ274" s="647"/>
      <c r="CA274" s="647"/>
      <c r="CB274" s="647"/>
      <c r="CC274" s="647"/>
      <c r="CD274" s="647"/>
      <c r="CE274" s="647"/>
      <c r="CF274" s="647"/>
      <c r="CG274" s="647"/>
      <c r="CH274" s="647"/>
      <c r="CI274" s="647"/>
      <c r="FK274" s="714"/>
      <c r="FL274" s="714"/>
    </row>
    <row r="275" spans="4:168" s="640" customFormat="1" ht="15.75" customHeight="1">
      <c r="D275" s="641"/>
      <c r="G275" s="642"/>
      <c r="J275" s="642"/>
      <c r="K275" s="643"/>
      <c r="M275" s="644"/>
      <c r="N275" s="642"/>
      <c r="Q275" s="642"/>
      <c r="T275" s="642"/>
      <c r="U275" s="643"/>
      <c r="X275" s="645"/>
      <c r="Y275" s="646"/>
      <c r="Z275" s="673"/>
      <c r="AA275" s="646"/>
      <c r="AB275" s="646"/>
      <c r="AC275" s="646"/>
      <c r="AD275" s="646"/>
      <c r="AE275" s="646"/>
      <c r="AF275" s="646"/>
      <c r="AG275" s="646"/>
      <c r="AH275" s="646"/>
      <c r="AI275" s="646"/>
      <c r="AJ275" s="646"/>
      <c r="AK275" s="646"/>
      <c r="AL275" s="646"/>
      <c r="AM275" s="646"/>
      <c r="AN275" s="646"/>
      <c r="AO275" s="646"/>
      <c r="AP275" s="646"/>
      <c r="AQ275" s="646"/>
      <c r="AR275" s="646"/>
      <c r="AS275" s="646"/>
      <c r="AT275" s="646"/>
      <c r="AU275" s="646"/>
      <c r="AV275" s="646"/>
      <c r="AW275" s="646"/>
      <c r="AX275" s="646"/>
      <c r="AY275" s="646"/>
      <c r="AZ275" s="646"/>
      <c r="BA275" s="646"/>
      <c r="BB275" s="646"/>
      <c r="BC275" s="646"/>
      <c r="BD275" s="646"/>
      <c r="BE275" s="646"/>
      <c r="BF275" s="646"/>
      <c r="BG275" s="646"/>
      <c r="BH275" s="646"/>
      <c r="BI275" s="646"/>
      <c r="BJ275" s="646"/>
      <c r="BK275" s="646"/>
      <c r="BL275" s="646"/>
      <c r="BM275" s="646"/>
      <c r="BN275" s="646"/>
      <c r="BO275" s="646"/>
      <c r="BP275" s="646"/>
      <c r="BQ275" s="646"/>
      <c r="BR275" s="645"/>
      <c r="BS275" s="645"/>
      <c r="BT275" s="645"/>
      <c r="BU275" s="645"/>
      <c r="BV275" s="646"/>
      <c r="BW275" s="647"/>
      <c r="BX275" s="647"/>
      <c r="BY275" s="647"/>
      <c r="BZ275" s="647"/>
      <c r="CA275" s="647"/>
      <c r="CB275" s="647"/>
      <c r="CC275" s="647"/>
      <c r="CD275" s="647"/>
      <c r="CE275" s="647"/>
      <c r="CF275" s="647"/>
      <c r="CG275" s="647"/>
      <c r="CH275" s="647"/>
      <c r="CI275" s="647"/>
      <c r="FK275" s="714"/>
      <c r="FL275" s="714"/>
    </row>
    <row r="276" spans="4:168" s="640" customFormat="1" ht="15.75" customHeight="1">
      <c r="D276" s="641"/>
      <c r="G276" s="642"/>
      <c r="J276" s="642"/>
      <c r="K276" s="643"/>
      <c r="M276" s="644"/>
      <c r="N276" s="642"/>
      <c r="Q276" s="642"/>
      <c r="T276" s="642"/>
      <c r="U276" s="643"/>
      <c r="X276" s="645"/>
      <c r="Y276" s="646"/>
      <c r="Z276" s="673"/>
      <c r="AA276" s="646"/>
      <c r="AB276" s="646"/>
      <c r="AC276" s="646"/>
      <c r="AD276" s="646"/>
      <c r="AE276" s="646"/>
      <c r="AF276" s="646"/>
      <c r="AG276" s="646"/>
      <c r="AH276" s="646"/>
      <c r="AI276" s="646"/>
      <c r="AJ276" s="646"/>
      <c r="AK276" s="646"/>
      <c r="AL276" s="646"/>
      <c r="AM276" s="646"/>
      <c r="AN276" s="646"/>
      <c r="AO276" s="646"/>
      <c r="AP276" s="646"/>
      <c r="AQ276" s="646"/>
      <c r="AR276" s="646"/>
      <c r="AS276" s="646"/>
      <c r="AT276" s="646"/>
      <c r="AU276" s="646"/>
      <c r="AV276" s="646"/>
      <c r="AW276" s="646"/>
      <c r="AX276" s="646"/>
      <c r="AY276" s="646"/>
      <c r="AZ276" s="646"/>
      <c r="BA276" s="646"/>
      <c r="BB276" s="646"/>
      <c r="BC276" s="646"/>
      <c r="BD276" s="646"/>
      <c r="BE276" s="646"/>
      <c r="BF276" s="646"/>
      <c r="BG276" s="646"/>
      <c r="BH276" s="646"/>
      <c r="BI276" s="646"/>
      <c r="BJ276" s="646"/>
      <c r="BK276" s="646"/>
      <c r="BL276" s="646"/>
      <c r="BM276" s="646"/>
      <c r="BN276" s="646"/>
      <c r="BO276" s="646"/>
      <c r="BP276" s="646"/>
      <c r="BQ276" s="646"/>
      <c r="BR276" s="645"/>
      <c r="BS276" s="645"/>
      <c r="BT276" s="645"/>
      <c r="BU276" s="645"/>
      <c r="BV276" s="646"/>
      <c r="BW276" s="647"/>
      <c r="BX276" s="647"/>
      <c r="BY276" s="647"/>
      <c r="BZ276" s="647"/>
      <c r="CA276" s="647"/>
      <c r="CB276" s="647"/>
      <c r="CC276" s="647"/>
      <c r="CD276" s="647"/>
      <c r="CE276" s="647"/>
      <c r="CF276" s="647"/>
      <c r="CG276" s="647"/>
      <c r="CH276" s="647"/>
      <c r="CI276" s="647"/>
      <c r="FK276" s="714"/>
      <c r="FL276" s="714"/>
    </row>
    <row r="277" spans="4:168" s="640" customFormat="1" ht="15.75" customHeight="1">
      <c r="D277" s="641"/>
      <c r="G277" s="642"/>
      <c r="J277" s="642"/>
      <c r="K277" s="643"/>
      <c r="M277" s="644"/>
      <c r="N277" s="642"/>
      <c r="Q277" s="642"/>
      <c r="T277" s="642"/>
      <c r="U277" s="643"/>
      <c r="X277" s="645"/>
      <c r="Y277" s="646"/>
      <c r="Z277" s="673"/>
      <c r="AA277" s="646"/>
      <c r="AB277" s="646"/>
      <c r="AC277" s="646"/>
      <c r="AD277" s="646"/>
      <c r="AE277" s="646"/>
      <c r="AF277" s="646"/>
      <c r="AG277" s="646"/>
      <c r="AH277" s="646"/>
      <c r="AI277" s="646"/>
      <c r="AJ277" s="646"/>
      <c r="AK277" s="646"/>
      <c r="AL277" s="646"/>
      <c r="AM277" s="646"/>
      <c r="AN277" s="646"/>
      <c r="AO277" s="646"/>
      <c r="AP277" s="646"/>
      <c r="AQ277" s="646"/>
      <c r="AR277" s="646"/>
      <c r="AS277" s="646"/>
      <c r="AT277" s="646"/>
      <c r="AU277" s="646"/>
      <c r="AV277" s="646"/>
      <c r="AW277" s="646"/>
      <c r="AX277" s="646"/>
      <c r="AY277" s="646"/>
      <c r="AZ277" s="646"/>
      <c r="BA277" s="646"/>
      <c r="BB277" s="646"/>
      <c r="BC277" s="646"/>
      <c r="BD277" s="646"/>
      <c r="BE277" s="646"/>
      <c r="BF277" s="646"/>
      <c r="BG277" s="646"/>
      <c r="BH277" s="646"/>
      <c r="BI277" s="646"/>
      <c r="BJ277" s="646"/>
      <c r="BK277" s="646"/>
      <c r="BL277" s="646"/>
      <c r="BM277" s="646"/>
      <c r="BN277" s="646"/>
      <c r="BO277" s="646"/>
      <c r="BP277" s="646"/>
      <c r="BQ277" s="646"/>
      <c r="BR277" s="645"/>
      <c r="BS277" s="645"/>
      <c r="BT277" s="645"/>
      <c r="BU277" s="645"/>
      <c r="BV277" s="646"/>
      <c r="BW277" s="647"/>
      <c r="BX277" s="647"/>
      <c r="BY277" s="647"/>
      <c r="BZ277" s="647"/>
      <c r="CA277" s="647"/>
      <c r="CB277" s="647"/>
      <c r="CC277" s="647"/>
      <c r="CD277" s="647"/>
      <c r="CE277" s="647"/>
      <c r="CF277" s="647"/>
      <c r="CG277" s="647"/>
      <c r="CH277" s="647"/>
      <c r="CI277" s="647"/>
      <c r="FK277" s="714"/>
      <c r="FL277" s="714"/>
    </row>
    <row r="278" spans="4:168" s="640" customFormat="1" ht="15.75" customHeight="1">
      <c r="D278" s="641"/>
      <c r="G278" s="642"/>
      <c r="J278" s="642"/>
      <c r="K278" s="643"/>
      <c r="M278" s="644"/>
      <c r="N278" s="642"/>
      <c r="Q278" s="642"/>
      <c r="T278" s="642"/>
      <c r="U278" s="643"/>
      <c r="X278" s="645"/>
      <c r="Y278" s="646"/>
      <c r="Z278" s="673"/>
      <c r="AA278" s="646"/>
      <c r="AB278" s="646"/>
      <c r="AC278" s="646"/>
      <c r="AD278" s="646"/>
      <c r="AE278" s="646"/>
      <c r="AF278" s="646"/>
      <c r="AG278" s="646"/>
      <c r="AH278" s="646"/>
      <c r="AI278" s="646"/>
      <c r="AJ278" s="646"/>
      <c r="AK278" s="646"/>
      <c r="AL278" s="646"/>
      <c r="AM278" s="646"/>
      <c r="AN278" s="646"/>
      <c r="AO278" s="646"/>
      <c r="AP278" s="646"/>
      <c r="AQ278" s="646"/>
      <c r="AR278" s="646"/>
      <c r="AS278" s="646"/>
      <c r="AT278" s="646"/>
      <c r="AU278" s="646"/>
      <c r="AV278" s="646"/>
      <c r="AW278" s="646"/>
      <c r="AX278" s="646"/>
      <c r="AY278" s="646"/>
      <c r="AZ278" s="646"/>
      <c r="BA278" s="646"/>
      <c r="BB278" s="646"/>
      <c r="BC278" s="646"/>
      <c r="BD278" s="646"/>
      <c r="BE278" s="646"/>
      <c r="BF278" s="646"/>
      <c r="BG278" s="646"/>
      <c r="BH278" s="646"/>
      <c r="BI278" s="646"/>
      <c r="BJ278" s="646"/>
      <c r="BK278" s="646"/>
      <c r="BL278" s="646"/>
      <c r="BM278" s="646"/>
      <c r="BN278" s="646"/>
      <c r="BO278" s="646"/>
      <c r="BP278" s="646"/>
      <c r="BQ278" s="646"/>
      <c r="BR278" s="645"/>
      <c r="BS278" s="645"/>
      <c r="BT278" s="645"/>
      <c r="BU278" s="645"/>
      <c r="BV278" s="646"/>
      <c r="BW278" s="647"/>
      <c r="BX278" s="647"/>
      <c r="BY278" s="647"/>
      <c r="BZ278" s="647"/>
      <c r="CA278" s="647"/>
      <c r="CB278" s="647"/>
      <c r="CC278" s="647"/>
      <c r="CD278" s="647"/>
      <c r="CE278" s="647"/>
      <c r="CF278" s="647"/>
      <c r="CG278" s="647"/>
      <c r="CH278" s="647"/>
      <c r="CI278" s="647"/>
      <c r="FK278" s="714"/>
      <c r="FL278" s="714"/>
    </row>
    <row r="279" spans="4:168" s="640" customFormat="1" ht="15.75" customHeight="1">
      <c r="D279" s="641"/>
      <c r="G279" s="642"/>
      <c r="J279" s="642"/>
      <c r="K279" s="643"/>
      <c r="M279" s="644"/>
      <c r="N279" s="642"/>
      <c r="Q279" s="642"/>
      <c r="T279" s="642"/>
      <c r="U279" s="643"/>
      <c r="X279" s="645"/>
      <c r="Y279" s="646"/>
      <c r="Z279" s="673"/>
      <c r="AA279" s="646"/>
      <c r="AB279" s="646"/>
      <c r="AC279" s="646"/>
      <c r="AD279" s="646"/>
      <c r="AE279" s="646"/>
      <c r="AF279" s="646"/>
      <c r="AG279" s="646"/>
      <c r="AH279" s="646"/>
      <c r="AI279" s="646"/>
      <c r="AJ279" s="646"/>
      <c r="AK279" s="646"/>
      <c r="AL279" s="646"/>
      <c r="AM279" s="646"/>
      <c r="AN279" s="646"/>
      <c r="AO279" s="646"/>
      <c r="AP279" s="646"/>
      <c r="AQ279" s="646"/>
      <c r="AR279" s="646"/>
      <c r="AS279" s="646"/>
      <c r="AT279" s="646"/>
      <c r="AU279" s="646"/>
      <c r="AV279" s="646"/>
      <c r="AW279" s="646"/>
      <c r="AX279" s="646"/>
      <c r="AY279" s="646"/>
      <c r="AZ279" s="646"/>
      <c r="BA279" s="646"/>
      <c r="BB279" s="646"/>
      <c r="BC279" s="646"/>
      <c r="BD279" s="646"/>
      <c r="BE279" s="646"/>
      <c r="BF279" s="646"/>
      <c r="BG279" s="646"/>
      <c r="BH279" s="646"/>
      <c r="BI279" s="646"/>
      <c r="BJ279" s="646"/>
      <c r="BK279" s="646"/>
      <c r="BL279" s="646"/>
      <c r="BM279" s="646"/>
      <c r="BN279" s="646"/>
      <c r="BO279" s="646"/>
      <c r="BP279" s="646"/>
      <c r="BQ279" s="646"/>
      <c r="BR279" s="645"/>
      <c r="BS279" s="645"/>
      <c r="BT279" s="645"/>
      <c r="BU279" s="645"/>
      <c r="BV279" s="646"/>
      <c r="BW279" s="647"/>
      <c r="BX279" s="647"/>
      <c r="BY279" s="647"/>
      <c r="BZ279" s="647"/>
      <c r="CA279" s="647"/>
      <c r="CB279" s="647"/>
      <c r="CC279" s="647"/>
      <c r="CD279" s="647"/>
      <c r="CE279" s="647"/>
      <c r="CF279" s="647"/>
      <c r="CG279" s="647"/>
      <c r="CH279" s="647"/>
      <c r="CI279" s="647"/>
      <c r="FK279" s="714"/>
      <c r="FL279" s="714"/>
    </row>
    <row r="280" spans="4:168" s="640" customFormat="1" ht="15.75" customHeight="1">
      <c r="D280" s="641"/>
      <c r="G280" s="642"/>
      <c r="J280" s="642"/>
      <c r="K280" s="643"/>
      <c r="M280" s="644"/>
      <c r="N280" s="642"/>
      <c r="Q280" s="642"/>
      <c r="T280" s="642"/>
      <c r="U280" s="643"/>
      <c r="X280" s="645"/>
      <c r="Y280" s="646"/>
      <c r="Z280" s="673"/>
      <c r="AA280" s="646"/>
      <c r="AB280" s="646"/>
      <c r="AC280" s="646"/>
      <c r="AD280" s="646"/>
      <c r="AE280" s="646"/>
      <c r="AF280" s="646"/>
      <c r="AG280" s="646"/>
      <c r="AH280" s="646"/>
      <c r="AI280" s="646"/>
      <c r="AJ280" s="646"/>
      <c r="AK280" s="646"/>
      <c r="AL280" s="646"/>
      <c r="AM280" s="646"/>
      <c r="AN280" s="646"/>
      <c r="AO280" s="646"/>
      <c r="AP280" s="646"/>
      <c r="AQ280" s="646"/>
      <c r="AR280" s="646"/>
      <c r="AS280" s="646"/>
      <c r="AT280" s="646"/>
      <c r="AU280" s="646"/>
      <c r="AV280" s="646"/>
      <c r="AW280" s="646"/>
      <c r="AX280" s="646"/>
      <c r="AY280" s="646"/>
      <c r="AZ280" s="646"/>
      <c r="BA280" s="646"/>
      <c r="BB280" s="646"/>
      <c r="BC280" s="646"/>
      <c r="BD280" s="646"/>
      <c r="BE280" s="646"/>
      <c r="BF280" s="646"/>
      <c r="BG280" s="646"/>
      <c r="BH280" s="646"/>
      <c r="BI280" s="646"/>
      <c r="BJ280" s="646"/>
      <c r="BK280" s="646"/>
      <c r="BL280" s="646"/>
      <c r="BM280" s="646"/>
      <c r="BN280" s="646"/>
      <c r="BO280" s="646"/>
      <c r="BP280" s="646"/>
      <c r="BQ280" s="646"/>
      <c r="BR280" s="645"/>
      <c r="BS280" s="645"/>
      <c r="BT280" s="645"/>
      <c r="BU280" s="645"/>
      <c r="BV280" s="646"/>
      <c r="BW280" s="647"/>
      <c r="BX280" s="647"/>
      <c r="BY280" s="647"/>
      <c r="BZ280" s="647"/>
      <c r="CA280" s="647"/>
      <c r="CB280" s="647"/>
      <c r="CC280" s="647"/>
      <c r="CD280" s="647"/>
      <c r="CE280" s="647"/>
      <c r="CF280" s="647"/>
      <c r="CG280" s="647"/>
      <c r="CH280" s="647"/>
      <c r="CI280" s="647"/>
      <c r="FK280" s="714"/>
      <c r="FL280" s="714"/>
    </row>
    <row r="281" spans="4:168" s="640" customFormat="1" ht="15.75" customHeight="1">
      <c r="D281" s="641"/>
      <c r="G281" s="642"/>
      <c r="J281" s="642"/>
      <c r="K281" s="643"/>
      <c r="M281" s="644"/>
      <c r="N281" s="642"/>
      <c r="Q281" s="642"/>
      <c r="T281" s="642"/>
      <c r="U281" s="643"/>
      <c r="X281" s="645"/>
      <c r="Y281" s="646"/>
      <c r="Z281" s="673"/>
      <c r="AA281" s="646"/>
      <c r="AB281" s="646"/>
      <c r="AC281" s="646"/>
      <c r="AD281" s="646"/>
      <c r="AE281" s="646"/>
      <c r="AF281" s="646"/>
      <c r="AG281" s="646"/>
      <c r="AH281" s="646"/>
      <c r="AI281" s="646"/>
      <c r="AJ281" s="646"/>
      <c r="AK281" s="646"/>
      <c r="AL281" s="646"/>
      <c r="AM281" s="646"/>
      <c r="AN281" s="646"/>
      <c r="AO281" s="646"/>
      <c r="AP281" s="646"/>
      <c r="AQ281" s="646"/>
      <c r="AR281" s="646"/>
      <c r="AS281" s="646"/>
      <c r="AT281" s="646"/>
      <c r="AU281" s="646"/>
      <c r="AV281" s="646"/>
      <c r="AW281" s="646"/>
      <c r="AX281" s="646"/>
      <c r="AY281" s="646"/>
      <c r="AZ281" s="646"/>
      <c r="BA281" s="646"/>
      <c r="BB281" s="646"/>
      <c r="BC281" s="646"/>
      <c r="BD281" s="646"/>
      <c r="BE281" s="646"/>
      <c r="BF281" s="646"/>
      <c r="BG281" s="646"/>
      <c r="BH281" s="646"/>
      <c r="BI281" s="646"/>
      <c r="BJ281" s="646"/>
      <c r="BK281" s="646"/>
      <c r="BL281" s="646"/>
      <c r="BM281" s="646"/>
      <c r="BN281" s="646"/>
      <c r="BO281" s="646"/>
      <c r="BP281" s="646"/>
      <c r="BQ281" s="646"/>
      <c r="BR281" s="645"/>
      <c r="BS281" s="645"/>
      <c r="BT281" s="645"/>
      <c r="BU281" s="645"/>
      <c r="BV281" s="646"/>
      <c r="BW281" s="647"/>
      <c r="BX281" s="647"/>
      <c r="BY281" s="647"/>
      <c r="BZ281" s="647"/>
      <c r="CA281" s="647"/>
      <c r="CB281" s="647"/>
      <c r="CC281" s="647"/>
      <c r="CD281" s="647"/>
      <c r="CE281" s="647"/>
      <c r="CF281" s="647"/>
      <c r="CG281" s="647"/>
      <c r="CH281" s="647"/>
      <c r="CI281" s="647"/>
      <c r="FK281" s="714"/>
      <c r="FL281" s="714"/>
    </row>
    <row r="282" spans="4:168" s="640" customFormat="1" ht="15.75" customHeight="1">
      <c r="D282" s="641"/>
      <c r="G282" s="642"/>
      <c r="J282" s="642"/>
      <c r="K282" s="643"/>
      <c r="M282" s="644"/>
      <c r="N282" s="642"/>
      <c r="Q282" s="642"/>
      <c r="T282" s="642"/>
      <c r="U282" s="643"/>
      <c r="X282" s="645"/>
      <c r="Y282" s="646"/>
      <c r="Z282" s="673"/>
      <c r="AA282" s="646"/>
      <c r="AB282" s="646"/>
      <c r="AC282" s="646"/>
      <c r="AD282" s="646"/>
      <c r="AE282" s="646"/>
      <c r="AF282" s="646"/>
      <c r="AG282" s="646"/>
      <c r="AH282" s="646"/>
      <c r="AI282" s="646"/>
      <c r="AJ282" s="646"/>
      <c r="AK282" s="646"/>
      <c r="AL282" s="646"/>
      <c r="AM282" s="646"/>
      <c r="AN282" s="646"/>
      <c r="AO282" s="646"/>
      <c r="AP282" s="646"/>
      <c r="AQ282" s="646"/>
      <c r="AR282" s="646"/>
      <c r="AS282" s="646"/>
      <c r="AT282" s="646"/>
      <c r="AU282" s="646"/>
      <c r="AV282" s="646"/>
      <c r="AW282" s="646"/>
      <c r="AX282" s="646"/>
      <c r="AY282" s="646"/>
      <c r="AZ282" s="646"/>
      <c r="BA282" s="646"/>
      <c r="BB282" s="646"/>
      <c r="BC282" s="646"/>
      <c r="BD282" s="646"/>
      <c r="BE282" s="646"/>
      <c r="BF282" s="646"/>
      <c r="BG282" s="646"/>
      <c r="BH282" s="646"/>
      <c r="BI282" s="646"/>
      <c r="BJ282" s="646"/>
      <c r="BK282" s="646"/>
      <c r="BL282" s="646"/>
      <c r="BM282" s="646"/>
      <c r="BN282" s="646"/>
      <c r="BO282" s="646"/>
      <c r="BP282" s="646"/>
      <c r="BQ282" s="646"/>
      <c r="BR282" s="645"/>
      <c r="BS282" s="645"/>
      <c r="BT282" s="645"/>
      <c r="BU282" s="645"/>
      <c r="BV282" s="646"/>
      <c r="BW282" s="647"/>
      <c r="BX282" s="647"/>
      <c r="BY282" s="647"/>
      <c r="BZ282" s="647"/>
      <c r="CA282" s="647"/>
      <c r="CB282" s="647"/>
      <c r="CC282" s="647"/>
      <c r="CD282" s="647"/>
      <c r="CE282" s="647"/>
      <c r="CF282" s="647"/>
      <c r="CG282" s="647"/>
      <c r="CH282" s="647"/>
      <c r="CI282" s="647"/>
      <c r="FK282" s="714"/>
      <c r="FL282" s="714"/>
    </row>
    <row r="283" spans="4:168" s="640" customFormat="1" ht="15.75" customHeight="1">
      <c r="D283" s="641"/>
      <c r="G283" s="642"/>
      <c r="J283" s="642"/>
      <c r="K283" s="643"/>
      <c r="M283" s="644"/>
      <c r="N283" s="642"/>
      <c r="Q283" s="642"/>
      <c r="T283" s="642"/>
      <c r="U283" s="643"/>
      <c r="X283" s="645"/>
      <c r="Y283" s="646"/>
      <c r="Z283" s="673"/>
      <c r="AA283" s="646"/>
      <c r="AB283" s="646"/>
      <c r="AC283" s="646"/>
      <c r="AD283" s="646"/>
      <c r="AE283" s="646"/>
      <c r="AF283" s="646"/>
      <c r="AG283" s="646"/>
      <c r="AH283" s="646"/>
      <c r="AI283" s="646"/>
      <c r="AJ283" s="646"/>
      <c r="AK283" s="646"/>
      <c r="AL283" s="646"/>
      <c r="AM283" s="646"/>
      <c r="AN283" s="646"/>
      <c r="AO283" s="646"/>
      <c r="AP283" s="646"/>
      <c r="AQ283" s="646"/>
      <c r="AR283" s="646"/>
      <c r="AS283" s="646"/>
      <c r="AT283" s="646"/>
      <c r="AU283" s="646"/>
      <c r="AV283" s="646"/>
      <c r="AW283" s="646"/>
      <c r="AX283" s="646"/>
      <c r="AY283" s="646"/>
      <c r="AZ283" s="646"/>
      <c r="BA283" s="646"/>
      <c r="BB283" s="646"/>
      <c r="BC283" s="646"/>
      <c r="BD283" s="646"/>
      <c r="BE283" s="646"/>
      <c r="BF283" s="646"/>
      <c r="BG283" s="646"/>
      <c r="BH283" s="646"/>
      <c r="BI283" s="646"/>
      <c r="BJ283" s="646"/>
      <c r="BK283" s="646"/>
      <c r="BL283" s="646"/>
      <c r="BM283" s="646"/>
      <c r="BN283" s="646"/>
      <c r="BO283" s="646"/>
      <c r="BP283" s="646"/>
      <c r="BQ283" s="646"/>
      <c r="BR283" s="645"/>
      <c r="BS283" s="645"/>
      <c r="BT283" s="645"/>
      <c r="BU283" s="645"/>
      <c r="BV283" s="646"/>
      <c r="BW283" s="647"/>
      <c r="BX283" s="647"/>
      <c r="BY283" s="647"/>
      <c r="BZ283" s="647"/>
      <c r="CA283" s="647"/>
      <c r="CB283" s="647"/>
      <c r="CC283" s="647"/>
      <c r="CD283" s="647"/>
      <c r="CE283" s="647"/>
      <c r="CF283" s="647"/>
      <c r="CG283" s="647"/>
      <c r="CH283" s="647"/>
      <c r="CI283" s="647"/>
      <c r="FK283" s="714"/>
      <c r="FL283" s="714"/>
    </row>
    <row r="284" spans="4:168" s="640" customFormat="1" ht="15.75" customHeight="1">
      <c r="D284" s="641"/>
      <c r="G284" s="642"/>
      <c r="J284" s="642"/>
      <c r="K284" s="643"/>
      <c r="M284" s="644"/>
      <c r="N284" s="642"/>
      <c r="Q284" s="642"/>
      <c r="T284" s="642"/>
      <c r="U284" s="643"/>
      <c r="X284" s="645"/>
      <c r="Y284" s="646"/>
      <c r="Z284" s="673"/>
      <c r="AA284" s="646"/>
      <c r="AB284" s="646"/>
      <c r="AC284" s="646"/>
      <c r="AD284" s="646"/>
      <c r="AE284" s="646"/>
      <c r="AF284" s="646"/>
      <c r="AG284" s="646"/>
      <c r="AH284" s="646"/>
      <c r="AI284" s="646"/>
      <c r="AJ284" s="646"/>
      <c r="AK284" s="646"/>
      <c r="AL284" s="646"/>
      <c r="AM284" s="646"/>
      <c r="AN284" s="646"/>
      <c r="AO284" s="646"/>
      <c r="AP284" s="646"/>
      <c r="AQ284" s="646"/>
      <c r="AR284" s="646"/>
      <c r="AS284" s="646"/>
      <c r="AT284" s="646"/>
      <c r="AU284" s="646"/>
      <c r="AV284" s="646"/>
      <c r="AW284" s="646"/>
      <c r="AX284" s="646"/>
      <c r="AY284" s="646"/>
      <c r="AZ284" s="646"/>
      <c r="BA284" s="646"/>
      <c r="BB284" s="646"/>
      <c r="BC284" s="646"/>
      <c r="BD284" s="646"/>
      <c r="BE284" s="646"/>
      <c r="BF284" s="646"/>
      <c r="BG284" s="646"/>
      <c r="BH284" s="646"/>
      <c r="BI284" s="646"/>
      <c r="BJ284" s="646"/>
      <c r="BK284" s="646"/>
      <c r="BL284" s="646"/>
      <c r="BM284" s="646"/>
      <c r="BN284" s="646"/>
      <c r="BO284" s="646"/>
      <c r="BP284" s="646"/>
      <c r="BQ284" s="646"/>
      <c r="BR284" s="645"/>
      <c r="BS284" s="645"/>
      <c r="BT284" s="645"/>
      <c r="BU284" s="645"/>
      <c r="BV284" s="646"/>
      <c r="BW284" s="647"/>
      <c r="BX284" s="647"/>
      <c r="BY284" s="647"/>
      <c r="BZ284" s="647"/>
      <c r="CA284" s="647"/>
      <c r="CB284" s="647"/>
      <c r="CC284" s="647"/>
      <c r="CD284" s="647"/>
      <c r="CE284" s="647"/>
      <c r="CF284" s="647"/>
      <c r="CG284" s="647"/>
      <c r="CH284" s="647"/>
      <c r="CI284" s="647"/>
      <c r="FK284" s="714"/>
      <c r="FL284" s="714"/>
    </row>
    <row r="285" spans="4:168" s="640" customFormat="1" ht="15.75" customHeight="1">
      <c r="D285" s="641"/>
      <c r="G285" s="642"/>
      <c r="J285" s="642"/>
      <c r="K285" s="643"/>
      <c r="M285" s="644"/>
      <c r="N285" s="642"/>
      <c r="Q285" s="642"/>
      <c r="T285" s="642"/>
      <c r="U285" s="643"/>
      <c r="X285" s="645"/>
      <c r="Y285" s="646"/>
      <c r="Z285" s="673"/>
      <c r="AA285" s="646"/>
      <c r="AB285" s="646"/>
      <c r="AC285" s="646"/>
      <c r="AD285" s="646"/>
      <c r="AE285" s="646"/>
      <c r="AF285" s="646"/>
      <c r="AG285" s="646"/>
      <c r="AH285" s="646"/>
      <c r="AI285" s="646"/>
      <c r="AJ285" s="646"/>
      <c r="AK285" s="646"/>
      <c r="AL285" s="646"/>
      <c r="AM285" s="646"/>
      <c r="AN285" s="646"/>
      <c r="AO285" s="646"/>
      <c r="AP285" s="646"/>
      <c r="AQ285" s="646"/>
      <c r="AR285" s="646"/>
      <c r="AS285" s="646"/>
      <c r="AT285" s="646"/>
      <c r="AU285" s="646"/>
      <c r="AV285" s="646"/>
      <c r="AW285" s="646"/>
      <c r="AX285" s="646"/>
      <c r="AY285" s="646"/>
      <c r="AZ285" s="646"/>
      <c r="BA285" s="646"/>
      <c r="BB285" s="646"/>
      <c r="BC285" s="646"/>
      <c r="BD285" s="646"/>
      <c r="BE285" s="646"/>
      <c r="BF285" s="646"/>
      <c r="BG285" s="646"/>
      <c r="BH285" s="646"/>
      <c r="BI285" s="646"/>
      <c r="BJ285" s="646"/>
      <c r="BK285" s="646"/>
      <c r="BL285" s="646"/>
      <c r="BM285" s="646"/>
      <c r="BN285" s="646"/>
      <c r="BO285" s="646"/>
      <c r="BP285" s="646"/>
      <c r="BQ285" s="646"/>
      <c r="BR285" s="645"/>
      <c r="BS285" s="645"/>
      <c r="BT285" s="645"/>
      <c r="BU285" s="645"/>
      <c r="BV285" s="646"/>
      <c r="BW285" s="647"/>
      <c r="BX285" s="647"/>
      <c r="BY285" s="647"/>
      <c r="BZ285" s="647"/>
      <c r="CA285" s="647"/>
      <c r="CB285" s="647"/>
      <c r="CC285" s="647"/>
      <c r="CD285" s="647"/>
      <c r="CE285" s="647"/>
      <c r="CF285" s="647"/>
      <c r="CG285" s="647"/>
      <c r="CH285" s="647"/>
      <c r="CI285" s="647"/>
      <c r="FK285" s="714"/>
      <c r="FL285" s="714"/>
    </row>
    <row r="286" spans="4:168" s="640" customFormat="1" ht="15.75" customHeight="1">
      <c r="D286" s="641"/>
      <c r="G286" s="642"/>
      <c r="J286" s="642"/>
      <c r="K286" s="643"/>
      <c r="M286" s="644"/>
      <c r="N286" s="642"/>
      <c r="Q286" s="642"/>
      <c r="T286" s="642"/>
      <c r="U286" s="643"/>
      <c r="X286" s="645"/>
      <c r="Y286" s="646"/>
      <c r="Z286" s="673"/>
      <c r="AA286" s="646"/>
      <c r="AB286" s="646"/>
      <c r="AC286" s="646"/>
      <c r="AD286" s="646"/>
      <c r="AE286" s="646"/>
      <c r="AF286" s="646"/>
      <c r="AG286" s="646"/>
      <c r="AH286" s="646"/>
      <c r="AI286" s="646"/>
      <c r="AJ286" s="646"/>
      <c r="AK286" s="646"/>
      <c r="AL286" s="646"/>
      <c r="AM286" s="646"/>
      <c r="AN286" s="646"/>
      <c r="AO286" s="646"/>
      <c r="AP286" s="646"/>
      <c r="AQ286" s="646"/>
      <c r="AR286" s="646"/>
      <c r="AS286" s="646"/>
      <c r="AT286" s="646"/>
      <c r="AU286" s="646"/>
      <c r="AV286" s="646"/>
      <c r="AW286" s="646"/>
      <c r="AX286" s="646"/>
      <c r="AY286" s="646"/>
      <c r="AZ286" s="646"/>
      <c r="BA286" s="646"/>
      <c r="BB286" s="646"/>
      <c r="BC286" s="646"/>
      <c r="BD286" s="646"/>
      <c r="BE286" s="646"/>
      <c r="BF286" s="646"/>
      <c r="BG286" s="646"/>
      <c r="BH286" s="646"/>
      <c r="BI286" s="646"/>
      <c r="BJ286" s="646"/>
      <c r="BK286" s="646"/>
      <c r="BL286" s="646"/>
      <c r="BM286" s="646"/>
      <c r="BN286" s="646"/>
      <c r="BO286" s="646"/>
      <c r="BP286" s="646"/>
      <c r="BQ286" s="646"/>
      <c r="BR286" s="645"/>
      <c r="BS286" s="645"/>
      <c r="BT286" s="645"/>
      <c r="BU286" s="645"/>
      <c r="BV286" s="646"/>
      <c r="BW286" s="647"/>
      <c r="BX286" s="647"/>
      <c r="BY286" s="647"/>
      <c r="BZ286" s="647"/>
      <c r="CA286" s="647"/>
      <c r="CB286" s="647"/>
      <c r="CC286" s="647"/>
      <c r="CD286" s="647"/>
      <c r="CE286" s="647"/>
      <c r="CF286" s="647"/>
      <c r="CG286" s="647"/>
      <c r="CH286" s="647"/>
      <c r="CI286" s="647"/>
      <c r="FK286" s="714"/>
      <c r="FL286" s="714"/>
    </row>
    <row r="287" spans="4:168" s="640" customFormat="1" ht="15.75" customHeight="1">
      <c r="D287" s="641"/>
      <c r="G287" s="642"/>
      <c r="J287" s="642"/>
      <c r="K287" s="643"/>
      <c r="M287" s="644"/>
      <c r="N287" s="642"/>
      <c r="Q287" s="642"/>
      <c r="T287" s="642"/>
      <c r="U287" s="643"/>
      <c r="X287" s="645"/>
      <c r="Y287" s="646"/>
      <c r="Z287" s="673"/>
      <c r="AA287" s="646"/>
      <c r="AB287" s="646"/>
      <c r="AC287" s="646"/>
      <c r="AD287" s="646"/>
      <c r="AE287" s="646"/>
      <c r="AF287" s="646"/>
      <c r="AG287" s="646"/>
      <c r="AH287" s="646"/>
      <c r="AI287" s="646"/>
      <c r="AJ287" s="646"/>
      <c r="AK287" s="646"/>
      <c r="AL287" s="646"/>
      <c r="AM287" s="646"/>
      <c r="AN287" s="646"/>
      <c r="AO287" s="646"/>
      <c r="AP287" s="646"/>
      <c r="AQ287" s="646"/>
      <c r="AR287" s="646"/>
      <c r="AS287" s="646"/>
      <c r="AT287" s="646"/>
      <c r="AU287" s="646"/>
      <c r="AV287" s="646"/>
      <c r="AW287" s="646"/>
      <c r="AX287" s="646"/>
      <c r="AY287" s="646"/>
      <c r="AZ287" s="646"/>
      <c r="BA287" s="646"/>
      <c r="BB287" s="646"/>
      <c r="BC287" s="646"/>
      <c r="BD287" s="646"/>
      <c r="BE287" s="646"/>
      <c r="BF287" s="646"/>
      <c r="BG287" s="646"/>
      <c r="BH287" s="646"/>
      <c r="BI287" s="646"/>
      <c r="BJ287" s="646"/>
      <c r="BK287" s="646"/>
      <c r="BL287" s="646"/>
      <c r="BM287" s="646"/>
      <c r="BN287" s="646"/>
      <c r="BO287" s="646"/>
      <c r="BP287" s="646"/>
      <c r="BQ287" s="646"/>
      <c r="BR287" s="645"/>
      <c r="BS287" s="645"/>
      <c r="BT287" s="645"/>
      <c r="BU287" s="645"/>
      <c r="BV287" s="646"/>
      <c r="BW287" s="647"/>
      <c r="BX287" s="647"/>
      <c r="BY287" s="647"/>
      <c r="BZ287" s="647"/>
      <c r="CA287" s="647"/>
      <c r="CB287" s="647"/>
      <c r="CC287" s="647"/>
      <c r="CD287" s="647"/>
      <c r="CE287" s="647"/>
      <c r="CF287" s="647"/>
      <c r="CG287" s="647"/>
      <c r="CH287" s="647"/>
      <c r="CI287" s="647"/>
      <c r="FK287" s="714"/>
      <c r="FL287" s="714"/>
    </row>
    <row r="288" spans="4:168" s="640" customFormat="1" ht="15.75" customHeight="1">
      <c r="D288" s="641"/>
      <c r="G288" s="642"/>
      <c r="J288" s="642"/>
      <c r="K288" s="643"/>
      <c r="M288" s="644"/>
      <c r="N288" s="642"/>
      <c r="Q288" s="642"/>
      <c r="T288" s="642"/>
      <c r="U288" s="643"/>
      <c r="X288" s="645"/>
      <c r="Y288" s="646"/>
      <c r="Z288" s="673"/>
      <c r="AA288" s="646"/>
      <c r="AB288" s="646"/>
      <c r="AC288" s="646"/>
      <c r="AD288" s="646"/>
      <c r="AE288" s="646"/>
      <c r="AF288" s="646"/>
      <c r="AG288" s="646"/>
      <c r="AH288" s="646"/>
      <c r="AI288" s="646"/>
      <c r="AJ288" s="646"/>
      <c r="AK288" s="646"/>
      <c r="AL288" s="646"/>
      <c r="AM288" s="646"/>
      <c r="AN288" s="646"/>
      <c r="AO288" s="646"/>
      <c r="AP288" s="646"/>
      <c r="AQ288" s="646"/>
      <c r="AR288" s="646"/>
      <c r="AS288" s="646"/>
      <c r="AT288" s="646"/>
      <c r="AU288" s="646"/>
      <c r="AV288" s="646"/>
      <c r="AW288" s="646"/>
      <c r="AX288" s="646"/>
      <c r="AY288" s="646"/>
      <c r="AZ288" s="646"/>
      <c r="BA288" s="646"/>
      <c r="BB288" s="646"/>
      <c r="BC288" s="646"/>
      <c r="BD288" s="646"/>
      <c r="BE288" s="646"/>
      <c r="BF288" s="646"/>
      <c r="BG288" s="646"/>
      <c r="BH288" s="646"/>
      <c r="BI288" s="646"/>
      <c r="BJ288" s="646"/>
      <c r="BK288" s="646"/>
      <c r="BL288" s="646"/>
      <c r="BM288" s="646"/>
      <c r="BN288" s="646"/>
      <c r="BO288" s="646"/>
      <c r="BP288" s="646"/>
      <c r="BQ288" s="646"/>
      <c r="BR288" s="645"/>
      <c r="BS288" s="645"/>
      <c r="BT288" s="645"/>
      <c r="BU288" s="645"/>
      <c r="BV288" s="646"/>
      <c r="BW288" s="647"/>
      <c r="BX288" s="647"/>
      <c r="BY288" s="647"/>
      <c r="BZ288" s="647"/>
      <c r="CA288" s="647"/>
      <c r="CB288" s="647"/>
      <c r="CC288" s="647"/>
      <c r="CD288" s="647"/>
      <c r="CE288" s="647"/>
      <c r="CF288" s="647"/>
      <c r="CG288" s="647"/>
      <c r="CH288" s="647"/>
      <c r="CI288" s="647"/>
      <c r="FK288" s="714"/>
      <c r="FL288" s="714"/>
    </row>
    <row r="289" spans="4:168" s="640" customFormat="1" ht="15.75" customHeight="1">
      <c r="D289" s="641"/>
      <c r="G289" s="642"/>
      <c r="J289" s="642"/>
      <c r="K289" s="643"/>
      <c r="M289" s="644"/>
      <c r="N289" s="642"/>
      <c r="Q289" s="642"/>
      <c r="T289" s="642"/>
      <c r="U289" s="643"/>
      <c r="X289" s="645"/>
      <c r="Y289" s="646"/>
      <c r="Z289" s="673"/>
      <c r="AA289" s="646"/>
      <c r="AB289" s="646"/>
      <c r="AC289" s="646"/>
      <c r="AD289" s="646"/>
      <c r="AE289" s="646"/>
      <c r="AF289" s="646"/>
      <c r="AG289" s="646"/>
      <c r="AH289" s="646"/>
      <c r="AI289" s="646"/>
      <c r="AJ289" s="646"/>
      <c r="AK289" s="646"/>
      <c r="AL289" s="646"/>
      <c r="AM289" s="646"/>
      <c r="AN289" s="646"/>
      <c r="AO289" s="646"/>
      <c r="AP289" s="646"/>
      <c r="AQ289" s="646"/>
      <c r="AR289" s="646"/>
      <c r="AS289" s="646"/>
      <c r="AT289" s="646"/>
      <c r="AU289" s="646"/>
      <c r="AV289" s="646"/>
      <c r="AW289" s="646"/>
      <c r="AX289" s="646"/>
      <c r="AY289" s="646"/>
      <c r="AZ289" s="646"/>
      <c r="BA289" s="646"/>
      <c r="BB289" s="646"/>
      <c r="BC289" s="646"/>
      <c r="BD289" s="646"/>
      <c r="BE289" s="646"/>
      <c r="BF289" s="646"/>
      <c r="BG289" s="646"/>
      <c r="BH289" s="646"/>
      <c r="BI289" s="646"/>
      <c r="BJ289" s="646"/>
      <c r="BK289" s="646"/>
      <c r="BL289" s="646"/>
      <c r="BM289" s="646"/>
      <c r="BN289" s="646"/>
      <c r="BO289" s="646"/>
      <c r="BP289" s="646"/>
      <c r="BQ289" s="646"/>
      <c r="BR289" s="645"/>
      <c r="BS289" s="645"/>
      <c r="BT289" s="645"/>
      <c r="BU289" s="645"/>
      <c r="BV289" s="646"/>
      <c r="BW289" s="647"/>
      <c r="BX289" s="647"/>
      <c r="BY289" s="647"/>
      <c r="BZ289" s="647"/>
      <c r="CA289" s="647"/>
      <c r="CB289" s="647"/>
      <c r="CC289" s="647"/>
      <c r="CD289" s="647"/>
      <c r="CE289" s="647"/>
      <c r="CF289" s="647"/>
      <c r="CG289" s="647"/>
      <c r="CH289" s="647"/>
      <c r="CI289" s="647"/>
      <c r="FK289" s="714"/>
      <c r="FL289" s="714"/>
    </row>
    <row r="290" spans="4:168" s="640" customFormat="1" ht="15.75" customHeight="1">
      <c r="D290" s="641"/>
      <c r="G290" s="642"/>
      <c r="J290" s="642"/>
      <c r="K290" s="643"/>
      <c r="M290" s="644"/>
      <c r="N290" s="642"/>
      <c r="Q290" s="642"/>
      <c r="T290" s="642"/>
      <c r="U290" s="643"/>
      <c r="X290" s="645"/>
      <c r="Y290" s="646"/>
      <c r="Z290" s="673"/>
      <c r="AA290" s="646"/>
      <c r="AB290" s="646"/>
      <c r="AC290" s="646"/>
      <c r="AD290" s="646"/>
      <c r="AE290" s="646"/>
      <c r="AF290" s="646"/>
      <c r="AG290" s="646"/>
      <c r="AH290" s="646"/>
      <c r="AI290" s="646"/>
      <c r="AJ290" s="646"/>
      <c r="AK290" s="646"/>
      <c r="AL290" s="646"/>
      <c r="AM290" s="646"/>
      <c r="AN290" s="646"/>
      <c r="AO290" s="646"/>
      <c r="AP290" s="646"/>
      <c r="AQ290" s="646"/>
      <c r="AR290" s="646"/>
      <c r="AS290" s="646"/>
      <c r="AT290" s="646"/>
      <c r="AU290" s="646"/>
      <c r="AV290" s="646"/>
      <c r="AW290" s="646"/>
      <c r="AX290" s="646"/>
      <c r="AY290" s="646"/>
      <c r="AZ290" s="646"/>
      <c r="BA290" s="646"/>
      <c r="BB290" s="646"/>
      <c r="BC290" s="646"/>
      <c r="BD290" s="646"/>
      <c r="BE290" s="646"/>
      <c r="BF290" s="646"/>
      <c r="BG290" s="646"/>
      <c r="BH290" s="646"/>
      <c r="BI290" s="646"/>
      <c r="BJ290" s="646"/>
      <c r="BK290" s="646"/>
      <c r="BL290" s="646"/>
      <c r="BM290" s="646"/>
      <c r="BN290" s="646"/>
      <c r="BO290" s="646"/>
      <c r="BP290" s="646"/>
      <c r="BQ290" s="646"/>
      <c r="BR290" s="645"/>
      <c r="BS290" s="645"/>
      <c r="BT290" s="645"/>
      <c r="BU290" s="645"/>
      <c r="BV290" s="646"/>
      <c r="BW290" s="647"/>
      <c r="BX290" s="647"/>
      <c r="BY290" s="647"/>
      <c r="BZ290" s="647"/>
      <c r="CA290" s="647"/>
      <c r="CB290" s="647"/>
      <c r="CC290" s="647"/>
      <c r="CD290" s="647"/>
      <c r="CE290" s="647"/>
      <c r="CF290" s="647"/>
      <c r="CG290" s="647"/>
      <c r="CH290" s="647"/>
      <c r="CI290" s="647"/>
      <c r="FK290" s="714"/>
      <c r="FL290" s="714"/>
    </row>
    <row r="291" spans="4:168" s="640" customFormat="1" ht="15.75" customHeight="1">
      <c r="D291" s="641"/>
      <c r="G291" s="642"/>
      <c r="J291" s="642"/>
      <c r="K291" s="643"/>
      <c r="M291" s="644"/>
      <c r="N291" s="642"/>
      <c r="Q291" s="642"/>
      <c r="T291" s="642"/>
      <c r="U291" s="643"/>
      <c r="X291" s="645"/>
      <c r="Y291" s="646"/>
      <c r="Z291" s="673"/>
      <c r="AA291" s="646"/>
      <c r="AB291" s="646"/>
      <c r="AC291" s="646"/>
      <c r="AD291" s="646"/>
      <c r="AE291" s="646"/>
      <c r="AF291" s="646"/>
      <c r="AG291" s="646"/>
      <c r="AH291" s="646"/>
      <c r="AI291" s="646"/>
      <c r="AJ291" s="646"/>
      <c r="AK291" s="646"/>
      <c r="AL291" s="646"/>
      <c r="AM291" s="646"/>
      <c r="AN291" s="646"/>
      <c r="AO291" s="646"/>
      <c r="AP291" s="646"/>
      <c r="AQ291" s="646"/>
      <c r="AR291" s="646"/>
      <c r="AS291" s="646"/>
      <c r="AT291" s="646"/>
      <c r="AU291" s="646"/>
      <c r="AV291" s="646"/>
      <c r="AW291" s="646"/>
      <c r="AX291" s="646"/>
      <c r="AY291" s="646"/>
      <c r="AZ291" s="646"/>
      <c r="BA291" s="646"/>
      <c r="BB291" s="646"/>
      <c r="BC291" s="646"/>
      <c r="BD291" s="646"/>
      <c r="BE291" s="646"/>
      <c r="BF291" s="646"/>
      <c r="BG291" s="646"/>
      <c r="BH291" s="646"/>
      <c r="BI291" s="646"/>
      <c r="BJ291" s="646"/>
      <c r="BK291" s="646"/>
      <c r="BL291" s="646"/>
      <c r="BM291" s="646"/>
      <c r="BN291" s="646"/>
      <c r="BO291" s="646"/>
      <c r="BP291" s="646"/>
      <c r="BQ291" s="646"/>
      <c r="BR291" s="645"/>
      <c r="BS291" s="645"/>
      <c r="BT291" s="645"/>
      <c r="BU291" s="645"/>
      <c r="BV291" s="646"/>
      <c r="BW291" s="647"/>
      <c r="BX291" s="647"/>
      <c r="BY291" s="647"/>
      <c r="BZ291" s="647"/>
      <c r="CA291" s="647"/>
      <c r="CB291" s="647"/>
      <c r="CC291" s="647"/>
      <c r="CD291" s="647"/>
      <c r="CE291" s="647"/>
      <c r="CF291" s="647"/>
      <c r="CG291" s="647"/>
      <c r="CH291" s="647"/>
      <c r="CI291" s="647"/>
      <c r="FK291" s="714"/>
      <c r="FL291" s="714"/>
    </row>
    <row r="292" spans="4:168" s="640" customFormat="1" ht="15.75" customHeight="1">
      <c r="D292" s="641"/>
      <c r="G292" s="642"/>
      <c r="J292" s="642"/>
      <c r="K292" s="643"/>
      <c r="M292" s="644"/>
      <c r="N292" s="642"/>
      <c r="Q292" s="642"/>
      <c r="T292" s="642"/>
      <c r="U292" s="643"/>
      <c r="X292" s="645"/>
      <c r="Y292" s="646"/>
      <c r="Z292" s="673"/>
      <c r="AA292" s="646"/>
      <c r="AB292" s="646"/>
      <c r="AC292" s="646"/>
      <c r="AD292" s="646"/>
      <c r="AE292" s="646"/>
      <c r="AF292" s="646"/>
      <c r="AG292" s="646"/>
      <c r="AH292" s="646"/>
      <c r="AI292" s="646"/>
      <c r="AJ292" s="646"/>
      <c r="AK292" s="646"/>
      <c r="AL292" s="646"/>
      <c r="AM292" s="646"/>
      <c r="AN292" s="646"/>
      <c r="AO292" s="646"/>
      <c r="AP292" s="646"/>
      <c r="AQ292" s="646"/>
      <c r="AR292" s="646"/>
      <c r="AS292" s="646"/>
      <c r="AT292" s="646"/>
      <c r="AU292" s="646"/>
      <c r="AV292" s="646"/>
      <c r="AW292" s="646"/>
      <c r="AX292" s="646"/>
      <c r="AY292" s="646"/>
      <c r="AZ292" s="646"/>
      <c r="BA292" s="646"/>
      <c r="BB292" s="646"/>
      <c r="BC292" s="646"/>
      <c r="BD292" s="646"/>
      <c r="BE292" s="646"/>
      <c r="BF292" s="646"/>
      <c r="BG292" s="646"/>
      <c r="BH292" s="646"/>
      <c r="BI292" s="646"/>
      <c r="BJ292" s="646"/>
      <c r="BK292" s="646"/>
      <c r="BL292" s="646"/>
      <c r="BM292" s="646"/>
      <c r="BN292" s="646"/>
      <c r="BO292" s="646"/>
      <c r="BP292" s="646"/>
      <c r="BQ292" s="646"/>
      <c r="BR292" s="645"/>
      <c r="BS292" s="645"/>
      <c r="BT292" s="645"/>
      <c r="BU292" s="645"/>
      <c r="BV292" s="646"/>
      <c r="BW292" s="647"/>
      <c r="BX292" s="647"/>
      <c r="BY292" s="647"/>
      <c r="BZ292" s="647"/>
      <c r="CA292" s="647"/>
      <c r="CB292" s="647"/>
      <c r="CC292" s="647"/>
      <c r="CD292" s="647"/>
      <c r="CE292" s="647"/>
      <c r="CF292" s="647"/>
      <c r="CG292" s="647"/>
      <c r="CH292" s="647"/>
      <c r="CI292" s="647"/>
      <c r="FK292" s="714"/>
      <c r="FL292" s="714"/>
    </row>
    <row r="293" spans="4:168" s="640" customFormat="1" ht="15.75" customHeight="1">
      <c r="D293" s="641"/>
      <c r="G293" s="642"/>
      <c r="J293" s="642"/>
      <c r="K293" s="643"/>
      <c r="M293" s="644"/>
      <c r="N293" s="642"/>
      <c r="Q293" s="642"/>
      <c r="T293" s="642"/>
      <c r="U293" s="643"/>
      <c r="X293" s="645"/>
      <c r="Y293" s="646"/>
      <c r="Z293" s="673"/>
      <c r="AA293" s="646"/>
      <c r="AB293" s="646"/>
      <c r="AC293" s="646"/>
      <c r="AD293" s="646"/>
      <c r="AE293" s="646"/>
      <c r="AF293" s="646"/>
      <c r="AG293" s="646"/>
      <c r="AH293" s="646"/>
      <c r="AI293" s="646"/>
      <c r="AJ293" s="646"/>
      <c r="AK293" s="646"/>
      <c r="AL293" s="646"/>
      <c r="AM293" s="646"/>
      <c r="AN293" s="646"/>
      <c r="AO293" s="646"/>
      <c r="AP293" s="646"/>
      <c r="AQ293" s="646"/>
      <c r="AR293" s="646"/>
      <c r="AS293" s="646"/>
      <c r="AT293" s="646"/>
      <c r="AU293" s="646"/>
      <c r="AV293" s="646"/>
      <c r="AW293" s="646"/>
      <c r="AX293" s="646"/>
      <c r="AY293" s="646"/>
      <c r="AZ293" s="646"/>
      <c r="BA293" s="646"/>
      <c r="BB293" s="646"/>
      <c r="BC293" s="646"/>
      <c r="BD293" s="646"/>
      <c r="BE293" s="646"/>
      <c r="BF293" s="646"/>
      <c r="BG293" s="646"/>
      <c r="BH293" s="646"/>
      <c r="BI293" s="646"/>
      <c r="BJ293" s="646"/>
      <c r="BK293" s="646"/>
      <c r="BL293" s="646"/>
      <c r="BM293" s="646"/>
      <c r="BN293" s="646"/>
      <c r="BO293" s="646"/>
      <c r="BP293" s="646"/>
      <c r="BQ293" s="646"/>
      <c r="BR293" s="645"/>
      <c r="BS293" s="645"/>
      <c r="BT293" s="645"/>
      <c r="BU293" s="645"/>
      <c r="BV293" s="646"/>
      <c r="BW293" s="647"/>
      <c r="BX293" s="647"/>
      <c r="BY293" s="647"/>
      <c r="BZ293" s="647"/>
      <c r="CA293" s="647"/>
      <c r="CB293" s="647"/>
      <c r="CC293" s="647"/>
      <c r="CD293" s="647"/>
      <c r="CE293" s="647"/>
      <c r="CF293" s="647"/>
      <c r="CG293" s="647"/>
      <c r="CH293" s="647"/>
      <c r="CI293" s="647"/>
      <c r="FK293" s="714"/>
      <c r="FL293" s="714"/>
    </row>
    <row r="294" spans="4:168" s="640" customFormat="1" ht="15.75" customHeight="1">
      <c r="D294" s="641"/>
      <c r="G294" s="642"/>
      <c r="J294" s="642"/>
      <c r="K294" s="643"/>
      <c r="M294" s="644"/>
      <c r="N294" s="642"/>
      <c r="Q294" s="642"/>
      <c r="T294" s="642"/>
      <c r="U294" s="643"/>
      <c r="X294" s="645"/>
      <c r="Y294" s="646"/>
      <c r="Z294" s="673"/>
      <c r="AA294" s="646"/>
      <c r="AB294" s="646"/>
      <c r="AC294" s="646"/>
      <c r="AD294" s="646"/>
      <c r="AE294" s="646"/>
      <c r="AF294" s="646"/>
      <c r="AG294" s="646"/>
      <c r="AH294" s="646"/>
      <c r="AI294" s="646"/>
      <c r="AJ294" s="646"/>
      <c r="AK294" s="646"/>
      <c r="AL294" s="646"/>
      <c r="AM294" s="646"/>
      <c r="AN294" s="646"/>
      <c r="AO294" s="646"/>
      <c r="AP294" s="646"/>
      <c r="AQ294" s="646"/>
      <c r="AR294" s="646"/>
      <c r="AS294" s="646"/>
      <c r="AT294" s="646"/>
      <c r="AU294" s="646"/>
      <c r="AV294" s="646"/>
      <c r="AW294" s="646"/>
      <c r="AX294" s="646"/>
      <c r="AY294" s="646"/>
      <c r="AZ294" s="646"/>
      <c r="BA294" s="646"/>
      <c r="BB294" s="646"/>
      <c r="BC294" s="646"/>
      <c r="BD294" s="646"/>
      <c r="BE294" s="646"/>
      <c r="BF294" s="646"/>
      <c r="BG294" s="646"/>
      <c r="BH294" s="646"/>
      <c r="BI294" s="646"/>
      <c r="BJ294" s="646"/>
      <c r="BK294" s="646"/>
      <c r="BL294" s="646"/>
      <c r="BM294" s="646"/>
      <c r="BN294" s="646"/>
      <c r="BO294" s="646"/>
      <c r="BP294" s="646"/>
      <c r="BQ294" s="646"/>
      <c r="BR294" s="645"/>
      <c r="BS294" s="645"/>
      <c r="BT294" s="645"/>
      <c r="BU294" s="645"/>
      <c r="BV294" s="646"/>
      <c r="BW294" s="647"/>
      <c r="BX294" s="647"/>
      <c r="BY294" s="647"/>
      <c r="BZ294" s="647"/>
      <c r="CA294" s="647"/>
      <c r="CB294" s="647"/>
      <c r="CC294" s="647"/>
      <c r="CD294" s="647"/>
      <c r="CE294" s="647"/>
      <c r="CF294" s="647"/>
      <c r="CG294" s="647"/>
      <c r="CH294" s="647"/>
      <c r="CI294" s="647"/>
      <c r="FK294" s="714"/>
      <c r="FL294" s="714"/>
    </row>
    <row r="295" spans="4:168" s="640" customFormat="1" ht="15.75" customHeight="1">
      <c r="D295" s="641"/>
      <c r="G295" s="642"/>
      <c r="J295" s="642"/>
      <c r="K295" s="643"/>
      <c r="M295" s="644"/>
      <c r="N295" s="642"/>
      <c r="Q295" s="642"/>
      <c r="T295" s="642"/>
      <c r="U295" s="643"/>
      <c r="X295" s="645"/>
      <c r="Y295" s="646"/>
      <c r="Z295" s="673"/>
      <c r="AA295" s="646"/>
      <c r="AB295" s="646"/>
      <c r="AC295" s="646"/>
      <c r="AD295" s="646"/>
      <c r="AE295" s="646"/>
      <c r="AF295" s="646"/>
      <c r="AG295" s="646"/>
      <c r="AH295" s="646"/>
      <c r="AI295" s="646"/>
      <c r="AJ295" s="646"/>
      <c r="AK295" s="646"/>
      <c r="AL295" s="646"/>
      <c r="AM295" s="646"/>
      <c r="AN295" s="646"/>
      <c r="AO295" s="646"/>
      <c r="AP295" s="646"/>
      <c r="AQ295" s="646"/>
      <c r="AR295" s="646"/>
      <c r="AS295" s="646"/>
      <c r="AT295" s="646"/>
      <c r="AU295" s="646"/>
      <c r="AV295" s="646"/>
      <c r="AW295" s="646"/>
      <c r="AX295" s="646"/>
      <c r="AY295" s="646"/>
      <c r="AZ295" s="646"/>
      <c r="BA295" s="646"/>
      <c r="BB295" s="646"/>
      <c r="BC295" s="646"/>
      <c r="BD295" s="646"/>
      <c r="BE295" s="646"/>
      <c r="BF295" s="646"/>
      <c r="BG295" s="646"/>
      <c r="BH295" s="646"/>
      <c r="BI295" s="646"/>
      <c r="BJ295" s="646"/>
      <c r="BK295" s="646"/>
      <c r="BL295" s="646"/>
      <c r="BM295" s="646"/>
      <c r="BN295" s="646"/>
      <c r="BO295" s="646"/>
      <c r="BP295" s="646"/>
      <c r="BQ295" s="646"/>
      <c r="BR295" s="645"/>
      <c r="BS295" s="645"/>
      <c r="BT295" s="645"/>
      <c r="BU295" s="645"/>
      <c r="BV295" s="646"/>
      <c r="BW295" s="647"/>
      <c r="BX295" s="647"/>
      <c r="BY295" s="647"/>
      <c r="BZ295" s="647"/>
      <c r="CA295" s="647"/>
      <c r="CB295" s="647"/>
      <c r="CC295" s="647"/>
      <c r="CD295" s="647"/>
      <c r="CE295" s="647"/>
      <c r="CF295" s="647"/>
      <c r="CG295" s="647"/>
      <c r="CH295" s="647"/>
      <c r="CI295" s="647"/>
      <c r="FK295" s="714"/>
      <c r="FL295" s="714"/>
    </row>
    <row r="296" spans="4:168" s="640" customFormat="1" ht="15.75" customHeight="1">
      <c r="D296" s="641"/>
      <c r="G296" s="642"/>
      <c r="J296" s="642"/>
      <c r="K296" s="643"/>
      <c r="M296" s="644"/>
      <c r="N296" s="642"/>
      <c r="Q296" s="642"/>
      <c r="T296" s="642"/>
      <c r="U296" s="643"/>
      <c r="X296" s="645"/>
      <c r="Y296" s="646"/>
      <c r="Z296" s="673"/>
      <c r="AA296" s="646"/>
      <c r="AB296" s="646"/>
      <c r="AC296" s="646"/>
      <c r="AD296" s="646"/>
      <c r="AE296" s="646"/>
      <c r="AF296" s="646"/>
      <c r="AG296" s="646"/>
      <c r="AH296" s="646"/>
      <c r="AI296" s="646"/>
      <c r="AJ296" s="646"/>
      <c r="AK296" s="646"/>
      <c r="AL296" s="646"/>
      <c r="AM296" s="646"/>
      <c r="AN296" s="646"/>
      <c r="AO296" s="646"/>
      <c r="AP296" s="646"/>
      <c r="AQ296" s="646"/>
      <c r="AR296" s="646"/>
      <c r="AS296" s="646"/>
      <c r="AT296" s="646"/>
      <c r="AU296" s="646"/>
      <c r="AV296" s="646"/>
      <c r="AW296" s="646"/>
      <c r="AX296" s="646"/>
      <c r="AY296" s="646"/>
      <c r="AZ296" s="646"/>
      <c r="BA296" s="646"/>
      <c r="BB296" s="646"/>
      <c r="BC296" s="646"/>
      <c r="BD296" s="646"/>
      <c r="BE296" s="646"/>
      <c r="BF296" s="646"/>
      <c r="BG296" s="646"/>
      <c r="BH296" s="646"/>
      <c r="BI296" s="646"/>
      <c r="BJ296" s="646"/>
      <c r="BK296" s="646"/>
      <c r="BL296" s="646"/>
      <c r="BM296" s="646"/>
      <c r="BN296" s="646"/>
      <c r="BO296" s="646"/>
      <c r="BP296" s="646"/>
      <c r="BQ296" s="646"/>
      <c r="BR296" s="645"/>
      <c r="BS296" s="645"/>
      <c r="BT296" s="645"/>
      <c r="BU296" s="645"/>
      <c r="BV296" s="646"/>
      <c r="BW296" s="647"/>
      <c r="BX296" s="647"/>
      <c r="BY296" s="647"/>
      <c r="BZ296" s="647"/>
      <c r="CA296" s="647"/>
      <c r="CB296" s="647"/>
      <c r="CC296" s="647"/>
      <c r="CD296" s="647"/>
      <c r="CE296" s="647"/>
      <c r="CF296" s="647"/>
      <c r="CG296" s="647"/>
      <c r="CH296" s="647"/>
      <c r="CI296" s="647"/>
      <c r="FK296" s="714"/>
      <c r="FL296" s="714"/>
    </row>
    <row r="297" spans="4:168" s="640" customFormat="1" ht="15.75" customHeight="1">
      <c r="D297" s="641"/>
      <c r="G297" s="642"/>
      <c r="J297" s="642"/>
      <c r="K297" s="643"/>
      <c r="M297" s="644"/>
      <c r="N297" s="642"/>
      <c r="Q297" s="642"/>
      <c r="T297" s="642"/>
      <c r="U297" s="643"/>
      <c r="X297" s="645"/>
      <c r="Y297" s="646"/>
      <c r="Z297" s="673"/>
      <c r="AA297" s="646"/>
      <c r="AB297" s="646"/>
      <c r="AC297" s="646"/>
      <c r="AD297" s="646"/>
      <c r="AE297" s="646"/>
      <c r="AF297" s="646"/>
      <c r="AG297" s="646"/>
      <c r="AH297" s="646"/>
      <c r="AI297" s="646"/>
      <c r="AJ297" s="646"/>
      <c r="AK297" s="646"/>
      <c r="AL297" s="646"/>
      <c r="AM297" s="646"/>
      <c r="AN297" s="646"/>
      <c r="AO297" s="646"/>
      <c r="AP297" s="646"/>
      <c r="AQ297" s="646"/>
      <c r="AR297" s="646"/>
      <c r="AS297" s="646"/>
      <c r="AT297" s="646"/>
      <c r="AU297" s="646"/>
      <c r="AV297" s="646"/>
      <c r="AW297" s="646"/>
      <c r="AX297" s="646"/>
      <c r="AY297" s="646"/>
      <c r="AZ297" s="646"/>
      <c r="BA297" s="646"/>
      <c r="BB297" s="646"/>
      <c r="BC297" s="646"/>
      <c r="BD297" s="646"/>
      <c r="BE297" s="646"/>
      <c r="BF297" s="646"/>
      <c r="BG297" s="646"/>
      <c r="BH297" s="646"/>
      <c r="BI297" s="646"/>
      <c r="BJ297" s="646"/>
      <c r="BK297" s="646"/>
      <c r="BL297" s="646"/>
      <c r="BM297" s="646"/>
      <c r="BN297" s="646"/>
      <c r="BO297" s="646"/>
      <c r="BP297" s="646"/>
      <c r="BQ297" s="646"/>
      <c r="BR297" s="645"/>
      <c r="BS297" s="645"/>
      <c r="BT297" s="645"/>
      <c r="BU297" s="645"/>
      <c r="BV297" s="646"/>
      <c r="BW297" s="647"/>
      <c r="BX297" s="647"/>
      <c r="BY297" s="647"/>
      <c r="BZ297" s="647"/>
      <c r="CA297" s="647"/>
      <c r="CB297" s="647"/>
      <c r="CC297" s="647"/>
      <c r="CD297" s="647"/>
      <c r="CE297" s="647"/>
      <c r="CF297" s="647"/>
      <c r="CG297" s="647"/>
      <c r="CH297" s="647"/>
      <c r="CI297" s="647"/>
      <c r="FK297" s="714"/>
      <c r="FL297" s="714"/>
    </row>
    <row r="298" spans="4:168" s="640" customFormat="1" ht="15.75" customHeight="1">
      <c r="D298" s="641"/>
      <c r="G298" s="642"/>
      <c r="J298" s="642"/>
      <c r="K298" s="643"/>
      <c r="M298" s="644"/>
      <c r="N298" s="642"/>
      <c r="Q298" s="642"/>
      <c r="T298" s="642"/>
      <c r="U298" s="643"/>
      <c r="X298" s="645"/>
      <c r="Y298" s="646"/>
      <c r="Z298" s="673"/>
      <c r="AA298" s="646"/>
      <c r="AB298" s="646"/>
      <c r="AC298" s="646"/>
      <c r="AD298" s="646"/>
      <c r="AE298" s="646"/>
      <c r="AF298" s="646"/>
      <c r="AG298" s="646"/>
      <c r="AH298" s="646"/>
      <c r="AI298" s="646"/>
      <c r="AJ298" s="646"/>
      <c r="AK298" s="646"/>
      <c r="AL298" s="646"/>
      <c r="AM298" s="646"/>
      <c r="AN298" s="646"/>
      <c r="AO298" s="646"/>
      <c r="AP298" s="646"/>
      <c r="AQ298" s="646"/>
      <c r="AR298" s="646"/>
      <c r="AS298" s="646"/>
      <c r="AT298" s="646"/>
      <c r="AU298" s="646"/>
      <c r="AV298" s="646"/>
      <c r="AW298" s="646"/>
      <c r="AX298" s="646"/>
      <c r="AY298" s="646"/>
      <c r="AZ298" s="646"/>
      <c r="BA298" s="646"/>
      <c r="BB298" s="646"/>
      <c r="BC298" s="646"/>
      <c r="BD298" s="646"/>
      <c r="BE298" s="646"/>
      <c r="BF298" s="646"/>
      <c r="BG298" s="646"/>
      <c r="BH298" s="646"/>
      <c r="BI298" s="646"/>
      <c r="BJ298" s="646"/>
      <c r="BK298" s="646"/>
      <c r="BL298" s="646"/>
      <c r="BM298" s="646"/>
      <c r="BN298" s="646"/>
      <c r="BO298" s="646"/>
      <c r="BP298" s="646"/>
      <c r="BQ298" s="646"/>
      <c r="BR298" s="645"/>
      <c r="BS298" s="645"/>
      <c r="BT298" s="645"/>
      <c r="BU298" s="645"/>
      <c r="BV298" s="646"/>
      <c r="BW298" s="647"/>
      <c r="BX298" s="647"/>
      <c r="BY298" s="647"/>
      <c r="BZ298" s="647"/>
      <c r="CA298" s="647"/>
      <c r="CB298" s="647"/>
      <c r="CC298" s="647"/>
      <c r="CD298" s="647"/>
      <c r="CE298" s="647"/>
      <c r="CF298" s="647"/>
      <c r="CG298" s="647"/>
      <c r="CH298" s="647"/>
      <c r="CI298" s="647"/>
      <c r="FK298" s="714"/>
      <c r="FL298" s="714"/>
    </row>
    <row r="299" spans="4:168" s="640" customFormat="1" ht="15.75" customHeight="1">
      <c r="D299" s="641"/>
      <c r="G299" s="642"/>
      <c r="J299" s="642"/>
      <c r="K299" s="643"/>
      <c r="M299" s="644"/>
      <c r="N299" s="642"/>
      <c r="Q299" s="642"/>
      <c r="T299" s="642"/>
      <c r="U299" s="643"/>
      <c r="X299" s="645"/>
      <c r="Y299" s="646"/>
      <c r="Z299" s="673"/>
      <c r="AA299" s="646"/>
      <c r="AB299" s="646"/>
      <c r="AC299" s="646"/>
      <c r="AD299" s="646"/>
      <c r="AE299" s="646"/>
      <c r="AF299" s="646"/>
      <c r="AG299" s="646"/>
      <c r="AH299" s="646"/>
      <c r="AI299" s="646"/>
      <c r="AJ299" s="646"/>
      <c r="AK299" s="646"/>
      <c r="AL299" s="646"/>
      <c r="AM299" s="646"/>
      <c r="AN299" s="646"/>
      <c r="AO299" s="646"/>
      <c r="AP299" s="646"/>
      <c r="AQ299" s="646"/>
      <c r="AR299" s="646"/>
      <c r="AS299" s="646"/>
      <c r="AT299" s="646"/>
      <c r="AU299" s="646"/>
      <c r="AV299" s="646"/>
      <c r="AW299" s="646"/>
      <c r="AX299" s="646"/>
      <c r="AY299" s="646"/>
      <c r="AZ299" s="646"/>
      <c r="BA299" s="646"/>
      <c r="BB299" s="646"/>
      <c r="BC299" s="646"/>
      <c r="BD299" s="646"/>
      <c r="BE299" s="646"/>
      <c r="BF299" s="646"/>
      <c r="BG299" s="646"/>
      <c r="BH299" s="646"/>
      <c r="BI299" s="646"/>
      <c r="BJ299" s="646"/>
      <c r="BK299" s="646"/>
      <c r="BL299" s="646"/>
      <c r="BM299" s="646"/>
      <c r="BN299" s="646"/>
      <c r="BO299" s="646"/>
      <c r="BP299" s="646"/>
      <c r="BQ299" s="646"/>
      <c r="BR299" s="645"/>
      <c r="BS299" s="645"/>
      <c r="BT299" s="645"/>
      <c r="BU299" s="645"/>
      <c r="BV299" s="646"/>
      <c r="BW299" s="647"/>
      <c r="BX299" s="647"/>
      <c r="BY299" s="647"/>
      <c r="BZ299" s="647"/>
      <c r="CA299" s="647"/>
      <c r="CB299" s="647"/>
      <c r="CC299" s="647"/>
      <c r="CD299" s="647"/>
      <c r="CE299" s="647"/>
      <c r="CF299" s="647"/>
      <c r="CG299" s="647"/>
      <c r="CH299" s="647"/>
      <c r="CI299" s="647"/>
      <c r="FK299" s="714"/>
      <c r="FL299" s="714"/>
    </row>
    <row r="300" spans="4:168" s="640" customFormat="1" ht="15.75" customHeight="1">
      <c r="D300" s="641"/>
      <c r="G300" s="642"/>
      <c r="J300" s="642"/>
      <c r="K300" s="643"/>
      <c r="M300" s="644"/>
      <c r="N300" s="642"/>
      <c r="Q300" s="642"/>
      <c r="T300" s="642"/>
      <c r="U300" s="643"/>
      <c r="X300" s="645"/>
      <c r="Y300" s="646"/>
      <c r="Z300" s="673"/>
      <c r="AA300" s="646"/>
      <c r="AB300" s="646"/>
      <c r="AC300" s="646"/>
      <c r="AD300" s="646"/>
      <c r="AE300" s="646"/>
      <c r="AF300" s="646"/>
      <c r="AG300" s="646"/>
      <c r="AH300" s="646"/>
      <c r="AI300" s="646"/>
      <c r="AJ300" s="646"/>
      <c r="AK300" s="646"/>
      <c r="AL300" s="646"/>
      <c r="AM300" s="646"/>
      <c r="AN300" s="646"/>
      <c r="AO300" s="646"/>
      <c r="AP300" s="646"/>
      <c r="AQ300" s="646"/>
      <c r="AR300" s="646"/>
      <c r="AS300" s="646"/>
      <c r="AT300" s="646"/>
      <c r="AU300" s="646"/>
      <c r="AV300" s="646"/>
      <c r="AW300" s="646"/>
      <c r="AX300" s="646"/>
      <c r="AY300" s="646"/>
      <c r="AZ300" s="646"/>
      <c r="BA300" s="646"/>
      <c r="BB300" s="646"/>
      <c r="BC300" s="646"/>
      <c r="BD300" s="646"/>
      <c r="BE300" s="646"/>
      <c r="BF300" s="646"/>
      <c r="BG300" s="646"/>
      <c r="BH300" s="646"/>
      <c r="BI300" s="646"/>
      <c r="BJ300" s="646"/>
      <c r="BK300" s="646"/>
      <c r="BL300" s="646"/>
      <c r="BM300" s="646"/>
      <c r="BN300" s="646"/>
      <c r="BO300" s="646"/>
      <c r="BP300" s="646"/>
      <c r="BQ300" s="646"/>
      <c r="BR300" s="645"/>
      <c r="BS300" s="645"/>
      <c r="BT300" s="645"/>
      <c r="BU300" s="645"/>
      <c r="BV300" s="646"/>
      <c r="BW300" s="647"/>
      <c r="BX300" s="647"/>
      <c r="BY300" s="647"/>
      <c r="BZ300" s="647"/>
      <c r="CA300" s="647"/>
      <c r="CB300" s="647"/>
      <c r="CC300" s="647"/>
      <c r="CD300" s="647"/>
      <c r="CE300" s="647"/>
      <c r="CF300" s="647"/>
      <c r="CG300" s="647"/>
      <c r="CH300" s="647"/>
      <c r="CI300" s="647"/>
      <c r="FK300" s="714"/>
      <c r="FL300" s="714"/>
    </row>
    <row r="301" spans="4:168" s="640" customFormat="1" ht="15.75" customHeight="1">
      <c r="D301" s="641"/>
      <c r="G301" s="642"/>
      <c r="J301" s="642"/>
      <c r="K301" s="643"/>
      <c r="M301" s="644"/>
      <c r="N301" s="642"/>
      <c r="Q301" s="642"/>
      <c r="T301" s="642"/>
      <c r="U301" s="643"/>
      <c r="X301" s="645"/>
      <c r="Y301" s="646"/>
      <c r="Z301" s="673"/>
      <c r="AA301" s="646"/>
      <c r="AB301" s="646"/>
      <c r="AC301" s="646"/>
      <c r="AD301" s="646"/>
      <c r="AE301" s="646"/>
      <c r="AF301" s="646"/>
      <c r="AG301" s="646"/>
      <c r="AH301" s="646"/>
      <c r="AI301" s="646"/>
      <c r="AJ301" s="646"/>
      <c r="AK301" s="646"/>
      <c r="AL301" s="646"/>
      <c r="AM301" s="646"/>
      <c r="AN301" s="646"/>
      <c r="AO301" s="646"/>
      <c r="AP301" s="646"/>
      <c r="AQ301" s="646"/>
      <c r="AR301" s="646"/>
      <c r="AS301" s="646"/>
      <c r="AT301" s="646"/>
      <c r="AU301" s="646"/>
      <c r="AV301" s="646"/>
      <c r="AW301" s="646"/>
      <c r="AX301" s="646"/>
      <c r="AY301" s="646"/>
      <c r="AZ301" s="646"/>
      <c r="BA301" s="646"/>
      <c r="BB301" s="646"/>
      <c r="BC301" s="646"/>
      <c r="BD301" s="646"/>
      <c r="BE301" s="646"/>
      <c r="BF301" s="646"/>
      <c r="BG301" s="646"/>
      <c r="BH301" s="646"/>
      <c r="BI301" s="646"/>
      <c r="BJ301" s="646"/>
      <c r="BK301" s="646"/>
      <c r="BL301" s="646"/>
      <c r="BM301" s="646"/>
      <c r="BN301" s="646"/>
      <c r="BO301" s="646"/>
      <c r="BP301" s="646"/>
      <c r="BQ301" s="646"/>
      <c r="BR301" s="645"/>
      <c r="BS301" s="645"/>
      <c r="BT301" s="645"/>
      <c r="BU301" s="645"/>
      <c r="BV301" s="646"/>
      <c r="BW301" s="647"/>
      <c r="BX301" s="647"/>
      <c r="BY301" s="647"/>
      <c r="BZ301" s="647"/>
      <c r="CA301" s="647"/>
      <c r="CB301" s="647"/>
      <c r="CC301" s="647"/>
      <c r="CD301" s="647"/>
      <c r="CE301" s="647"/>
      <c r="CF301" s="647"/>
      <c r="CG301" s="647"/>
      <c r="CH301" s="647"/>
      <c r="CI301" s="647"/>
      <c r="FK301" s="714"/>
      <c r="FL301" s="714"/>
    </row>
    <row r="302" spans="4:168" s="640" customFormat="1" ht="15.75" customHeight="1">
      <c r="D302" s="641"/>
      <c r="G302" s="642"/>
      <c r="J302" s="642"/>
      <c r="K302" s="643"/>
      <c r="M302" s="644"/>
      <c r="N302" s="642"/>
      <c r="Q302" s="642"/>
      <c r="T302" s="642"/>
      <c r="U302" s="643"/>
      <c r="X302" s="645"/>
      <c r="Y302" s="646"/>
      <c r="Z302" s="673"/>
      <c r="AA302" s="646"/>
      <c r="AB302" s="646"/>
      <c r="AC302" s="646"/>
      <c r="AD302" s="646"/>
      <c r="AE302" s="646"/>
      <c r="AF302" s="646"/>
      <c r="AG302" s="646"/>
      <c r="AH302" s="646"/>
      <c r="AI302" s="646"/>
      <c r="AJ302" s="646"/>
      <c r="AK302" s="646"/>
      <c r="AL302" s="646"/>
      <c r="AM302" s="646"/>
      <c r="AN302" s="646"/>
      <c r="AO302" s="646"/>
      <c r="AP302" s="646"/>
      <c r="AQ302" s="646"/>
      <c r="AR302" s="646"/>
      <c r="AS302" s="646"/>
      <c r="AT302" s="646"/>
      <c r="AU302" s="646"/>
      <c r="AV302" s="646"/>
      <c r="AW302" s="646"/>
      <c r="AX302" s="646"/>
      <c r="AY302" s="646"/>
      <c r="AZ302" s="646"/>
      <c r="BA302" s="646"/>
      <c r="BB302" s="646"/>
      <c r="BC302" s="646"/>
      <c r="BD302" s="646"/>
      <c r="BE302" s="646"/>
      <c r="BF302" s="646"/>
      <c r="BG302" s="646"/>
      <c r="BH302" s="646"/>
      <c r="BI302" s="646"/>
      <c r="BJ302" s="646"/>
      <c r="BK302" s="646"/>
      <c r="BL302" s="646"/>
      <c r="BM302" s="646"/>
      <c r="BN302" s="646"/>
      <c r="BO302" s="646"/>
      <c r="BP302" s="646"/>
      <c r="BQ302" s="646"/>
      <c r="BR302" s="645"/>
      <c r="BS302" s="645"/>
      <c r="BT302" s="645"/>
      <c r="BU302" s="645"/>
      <c r="BV302" s="646"/>
      <c r="BW302" s="647"/>
      <c r="BX302" s="647"/>
      <c r="BY302" s="647"/>
      <c r="BZ302" s="647"/>
      <c r="CA302" s="647"/>
      <c r="CB302" s="647"/>
      <c r="CC302" s="647"/>
      <c r="CD302" s="647"/>
      <c r="CE302" s="647"/>
      <c r="CF302" s="647"/>
      <c r="CG302" s="647"/>
      <c r="CH302" s="647"/>
      <c r="CI302" s="647"/>
      <c r="FK302" s="714"/>
      <c r="FL302" s="714"/>
    </row>
    <row r="303" spans="4:168" s="640" customFormat="1" ht="15.75" customHeight="1">
      <c r="D303" s="641"/>
      <c r="G303" s="642"/>
      <c r="J303" s="642"/>
      <c r="K303" s="643"/>
      <c r="M303" s="644"/>
      <c r="N303" s="642"/>
      <c r="Q303" s="642"/>
      <c r="T303" s="642"/>
      <c r="U303" s="643"/>
      <c r="X303" s="645"/>
      <c r="Y303" s="646"/>
      <c r="Z303" s="673"/>
      <c r="AA303" s="646"/>
      <c r="AB303" s="646"/>
      <c r="AC303" s="646"/>
      <c r="AD303" s="646"/>
      <c r="AE303" s="646"/>
      <c r="AF303" s="646"/>
      <c r="AG303" s="646"/>
      <c r="AH303" s="646"/>
      <c r="AI303" s="646"/>
      <c r="AJ303" s="646"/>
      <c r="AK303" s="646"/>
      <c r="AL303" s="646"/>
      <c r="AM303" s="646"/>
      <c r="AN303" s="646"/>
      <c r="AO303" s="646"/>
      <c r="AP303" s="646"/>
      <c r="AQ303" s="646"/>
      <c r="AR303" s="646"/>
      <c r="AS303" s="646"/>
      <c r="AT303" s="646"/>
      <c r="AU303" s="646"/>
      <c r="AV303" s="646"/>
      <c r="AW303" s="646"/>
      <c r="AX303" s="646"/>
      <c r="AY303" s="646"/>
      <c r="AZ303" s="646"/>
      <c r="BA303" s="646"/>
      <c r="BB303" s="646"/>
      <c r="BC303" s="646"/>
      <c r="BD303" s="646"/>
      <c r="BE303" s="646"/>
      <c r="BF303" s="646"/>
      <c r="BG303" s="646"/>
      <c r="BH303" s="646"/>
      <c r="BI303" s="646"/>
      <c r="BJ303" s="646"/>
      <c r="BK303" s="646"/>
      <c r="BL303" s="646"/>
      <c r="BM303" s="646"/>
      <c r="BN303" s="646"/>
      <c r="BO303" s="646"/>
      <c r="BP303" s="646"/>
      <c r="BQ303" s="646"/>
      <c r="BR303" s="645"/>
      <c r="BS303" s="645"/>
      <c r="BT303" s="645"/>
      <c r="BU303" s="645"/>
      <c r="BV303" s="646"/>
      <c r="BW303" s="647"/>
      <c r="BX303" s="647"/>
      <c r="BY303" s="647"/>
      <c r="BZ303" s="647"/>
      <c r="CA303" s="647"/>
      <c r="CB303" s="647"/>
      <c r="CC303" s="647"/>
      <c r="CD303" s="647"/>
      <c r="CE303" s="647"/>
      <c r="CF303" s="647"/>
      <c r="CG303" s="647"/>
      <c r="CH303" s="647"/>
      <c r="CI303" s="647"/>
      <c r="FK303" s="714"/>
      <c r="FL303" s="714"/>
    </row>
    <row r="304" spans="4:168" s="640" customFormat="1" ht="15.75" customHeight="1">
      <c r="D304" s="641"/>
      <c r="G304" s="642"/>
      <c r="J304" s="642"/>
      <c r="K304" s="643"/>
      <c r="M304" s="644"/>
      <c r="N304" s="642"/>
      <c r="Q304" s="642"/>
      <c r="T304" s="642"/>
      <c r="U304" s="643"/>
      <c r="X304" s="645"/>
      <c r="Y304" s="646"/>
      <c r="Z304" s="673"/>
      <c r="AA304" s="646"/>
      <c r="AB304" s="646"/>
      <c r="AC304" s="646"/>
      <c r="AD304" s="646"/>
      <c r="AE304" s="646"/>
      <c r="AF304" s="646"/>
      <c r="AG304" s="646"/>
      <c r="AH304" s="646"/>
      <c r="AI304" s="646"/>
      <c r="AJ304" s="646"/>
      <c r="AK304" s="646"/>
      <c r="AL304" s="646"/>
      <c r="AM304" s="646"/>
      <c r="AN304" s="646"/>
      <c r="AO304" s="646"/>
      <c r="AP304" s="646"/>
      <c r="AQ304" s="646"/>
      <c r="AR304" s="646"/>
      <c r="AS304" s="646"/>
      <c r="AT304" s="646"/>
      <c r="AU304" s="646"/>
      <c r="AV304" s="646"/>
      <c r="AW304" s="646"/>
      <c r="AX304" s="646"/>
      <c r="AY304" s="646"/>
      <c r="AZ304" s="646"/>
      <c r="BA304" s="646"/>
      <c r="BB304" s="646"/>
      <c r="BC304" s="646"/>
      <c r="BD304" s="646"/>
      <c r="BE304" s="646"/>
      <c r="BF304" s="646"/>
      <c r="BG304" s="646"/>
      <c r="BH304" s="646"/>
      <c r="BI304" s="646"/>
      <c r="BJ304" s="646"/>
      <c r="BK304" s="646"/>
      <c r="BL304" s="646"/>
      <c r="BM304" s="646"/>
      <c r="BN304" s="646"/>
      <c r="BO304" s="646"/>
      <c r="BP304" s="646"/>
      <c r="BQ304" s="646"/>
      <c r="BR304" s="645"/>
      <c r="BS304" s="645"/>
      <c r="BT304" s="645"/>
      <c r="BU304" s="645"/>
      <c r="BV304" s="646"/>
      <c r="BW304" s="647"/>
      <c r="BX304" s="647"/>
      <c r="BY304" s="647"/>
      <c r="BZ304" s="647"/>
      <c r="CA304" s="647"/>
      <c r="CB304" s="647"/>
      <c r="CC304" s="647"/>
      <c r="CD304" s="647"/>
      <c r="CE304" s="647"/>
      <c r="CF304" s="647"/>
      <c r="CG304" s="647"/>
      <c r="CH304" s="647"/>
      <c r="CI304" s="647"/>
      <c r="FK304" s="714"/>
      <c r="FL304" s="714"/>
    </row>
    <row r="305" spans="4:168" s="640" customFormat="1" ht="15.75" customHeight="1">
      <c r="D305" s="641"/>
      <c r="G305" s="642"/>
      <c r="J305" s="642"/>
      <c r="K305" s="643"/>
      <c r="M305" s="644"/>
      <c r="N305" s="642"/>
      <c r="Q305" s="642"/>
      <c r="T305" s="642"/>
      <c r="U305" s="643"/>
      <c r="X305" s="645"/>
      <c r="Y305" s="646"/>
      <c r="Z305" s="673"/>
      <c r="AA305" s="646"/>
      <c r="AB305" s="646"/>
      <c r="AC305" s="646"/>
      <c r="AD305" s="646"/>
      <c r="AE305" s="646"/>
      <c r="AF305" s="646"/>
      <c r="AG305" s="646"/>
      <c r="AH305" s="646"/>
      <c r="AI305" s="646"/>
      <c r="AJ305" s="646"/>
      <c r="AK305" s="646"/>
      <c r="AL305" s="646"/>
      <c r="AM305" s="646"/>
      <c r="AN305" s="646"/>
      <c r="AO305" s="646"/>
      <c r="AP305" s="646"/>
      <c r="AQ305" s="646"/>
      <c r="AR305" s="646"/>
      <c r="AS305" s="646"/>
      <c r="AT305" s="646"/>
      <c r="AU305" s="646"/>
      <c r="AV305" s="646"/>
      <c r="AW305" s="646"/>
      <c r="AX305" s="646"/>
      <c r="AY305" s="646"/>
      <c r="AZ305" s="646"/>
      <c r="BA305" s="646"/>
      <c r="BB305" s="646"/>
      <c r="BC305" s="646"/>
      <c r="BD305" s="646"/>
      <c r="BE305" s="646"/>
      <c r="BF305" s="646"/>
      <c r="BG305" s="646"/>
      <c r="BH305" s="646"/>
      <c r="BI305" s="646"/>
      <c r="BJ305" s="646"/>
      <c r="BK305" s="646"/>
      <c r="BL305" s="646"/>
      <c r="BM305" s="646"/>
      <c r="BN305" s="646"/>
      <c r="BO305" s="646"/>
      <c r="BP305" s="646"/>
      <c r="BQ305" s="646"/>
      <c r="BR305" s="645"/>
      <c r="BS305" s="645"/>
      <c r="BT305" s="645"/>
      <c r="BU305" s="645"/>
      <c r="BV305" s="646"/>
      <c r="BW305" s="647"/>
      <c r="BX305" s="647"/>
      <c r="BY305" s="647"/>
      <c r="BZ305" s="647"/>
      <c r="CA305" s="647"/>
      <c r="CB305" s="647"/>
      <c r="CC305" s="647"/>
      <c r="CD305" s="647"/>
      <c r="CE305" s="647"/>
      <c r="CF305" s="647"/>
      <c r="CG305" s="647"/>
      <c r="CH305" s="647"/>
      <c r="CI305" s="647"/>
      <c r="FK305" s="714"/>
      <c r="FL305" s="714"/>
    </row>
    <row r="306" spans="4:168" s="640" customFormat="1" ht="15.75" customHeight="1">
      <c r="D306" s="641"/>
      <c r="G306" s="642"/>
      <c r="J306" s="642"/>
      <c r="K306" s="643"/>
      <c r="M306" s="644"/>
      <c r="N306" s="642"/>
      <c r="Q306" s="642"/>
      <c r="T306" s="642"/>
      <c r="U306" s="643"/>
      <c r="X306" s="645"/>
      <c r="Y306" s="646"/>
      <c r="Z306" s="673"/>
      <c r="AA306" s="646"/>
      <c r="AB306" s="646"/>
      <c r="AC306" s="646"/>
      <c r="AD306" s="646"/>
      <c r="AE306" s="646"/>
      <c r="AF306" s="646"/>
      <c r="AG306" s="646"/>
      <c r="AH306" s="646"/>
      <c r="AI306" s="646"/>
      <c r="AJ306" s="646"/>
      <c r="AK306" s="646"/>
      <c r="AL306" s="646"/>
      <c r="AM306" s="646"/>
      <c r="AN306" s="646"/>
      <c r="AO306" s="646"/>
      <c r="AP306" s="646"/>
      <c r="AQ306" s="646"/>
      <c r="AR306" s="646"/>
      <c r="AS306" s="646"/>
      <c r="AT306" s="646"/>
      <c r="AU306" s="646"/>
      <c r="AV306" s="646"/>
      <c r="AW306" s="646"/>
      <c r="AX306" s="646"/>
      <c r="AY306" s="646"/>
      <c r="AZ306" s="646"/>
      <c r="BA306" s="646"/>
      <c r="BB306" s="646"/>
      <c r="BC306" s="646"/>
      <c r="BD306" s="646"/>
      <c r="BE306" s="646"/>
      <c r="BF306" s="646"/>
      <c r="BG306" s="646"/>
      <c r="BH306" s="646"/>
      <c r="BI306" s="646"/>
      <c r="BJ306" s="646"/>
      <c r="BK306" s="646"/>
      <c r="BL306" s="646"/>
      <c r="BM306" s="646"/>
      <c r="BN306" s="646"/>
      <c r="BO306" s="646"/>
      <c r="BP306" s="646"/>
      <c r="BQ306" s="646"/>
      <c r="BR306" s="645"/>
      <c r="BS306" s="645"/>
      <c r="BT306" s="645"/>
      <c r="BU306" s="645"/>
      <c r="BV306" s="646"/>
      <c r="BW306" s="647"/>
      <c r="BX306" s="647"/>
      <c r="BY306" s="647"/>
      <c r="BZ306" s="647"/>
      <c r="CA306" s="647"/>
      <c r="CB306" s="647"/>
      <c r="CC306" s="647"/>
      <c r="CD306" s="647"/>
      <c r="CE306" s="647"/>
      <c r="CF306" s="647"/>
      <c r="CG306" s="647"/>
      <c r="CH306" s="647"/>
      <c r="CI306" s="647"/>
      <c r="FK306" s="714"/>
      <c r="FL306" s="714"/>
    </row>
    <row r="307" spans="4:168" s="640" customFormat="1" ht="15.75" customHeight="1">
      <c r="D307" s="641"/>
      <c r="G307" s="642"/>
      <c r="J307" s="642"/>
      <c r="K307" s="643"/>
      <c r="M307" s="644"/>
      <c r="N307" s="642"/>
      <c r="Q307" s="642"/>
      <c r="T307" s="642"/>
      <c r="U307" s="643"/>
      <c r="X307" s="645"/>
      <c r="Y307" s="646"/>
      <c r="Z307" s="673"/>
      <c r="AA307" s="646"/>
      <c r="AB307" s="646"/>
      <c r="AC307" s="646"/>
      <c r="AD307" s="646"/>
      <c r="AE307" s="646"/>
      <c r="AF307" s="646"/>
      <c r="AG307" s="646"/>
      <c r="AH307" s="646"/>
      <c r="AI307" s="646"/>
      <c r="AJ307" s="646"/>
      <c r="AK307" s="646"/>
      <c r="AL307" s="646"/>
      <c r="AM307" s="646"/>
      <c r="AN307" s="646"/>
      <c r="AO307" s="646"/>
      <c r="AP307" s="646"/>
      <c r="AQ307" s="646"/>
      <c r="AR307" s="646"/>
      <c r="AS307" s="646"/>
      <c r="AT307" s="646"/>
      <c r="AU307" s="646"/>
      <c r="AV307" s="646"/>
      <c r="AW307" s="646"/>
      <c r="AX307" s="646"/>
      <c r="AY307" s="646"/>
      <c r="AZ307" s="646"/>
      <c r="BA307" s="646"/>
      <c r="BB307" s="646"/>
      <c r="BC307" s="646"/>
      <c r="BD307" s="646"/>
      <c r="BE307" s="646"/>
      <c r="BF307" s="646"/>
      <c r="BG307" s="646"/>
      <c r="BH307" s="646"/>
      <c r="BI307" s="646"/>
      <c r="BJ307" s="646"/>
      <c r="BK307" s="646"/>
      <c r="BL307" s="646"/>
      <c r="BM307" s="646"/>
      <c r="BN307" s="646"/>
      <c r="BO307" s="646"/>
      <c r="BP307" s="646"/>
      <c r="BQ307" s="646"/>
      <c r="BR307" s="645"/>
      <c r="BS307" s="645"/>
      <c r="BT307" s="645"/>
      <c r="BU307" s="645"/>
      <c r="BV307" s="646"/>
      <c r="BW307" s="647"/>
      <c r="BX307" s="647"/>
      <c r="BY307" s="647"/>
      <c r="BZ307" s="647"/>
      <c r="CA307" s="647"/>
      <c r="CB307" s="647"/>
      <c r="CC307" s="647"/>
      <c r="CD307" s="647"/>
      <c r="CE307" s="647"/>
      <c r="CF307" s="647"/>
      <c r="CG307" s="647"/>
      <c r="CH307" s="647"/>
      <c r="CI307" s="647"/>
      <c r="FK307" s="714"/>
      <c r="FL307" s="714"/>
    </row>
    <row r="308" spans="4:168" s="640" customFormat="1" ht="15.75" customHeight="1">
      <c r="D308" s="641"/>
      <c r="G308" s="642"/>
      <c r="J308" s="642"/>
      <c r="K308" s="643"/>
      <c r="M308" s="644"/>
      <c r="N308" s="642"/>
      <c r="Q308" s="642"/>
      <c r="T308" s="642"/>
      <c r="U308" s="643"/>
      <c r="X308" s="645"/>
      <c r="Y308" s="646"/>
      <c r="Z308" s="673"/>
      <c r="AA308" s="646"/>
      <c r="AB308" s="646"/>
      <c r="AC308" s="646"/>
      <c r="AD308" s="646"/>
      <c r="AE308" s="646"/>
      <c r="AF308" s="646"/>
      <c r="AG308" s="646"/>
      <c r="AH308" s="646"/>
      <c r="AI308" s="646"/>
      <c r="AJ308" s="646"/>
      <c r="AK308" s="646"/>
      <c r="AL308" s="646"/>
      <c r="AM308" s="646"/>
      <c r="AN308" s="646"/>
      <c r="AO308" s="646"/>
      <c r="AP308" s="646"/>
      <c r="AQ308" s="646"/>
      <c r="AR308" s="646"/>
      <c r="AS308" s="646"/>
      <c r="AT308" s="646"/>
      <c r="AU308" s="646"/>
      <c r="AV308" s="646"/>
      <c r="AW308" s="646"/>
      <c r="AX308" s="646"/>
      <c r="AY308" s="646"/>
      <c r="AZ308" s="646"/>
      <c r="BA308" s="646"/>
      <c r="BB308" s="646"/>
      <c r="BC308" s="646"/>
      <c r="BD308" s="646"/>
      <c r="BE308" s="646"/>
      <c r="BF308" s="646"/>
      <c r="BG308" s="646"/>
      <c r="BH308" s="646"/>
      <c r="BI308" s="646"/>
      <c r="BJ308" s="646"/>
      <c r="BK308" s="646"/>
      <c r="BL308" s="646"/>
      <c r="BM308" s="646"/>
      <c r="BN308" s="646"/>
      <c r="BO308" s="646"/>
      <c r="BP308" s="646"/>
      <c r="BQ308" s="646"/>
      <c r="BR308" s="645"/>
      <c r="BS308" s="645"/>
      <c r="BT308" s="645"/>
      <c r="BU308" s="645"/>
      <c r="BV308" s="646"/>
      <c r="BW308" s="647"/>
      <c r="BX308" s="647"/>
      <c r="BY308" s="647"/>
      <c r="BZ308" s="647"/>
      <c r="CA308" s="647"/>
      <c r="CB308" s="647"/>
      <c r="CC308" s="647"/>
      <c r="CD308" s="647"/>
      <c r="CE308" s="647"/>
      <c r="CF308" s="647"/>
      <c r="CG308" s="647"/>
      <c r="CH308" s="647"/>
      <c r="CI308" s="647"/>
      <c r="FK308" s="714"/>
      <c r="FL308" s="714"/>
    </row>
    <row r="309" spans="4:168" s="640" customFormat="1" ht="15.75" customHeight="1">
      <c r="D309" s="641"/>
      <c r="G309" s="642"/>
      <c r="J309" s="642"/>
      <c r="K309" s="643"/>
      <c r="M309" s="644"/>
      <c r="N309" s="642"/>
      <c r="Q309" s="642"/>
      <c r="T309" s="642"/>
      <c r="U309" s="643"/>
      <c r="X309" s="645"/>
      <c r="Y309" s="646"/>
      <c r="Z309" s="673"/>
      <c r="AA309" s="646"/>
      <c r="AB309" s="646"/>
      <c r="AC309" s="646"/>
      <c r="AD309" s="646"/>
      <c r="AE309" s="646"/>
      <c r="AF309" s="646"/>
      <c r="AG309" s="646"/>
      <c r="AH309" s="646"/>
      <c r="AI309" s="646"/>
      <c r="AJ309" s="646"/>
      <c r="AK309" s="646"/>
      <c r="AL309" s="646"/>
      <c r="AM309" s="646"/>
      <c r="AN309" s="646"/>
      <c r="AO309" s="646"/>
      <c r="AP309" s="646"/>
      <c r="AQ309" s="646"/>
      <c r="AR309" s="646"/>
      <c r="AS309" s="646"/>
      <c r="AT309" s="646"/>
      <c r="AU309" s="646"/>
      <c r="AV309" s="646"/>
      <c r="AW309" s="646"/>
      <c r="AX309" s="646"/>
      <c r="AY309" s="646"/>
      <c r="AZ309" s="646"/>
      <c r="BA309" s="646"/>
      <c r="BB309" s="646"/>
      <c r="BC309" s="646"/>
      <c r="BD309" s="646"/>
      <c r="BE309" s="646"/>
      <c r="BF309" s="646"/>
      <c r="BG309" s="646"/>
      <c r="BH309" s="646"/>
      <c r="BI309" s="646"/>
      <c r="BJ309" s="646"/>
      <c r="BK309" s="646"/>
      <c r="BL309" s="646"/>
      <c r="BM309" s="646"/>
      <c r="BN309" s="646"/>
      <c r="BO309" s="646"/>
      <c r="BP309" s="646"/>
      <c r="BQ309" s="646"/>
      <c r="BR309" s="645"/>
      <c r="BS309" s="645"/>
      <c r="BT309" s="645"/>
      <c r="BU309" s="645"/>
      <c r="BV309" s="646"/>
      <c r="BW309" s="647"/>
      <c r="BX309" s="647"/>
      <c r="BY309" s="647"/>
      <c r="BZ309" s="647"/>
      <c r="CA309" s="647"/>
      <c r="CB309" s="647"/>
      <c r="CC309" s="647"/>
      <c r="CD309" s="647"/>
      <c r="CE309" s="647"/>
      <c r="CF309" s="647"/>
      <c r="CG309" s="647"/>
      <c r="CH309" s="647"/>
      <c r="CI309" s="647"/>
      <c r="FK309" s="714"/>
      <c r="FL309" s="714"/>
    </row>
    <row r="310" spans="4:168" s="640" customFormat="1" ht="15.75" customHeight="1">
      <c r="D310" s="641"/>
      <c r="G310" s="642"/>
      <c r="J310" s="642"/>
      <c r="K310" s="643"/>
      <c r="M310" s="644"/>
      <c r="N310" s="642"/>
      <c r="Q310" s="642"/>
      <c r="T310" s="642"/>
      <c r="U310" s="643"/>
      <c r="X310" s="645"/>
      <c r="Y310" s="646"/>
      <c r="Z310" s="673"/>
      <c r="AA310" s="646"/>
      <c r="AB310" s="646"/>
      <c r="AC310" s="646"/>
      <c r="AD310" s="646"/>
      <c r="AE310" s="646"/>
      <c r="AF310" s="646"/>
      <c r="AG310" s="646"/>
      <c r="AH310" s="646"/>
      <c r="AI310" s="646"/>
      <c r="AJ310" s="646"/>
      <c r="AK310" s="646"/>
      <c r="AL310" s="646"/>
      <c r="AM310" s="646"/>
      <c r="AN310" s="646"/>
      <c r="AO310" s="646"/>
      <c r="AP310" s="646"/>
      <c r="AQ310" s="646"/>
      <c r="AR310" s="646"/>
      <c r="AS310" s="646"/>
      <c r="AT310" s="646"/>
      <c r="AU310" s="646"/>
      <c r="AV310" s="646"/>
      <c r="AW310" s="646"/>
      <c r="AX310" s="646"/>
      <c r="AY310" s="646"/>
      <c r="AZ310" s="646"/>
      <c r="BA310" s="646"/>
      <c r="BB310" s="646"/>
      <c r="BC310" s="646"/>
      <c r="BD310" s="646"/>
      <c r="BE310" s="646"/>
      <c r="BF310" s="646"/>
      <c r="BG310" s="646"/>
      <c r="BH310" s="646"/>
      <c r="BI310" s="646"/>
      <c r="BJ310" s="646"/>
      <c r="BK310" s="646"/>
      <c r="BL310" s="646"/>
      <c r="BM310" s="646"/>
      <c r="BN310" s="646"/>
      <c r="BO310" s="646"/>
      <c r="BP310" s="646"/>
      <c r="BQ310" s="646"/>
      <c r="BR310" s="645"/>
      <c r="BS310" s="645"/>
      <c r="BT310" s="645"/>
      <c r="BU310" s="645"/>
      <c r="BV310" s="646"/>
      <c r="BW310" s="647"/>
      <c r="BX310" s="647"/>
      <c r="BY310" s="647"/>
      <c r="BZ310" s="647"/>
      <c r="CA310" s="647"/>
      <c r="CB310" s="647"/>
      <c r="CC310" s="647"/>
      <c r="CD310" s="647"/>
      <c r="CE310" s="647"/>
      <c r="CF310" s="647"/>
      <c r="CG310" s="647"/>
      <c r="CH310" s="647"/>
      <c r="CI310" s="647"/>
      <c r="FK310" s="714"/>
      <c r="FL310" s="714"/>
    </row>
    <row r="311" spans="4:168" s="640" customFormat="1" ht="15.75" customHeight="1">
      <c r="D311" s="641"/>
      <c r="G311" s="642"/>
      <c r="J311" s="642"/>
      <c r="K311" s="643"/>
      <c r="M311" s="644"/>
      <c r="N311" s="642"/>
      <c r="Q311" s="642"/>
      <c r="T311" s="642"/>
      <c r="U311" s="643"/>
      <c r="X311" s="645"/>
      <c r="Y311" s="646"/>
      <c r="Z311" s="673"/>
      <c r="AA311" s="646"/>
      <c r="AB311" s="646"/>
      <c r="AC311" s="646"/>
      <c r="AD311" s="646"/>
      <c r="AE311" s="646"/>
      <c r="AF311" s="646"/>
      <c r="AG311" s="646"/>
      <c r="AH311" s="646"/>
      <c r="AI311" s="646"/>
      <c r="AJ311" s="646"/>
      <c r="AK311" s="646"/>
      <c r="AL311" s="646"/>
      <c r="AM311" s="646"/>
      <c r="AN311" s="646"/>
      <c r="AO311" s="646"/>
      <c r="AP311" s="646"/>
      <c r="AQ311" s="646"/>
      <c r="AR311" s="646"/>
      <c r="AS311" s="646"/>
      <c r="AT311" s="646"/>
      <c r="AU311" s="646"/>
      <c r="AV311" s="646"/>
      <c r="AW311" s="646"/>
      <c r="AX311" s="646"/>
      <c r="AY311" s="646"/>
      <c r="AZ311" s="646"/>
      <c r="BA311" s="646"/>
      <c r="BB311" s="646"/>
      <c r="BC311" s="646"/>
      <c r="BD311" s="646"/>
      <c r="BE311" s="646"/>
      <c r="BF311" s="646"/>
      <c r="BG311" s="646"/>
      <c r="BH311" s="646"/>
      <c r="BI311" s="646"/>
      <c r="BJ311" s="646"/>
      <c r="BK311" s="646"/>
      <c r="BL311" s="646"/>
      <c r="BM311" s="646"/>
      <c r="BN311" s="646"/>
      <c r="BO311" s="646"/>
      <c r="BP311" s="646"/>
      <c r="BQ311" s="646"/>
      <c r="BR311" s="645"/>
      <c r="BS311" s="645"/>
      <c r="BT311" s="645"/>
      <c r="BU311" s="645"/>
      <c r="BV311" s="646"/>
      <c r="BW311" s="647"/>
      <c r="BX311" s="647"/>
      <c r="BY311" s="647"/>
      <c r="BZ311" s="647"/>
      <c r="CA311" s="647"/>
      <c r="CB311" s="647"/>
      <c r="CC311" s="647"/>
      <c r="CD311" s="647"/>
      <c r="CE311" s="647"/>
      <c r="CF311" s="647"/>
      <c r="CG311" s="647"/>
      <c r="CH311" s="647"/>
      <c r="CI311" s="647"/>
      <c r="FK311" s="714"/>
      <c r="FL311" s="714"/>
    </row>
    <row r="312" spans="4:168" s="640" customFormat="1" ht="15.75" customHeight="1">
      <c r="D312" s="641"/>
      <c r="G312" s="642"/>
      <c r="J312" s="642"/>
      <c r="K312" s="643"/>
      <c r="M312" s="644"/>
      <c r="N312" s="642"/>
      <c r="Q312" s="642"/>
      <c r="T312" s="642"/>
      <c r="U312" s="643"/>
      <c r="X312" s="645"/>
      <c r="Y312" s="646"/>
      <c r="Z312" s="673"/>
      <c r="AA312" s="646"/>
      <c r="AB312" s="646"/>
      <c r="AC312" s="646"/>
      <c r="AD312" s="646"/>
      <c r="AE312" s="646"/>
      <c r="AF312" s="646"/>
      <c r="AG312" s="646"/>
      <c r="AH312" s="646"/>
      <c r="AI312" s="646"/>
      <c r="AJ312" s="646"/>
      <c r="AK312" s="646"/>
      <c r="AL312" s="646"/>
      <c r="AM312" s="646"/>
      <c r="AN312" s="646"/>
      <c r="AO312" s="646"/>
      <c r="AP312" s="646"/>
      <c r="AQ312" s="646"/>
      <c r="AR312" s="646"/>
      <c r="AS312" s="646"/>
      <c r="AT312" s="646"/>
      <c r="AU312" s="646"/>
      <c r="AV312" s="646"/>
      <c r="AW312" s="646"/>
      <c r="AX312" s="646"/>
      <c r="AY312" s="646"/>
      <c r="AZ312" s="646"/>
      <c r="BA312" s="646"/>
      <c r="BB312" s="646"/>
      <c r="BC312" s="646"/>
      <c r="BD312" s="646"/>
      <c r="BE312" s="646"/>
      <c r="BF312" s="646"/>
      <c r="BG312" s="646"/>
      <c r="BH312" s="646"/>
      <c r="BI312" s="646"/>
      <c r="BJ312" s="646"/>
      <c r="BK312" s="646"/>
      <c r="BL312" s="646"/>
      <c r="BM312" s="646"/>
      <c r="BN312" s="646"/>
      <c r="BO312" s="646"/>
      <c r="BP312" s="646"/>
      <c r="BQ312" s="646"/>
      <c r="BR312" s="645"/>
      <c r="BS312" s="645"/>
      <c r="BT312" s="645"/>
      <c r="BU312" s="645"/>
      <c r="BV312" s="646"/>
      <c r="BW312" s="647"/>
      <c r="BX312" s="647"/>
      <c r="BY312" s="647"/>
      <c r="BZ312" s="647"/>
      <c r="CA312" s="647"/>
      <c r="CB312" s="647"/>
      <c r="CC312" s="647"/>
      <c r="CD312" s="647"/>
      <c r="CE312" s="647"/>
      <c r="CF312" s="647"/>
      <c r="CG312" s="647"/>
      <c r="CH312" s="647"/>
      <c r="CI312" s="647"/>
      <c r="FK312" s="714"/>
      <c r="FL312" s="714"/>
    </row>
    <row r="313" spans="4:168" s="640" customFormat="1" ht="15.75" customHeight="1">
      <c r="D313" s="641"/>
      <c r="G313" s="642"/>
      <c r="J313" s="642"/>
      <c r="K313" s="643"/>
      <c r="M313" s="644"/>
      <c r="N313" s="642"/>
      <c r="Q313" s="642"/>
      <c r="T313" s="642"/>
      <c r="U313" s="643"/>
      <c r="X313" s="645"/>
      <c r="Y313" s="646"/>
      <c r="Z313" s="673"/>
      <c r="AA313" s="646"/>
      <c r="AB313" s="646"/>
      <c r="AC313" s="646"/>
      <c r="AD313" s="646"/>
      <c r="AE313" s="646"/>
      <c r="AF313" s="646"/>
      <c r="AG313" s="646"/>
      <c r="AH313" s="646"/>
      <c r="AI313" s="646"/>
      <c r="AJ313" s="646"/>
      <c r="AK313" s="646"/>
      <c r="AL313" s="646"/>
      <c r="AM313" s="646"/>
      <c r="AN313" s="646"/>
      <c r="AO313" s="646"/>
      <c r="AP313" s="646"/>
      <c r="AQ313" s="646"/>
      <c r="AR313" s="646"/>
      <c r="AS313" s="646"/>
      <c r="AT313" s="646"/>
      <c r="AU313" s="646"/>
      <c r="AV313" s="646"/>
      <c r="AW313" s="646"/>
      <c r="AX313" s="646"/>
      <c r="AY313" s="646"/>
      <c r="AZ313" s="646"/>
      <c r="BA313" s="646"/>
      <c r="BB313" s="646"/>
      <c r="BC313" s="646"/>
      <c r="BD313" s="646"/>
      <c r="BE313" s="646"/>
      <c r="BF313" s="646"/>
      <c r="BG313" s="646"/>
      <c r="BH313" s="646"/>
      <c r="BI313" s="646"/>
      <c r="BJ313" s="646"/>
      <c r="BK313" s="646"/>
      <c r="BL313" s="646"/>
      <c r="BM313" s="646"/>
      <c r="BN313" s="646"/>
      <c r="BO313" s="646"/>
      <c r="BP313" s="646"/>
      <c r="BQ313" s="646"/>
      <c r="BR313" s="645"/>
      <c r="BS313" s="645"/>
      <c r="BT313" s="645"/>
      <c r="BU313" s="645"/>
      <c r="BV313" s="646"/>
      <c r="BW313" s="647"/>
      <c r="BX313" s="647"/>
      <c r="BY313" s="647"/>
      <c r="BZ313" s="647"/>
      <c r="CA313" s="647"/>
      <c r="CB313" s="647"/>
      <c r="CC313" s="647"/>
      <c r="CD313" s="647"/>
      <c r="CE313" s="647"/>
      <c r="CF313" s="647"/>
      <c r="CG313" s="647"/>
      <c r="CH313" s="647"/>
      <c r="CI313" s="647"/>
      <c r="FK313" s="714"/>
      <c r="FL313" s="714"/>
    </row>
    <row r="314" spans="4:168" s="640" customFormat="1" ht="15.75" customHeight="1">
      <c r="D314" s="641"/>
      <c r="G314" s="642"/>
      <c r="J314" s="642"/>
      <c r="K314" s="643"/>
      <c r="M314" s="644"/>
      <c r="N314" s="642"/>
      <c r="Q314" s="642"/>
      <c r="T314" s="642"/>
      <c r="U314" s="643"/>
      <c r="X314" s="645"/>
      <c r="Y314" s="646"/>
      <c r="Z314" s="673"/>
      <c r="AA314" s="646"/>
      <c r="AB314" s="646"/>
      <c r="AC314" s="646"/>
      <c r="AD314" s="646"/>
      <c r="AE314" s="646"/>
      <c r="AF314" s="646"/>
      <c r="AG314" s="646"/>
      <c r="AH314" s="646"/>
      <c r="AI314" s="646"/>
      <c r="AJ314" s="646"/>
      <c r="AK314" s="646"/>
      <c r="AL314" s="646"/>
      <c r="AM314" s="646"/>
      <c r="AN314" s="646"/>
      <c r="AO314" s="646"/>
      <c r="AP314" s="646"/>
      <c r="AQ314" s="646"/>
      <c r="AR314" s="646"/>
      <c r="AS314" s="646"/>
      <c r="AT314" s="646"/>
      <c r="AU314" s="646"/>
      <c r="AV314" s="646"/>
      <c r="AW314" s="646"/>
      <c r="AX314" s="646"/>
      <c r="AY314" s="646"/>
      <c r="AZ314" s="646"/>
      <c r="BA314" s="646"/>
      <c r="BB314" s="646"/>
      <c r="BC314" s="646"/>
      <c r="BD314" s="646"/>
      <c r="BE314" s="646"/>
      <c r="BF314" s="646"/>
      <c r="BG314" s="646"/>
      <c r="BH314" s="646"/>
      <c r="BI314" s="646"/>
      <c r="BJ314" s="646"/>
      <c r="BK314" s="646"/>
      <c r="BL314" s="646"/>
      <c r="BM314" s="646"/>
      <c r="BN314" s="646"/>
      <c r="BO314" s="646"/>
      <c r="BP314" s="646"/>
      <c r="BQ314" s="646"/>
      <c r="BR314" s="645"/>
      <c r="BS314" s="645"/>
      <c r="BT314" s="645"/>
      <c r="BU314" s="645"/>
      <c r="BV314" s="646"/>
      <c r="BW314" s="647"/>
      <c r="BX314" s="647"/>
      <c r="BY314" s="647"/>
      <c r="BZ314" s="647"/>
      <c r="CA314" s="647"/>
      <c r="CB314" s="647"/>
      <c r="CC314" s="647"/>
      <c r="CD314" s="647"/>
      <c r="CE314" s="647"/>
      <c r="CF314" s="647"/>
      <c r="CG314" s="647"/>
      <c r="CH314" s="647"/>
      <c r="CI314" s="647"/>
      <c r="FK314" s="714"/>
      <c r="FL314" s="714"/>
    </row>
    <row r="315" spans="4:168" s="640" customFormat="1" ht="15.75" customHeight="1">
      <c r="D315" s="641"/>
      <c r="G315" s="642"/>
      <c r="J315" s="642"/>
      <c r="K315" s="643"/>
      <c r="M315" s="644"/>
      <c r="N315" s="642"/>
      <c r="Q315" s="642"/>
      <c r="T315" s="642"/>
      <c r="U315" s="643"/>
      <c r="X315" s="645"/>
      <c r="Y315" s="646"/>
      <c r="Z315" s="673"/>
      <c r="AA315" s="646"/>
      <c r="AB315" s="646"/>
      <c r="AC315" s="646"/>
      <c r="AD315" s="646"/>
      <c r="AE315" s="646"/>
      <c r="AF315" s="646"/>
      <c r="AG315" s="646"/>
      <c r="AH315" s="646"/>
      <c r="AI315" s="646"/>
      <c r="AJ315" s="646"/>
      <c r="AK315" s="646"/>
      <c r="AL315" s="646"/>
      <c r="AM315" s="646"/>
      <c r="AN315" s="646"/>
      <c r="AO315" s="646"/>
      <c r="AP315" s="646"/>
      <c r="AQ315" s="646"/>
      <c r="AR315" s="646"/>
      <c r="AS315" s="646"/>
      <c r="AT315" s="646"/>
      <c r="AU315" s="646"/>
      <c r="AV315" s="646"/>
      <c r="AW315" s="646"/>
      <c r="AX315" s="646"/>
      <c r="AY315" s="646"/>
      <c r="AZ315" s="646"/>
      <c r="BA315" s="646"/>
      <c r="BB315" s="646"/>
      <c r="BC315" s="646"/>
      <c r="BD315" s="646"/>
      <c r="BE315" s="646"/>
      <c r="BF315" s="646"/>
      <c r="BG315" s="646"/>
      <c r="BH315" s="646"/>
      <c r="BI315" s="646"/>
      <c r="BJ315" s="646"/>
      <c r="BK315" s="646"/>
      <c r="BL315" s="646"/>
      <c r="BM315" s="646"/>
      <c r="BN315" s="646"/>
      <c r="BO315" s="646"/>
      <c r="BP315" s="646"/>
      <c r="BQ315" s="646"/>
      <c r="BR315" s="645"/>
      <c r="BS315" s="645"/>
      <c r="BT315" s="645"/>
      <c r="BU315" s="645"/>
      <c r="BV315" s="646"/>
      <c r="BW315" s="647"/>
      <c r="BX315" s="647"/>
      <c r="BY315" s="647"/>
      <c r="BZ315" s="647"/>
      <c r="CA315" s="647"/>
      <c r="CB315" s="647"/>
      <c r="CC315" s="647"/>
      <c r="CD315" s="647"/>
      <c r="CE315" s="647"/>
      <c r="CF315" s="647"/>
      <c r="CG315" s="647"/>
      <c r="CH315" s="647"/>
      <c r="CI315" s="647"/>
      <c r="FK315" s="714"/>
      <c r="FL315" s="714"/>
    </row>
    <row r="316" spans="4:168" s="640" customFormat="1" ht="15.75" customHeight="1">
      <c r="D316" s="641"/>
      <c r="G316" s="642"/>
      <c r="J316" s="642"/>
      <c r="K316" s="643"/>
      <c r="M316" s="644"/>
      <c r="N316" s="642"/>
      <c r="Q316" s="642"/>
      <c r="T316" s="642"/>
      <c r="U316" s="643"/>
      <c r="X316" s="645"/>
      <c r="Y316" s="646"/>
      <c r="Z316" s="673"/>
      <c r="AA316" s="646"/>
      <c r="AB316" s="646"/>
      <c r="AC316" s="646"/>
      <c r="AD316" s="646"/>
      <c r="AE316" s="646"/>
      <c r="AF316" s="646"/>
      <c r="AG316" s="646"/>
      <c r="AH316" s="646"/>
      <c r="AI316" s="646"/>
      <c r="AJ316" s="646"/>
      <c r="AK316" s="646"/>
      <c r="AL316" s="646"/>
      <c r="AM316" s="646"/>
      <c r="AN316" s="646"/>
      <c r="AO316" s="646"/>
      <c r="AP316" s="646"/>
      <c r="AQ316" s="646"/>
      <c r="AR316" s="646"/>
      <c r="AS316" s="646"/>
      <c r="AT316" s="646"/>
      <c r="AU316" s="646"/>
      <c r="AV316" s="646"/>
      <c r="AW316" s="646"/>
      <c r="AX316" s="646"/>
      <c r="AY316" s="646"/>
      <c r="AZ316" s="646"/>
      <c r="BA316" s="646"/>
      <c r="BB316" s="646"/>
      <c r="BC316" s="646"/>
      <c r="BD316" s="646"/>
      <c r="BE316" s="646"/>
      <c r="BF316" s="646"/>
      <c r="BG316" s="646"/>
      <c r="BH316" s="646"/>
      <c r="BI316" s="646"/>
      <c r="BJ316" s="646"/>
      <c r="BK316" s="646"/>
      <c r="BL316" s="646"/>
      <c r="BM316" s="646"/>
      <c r="BN316" s="646"/>
      <c r="BO316" s="646"/>
      <c r="BP316" s="646"/>
      <c r="BQ316" s="646"/>
      <c r="BR316" s="645"/>
      <c r="BS316" s="645"/>
      <c r="BT316" s="645"/>
      <c r="BU316" s="645"/>
      <c r="BV316" s="646"/>
      <c r="BW316" s="647"/>
      <c r="BX316" s="647"/>
      <c r="BY316" s="647"/>
      <c r="BZ316" s="647"/>
      <c r="CA316" s="647"/>
      <c r="CB316" s="647"/>
      <c r="CC316" s="647"/>
      <c r="CD316" s="647"/>
      <c r="CE316" s="647"/>
      <c r="CF316" s="647"/>
      <c r="CG316" s="647"/>
      <c r="CH316" s="647"/>
      <c r="CI316" s="647"/>
      <c r="FK316" s="714"/>
      <c r="FL316" s="714"/>
    </row>
    <row r="317" spans="4:168" s="640" customFormat="1" ht="15.75" customHeight="1">
      <c r="D317" s="641"/>
      <c r="G317" s="642"/>
      <c r="J317" s="642"/>
      <c r="K317" s="643"/>
      <c r="M317" s="644"/>
      <c r="N317" s="642"/>
      <c r="Q317" s="642"/>
      <c r="T317" s="642"/>
      <c r="U317" s="643"/>
      <c r="X317" s="645"/>
      <c r="Y317" s="646"/>
      <c r="Z317" s="673"/>
      <c r="AA317" s="646"/>
      <c r="AB317" s="646"/>
      <c r="AC317" s="646"/>
      <c r="AD317" s="646"/>
      <c r="AE317" s="646"/>
      <c r="AF317" s="646"/>
      <c r="AG317" s="646"/>
      <c r="AH317" s="646"/>
      <c r="AI317" s="646"/>
      <c r="AJ317" s="646"/>
      <c r="AK317" s="646"/>
      <c r="AL317" s="646"/>
      <c r="AM317" s="646"/>
      <c r="AN317" s="646"/>
      <c r="AO317" s="646"/>
      <c r="AP317" s="646"/>
      <c r="AQ317" s="646"/>
      <c r="AR317" s="646"/>
      <c r="AS317" s="646"/>
      <c r="AT317" s="646"/>
      <c r="AU317" s="646"/>
      <c r="AV317" s="646"/>
      <c r="AW317" s="646"/>
      <c r="AX317" s="646"/>
      <c r="AY317" s="646"/>
      <c r="AZ317" s="646"/>
      <c r="BA317" s="646"/>
      <c r="BB317" s="646"/>
      <c r="BC317" s="646"/>
      <c r="BD317" s="646"/>
      <c r="BE317" s="646"/>
      <c r="BF317" s="646"/>
      <c r="BG317" s="646"/>
      <c r="BH317" s="646"/>
      <c r="BI317" s="646"/>
      <c r="BJ317" s="646"/>
      <c r="BK317" s="646"/>
      <c r="BL317" s="646"/>
      <c r="BM317" s="646"/>
      <c r="BN317" s="646"/>
      <c r="BO317" s="646"/>
      <c r="BP317" s="646"/>
      <c r="BQ317" s="646"/>
      <c r="BR317" s="645"/>
      <c r="BS317" s="645"/>
      <c r="BT317" s="645"/>
      <c r="BU317" s="645"/>
      <c r="BV317" s="646"/>
      <c r="BW317" s="647"/>
      <c r="BX317" s="647"/>
      <c r="BY317" s="647"/>
      <c r="BZ317" s="647"/>
      <c r="CA317" s="647"/>
      <c r="CB317" s="647"/>
      <c r="CC317" s="647"/>
      <c r="CD317" s="647"/>
      <c r="CE317" s="647"/>
      <c r="CF317" s="647"/>
      <c r="CG317" s="647"/>
      <c r="CH317" s="647"/>
      <c r="CI317" s="647"/>
      <c r="FK317" s="714"/>
      <c r="FL317" s="714"/>
    </row>
    <row r="318" spans="4:168" s="640" customFormat="1" ht="15.75" customHeight="1">
      <c r="D318" s="641"/>
      <c r="G318" s="642"/>
      <c r="J318" s="642"/>
      <c r="K318" s="643"/>
      <c r="M318" s="644"/>
      <c r="N318" s="642"/>
      <c r="Q318" s="642"/>
      <c r="T318" s="642"/>
      <c r="U318" s="643"/>
      <c r="X318" s="645"/>
      <c r="Y318" s="646"/>
      <c r="Z318" s="673"/>
      <c r="AA318" s="646"/>
      <c r="AB318" s="646"/>
      <c r="AC318" s="646"/>
      <c r="AD318" s="646"/>
      <c r="AE318" s="646"/>
      <c r="AF318" s="646"/>
      <c r="AG318" s="646"/>
      <c r="AH318" s="646"/>
      <c r="AI318" s="646"/>
      <c r="AJ318" s="646"/>
      <c r="AK318" s="646"/>
      <c r="AL318" s="646"/>
      <c r="AM318" s="646"/>
      <c r="AN318" s="646"/>
      <c r="AO318" s="646"/>
      <c r="AP318" s="646"/>
      <c r="AQ318" s="646"/>
      <c r="AR318" s="646"/>
      <c r="AS318" s="646"/>
      <c r="AT318" s="646"/>
      <c r="AU318" s="646"/>
      <c r="AV318" s="646"/>
      <c r="AW318" s="646"/>
      <c r="AX318" s="646"/>
      <c r="AY318" s="646"/>
      <c r="AZ318" s="646"/>
      <c r="BA318" s="646"/>
      <c r="BB318" s="646"/>
      <c r="BC318" s="646"/>
      <c r="BD318" s="646"/>
      <c r="BE318" s="646"/>
      <c r="BF318" s="646"/>
      <c r="BG318" s="646"/>
      <c r="BH318" s="646"/>
      <c r="BI318" s="646"/>
      <c r="BJ318" s="646"/>
      <c r="BK318" s="646"/>
      <c r="BL318" s="646"/>
      <c r="BM318" s="646"/>
      <c r="BN318" s="646"/>
      <c r="BO318" s="646"/>
      <c r="BP318" s="646"/>
      <c r="BQ318" s="646"/>
      <c r="BR318" s="645"/>
      <c r="BS318" s="645"/>
      <c r="BT318" s="645"/>
      <c r="BU318" s="645"/>
      <c r="BV318" s="646"/>
      <c r="BW318" s="647"/>
      <c r="BX318" s="647"/>
      <c r="BY318" s="647"/>
      <c r="BZ318" s="647"/>
      <c r="CA318" s="647"/>
      <c r="CB318" s="647"/>
      <c r="CC318" s="647"/>
      <c r="CD318" s="647"/>
      <c r="CE318" s="647"/>
      <c r="CF318" s="647"/>
      <c r="CG318" s="647"/>
      <c r="CH318" s="647"/>
      <c r="CI318" s="647"/>
      <c r="FK318" s="714"/>
      <c r="FL318" s="714"/>
    </row>
    <row r="319" spans="4:168" s="640" customFormat="1" ht="15.75" customHeight="1">
      <c r="D319" s="641"/>
      <c r="G319" s="642"/>
      <c r="J319" s="642"/>
      <c r="K319" s="643"/>
      <c r="M319" s="644"/>
      <c r="N319" s="642"/>
      <c r="Q319" s="642"/>
      <c r="T319" s="642"/>
      <c r="U319" s="643"/>
      <c r="X319" s="645"/>
      <c r="Y319" s="646"/>
      <c r="Z319" s="673"/>
      <c r="AA319" s="646"/>
      <c r="AB319" s="646"/>
      <c r="AC319" s="646"/>
      <c r="AD319" s="646"/>
      <c r="AE319" s="646"/>
      <c r="AF319" s="646"/>
      <c r="AG319" s="646"/>
      <c r="AH319" s="646"/>
      <c r="AI319" s="646"/>
      <c r="AJ319" s="646"/>
      <c r="AK319" s="646"/>
      <c r="AL319" s="646"/>
      <c r="AM319" s="646"/>
      <c r="AN319" s="646"/>
      <c r="AO319" s="646"/>
      <c r="AP319" s="646"/>
      <c r="AQ319" s="646"/>
      <c r="AR319" s="646"/>
      <c r="AS319" s="646"/>
      <c r="AT319" s="646"/>
      <c r="AU319" s="646"/>
      <c r="AV319" s="646"/>
      <c r="AW319" s="646"/>
      <c r="AX319" s="646"/>
      <c r="AY319" s="646"/>
      <c r="AZ319" s="646"/>
      <c r="BA319" s="646"/>
      <c r="BB319" s="646"/>
      <c r="BC319" s="646"/>
      <c r="BD319" s="646"/>
      <c r="BE319" s="646"/>
      <c r="BF319" s="646"/>
      <c r="BG319" s="646"/>
      <c r="BH319" s="646"/>
      <c r="BI319" s="646"/>
      <c r="BJ319" s="646"/>
      <c r="BK319" s="646"/>
      <c r="BL319" s="646"/>
      <c r="BM319" s="646"/>
      <c r="BN319" s="646"/>
      <c r="BO319" s="646"/>
      <c r="BP319" s="646"/>
      <c r="BQ319" s="646"/>
      <c r="BR319" s="645"/>
      <c r="BS319" s="645"/>
      <c r="BT319" s="645"/>
      <c r="BU319" s="645"/>
      <c r="BV319" s="646"/>
      <c r="BW319" s="647"/>
      <c r="BX319" s="647"/>
      <c r="BY319" s="647"/>
      <c r="BZ319" s="647"/>
      <c r="CA319" s="647"/>
      <c r="CB319" s="647"/>
      <c r="CC319" s="647"/>
      <c r="CD319" s="647"/>
      <c r="CE319" s="647"/>
      <c r="CF319" s="647"/>
      <c r="CG319" s="647"/>
      <c r="CH319" s="647"/>
      <c r="CI319" s="647"/>
      <c r="FK319" s="714"/>
      <c r="FL319" s="714"/>
    </row>
    <row r="320" spans="4:168" s="640" customFormat="1" ht="15.75" customHeight="1">
      <c r="D320" s="641"/>
      <c r="G320" s="642"/>
      <c r="J320" s="642"/>
      <c r="K320" s="643"/>
      <c r="M320" s="644"/>
      <c r="N320" s="642"/>
      <c r="Q320" s="642"/>
      <c r="T320" s="642"/>
      <c r="U320" s="643"/>
      <c r="X320" s="645"/>
      <c r="Y320" s="646"/>
      <c r="Z320" s="673"/>
      <c r="AA320" s="646"/>
      <c r="AB320" s="646"/>
      <c r="AC320" s="646"/>
      <c r="AD320" s="646"/>
      <c r="AE320" s="646"/>
      <c r="AF320" s="646"/>
      <c r="AG320" s="646"/>
      <c r="AH320" s="646"/>
      <c r="AI320" s="646"/>
      <c r="AJ320" s="646"/>
      <c r="AK320" s="646"/>
      <c r="AL320" s="646"/>
      <c r="AM320" s="646"/>
      <c r="AN320" s="646"/>
      <c r="AO320" s="646"/>
      <c r="AP320" s="646"/>
      <c r="AQ320" s="646"/>
      <c r="AR320" s="646"/>
      <c r="AS320" s="646"/>
      <c r="AT320" s="646"/>
      <c r="AU320" s="646"/>
      <c r="AV320" s="646"/>
      <c r="AW320" s="646"/>
      <c r="AX320" s="646"/>
      <c r="AY320" s="646"/>
      <c r="AZ320" s="646"/>
      <c r="BA320" s="646"/>
      <c r="BB320" s="646"/>
      <c r="BC320" s="646"/>
      <c r="BD320" s="646"/>
      <c r="BE320" s="646"/>
      <c r="BF320" s="646"/>
      <c r="BG320" s="646"/>
      <c r="BH320" s="646"/>
      <c r="BI320" s="646"/>
      <c r="BJ320" s="646"/>
      <c r="BK320" s="646"/>
      <c r="BL320" s="646"/>
      <c r="BM320" s="646"/>
      <c r="BN320" s="646"/>
      <c r="BO320" s="646"/>
      <c r="BP320" s="646"/>
      <c r="BQ320" s="646"/>
      <c r="BR320" s="645"/>
      <c r="BS320" s="645"/>
      <c r="BT320" s="645"/>
      <c r="BU320" s="645"/>
      <c r="BV320" s="646"/>
      <c r="BW320" s="647"/>
      <c r="BX320" s="647"/>
      <c r="BY320" s="647"/>
      <c r="BZ320" s="647"/>
      <c r="CA320" s="647"/>
      <c r="CB320" s="647"/>
      <c r="CC320" s="647"/>
      <c r="CD320" s="647"/>
      <c r="CE320" s="647"/>
      <c r="CF320" s="647"/>
      <c r="CG320" s="647"/>
      <c r="CH320" s="647"/>
      <c r="CI320" s="647"/>
      <c r="FK320" s="714"/>
      <c r="FL320" s="714"/>
    </row>
    <row r="321" spans="4:168" s="640" customFormat="1" ht="15.75" customHeight="1">
      <c r="D321" s="641"/>
      <c r="G321" s="642"/>
      <c r="J321" s="642"/>
      <c r="K321" s="643"/>
      <c r="M321" s="644"/>
      <c r="N321" s="642"/>
      <c r="Q321" s="642"/>
      <c r="T321" s="642"/>
      <c r="U321" s="643"/>
      <c r="X321" s="645"/>
      <c r="Y321" s="646"/>
      <c r="Z321" s="673"/>
      <c r="AA321" s="646"/>
      <c r="AB321" s="646"/>
      <c r="AC321" s="646"/>
      <c r="AD321" s="646"/>
      <c r="AE321" s="646"/>
      <c r="AF321" s="646"/>
      <c r="AG321" s="646"/>
      <c r="AH321" s="646"/>
      <c r="AI321" s="646"/>
      <c r="AJ321" s="646"/>
      <c r="AK321" s="646"/>
      <c r="AL321" s="646"/>
      <c r="AM321" s="646"/>
      <c r="AN321" s="646"/>
      <c r="AO321" s="646"/>
      <c r="AP321" s="646"/>
      <c r="AQ321" s="646"/>
      <c r="AR321" s="646"/>
      <c r="AS321" s="646"/>
      <c r="AT321" s="646"/>
      <c r="AU321" s="646"/>
      <c r="AV321" s="646"/>
      <c r="AW321" s="646"/>
      <c r="AX321" s="646"/>
      <c r="AY321" s="646"/>
      <c r="AZ321" s="646"/>
      <c r="BA321" s="646"/>
      <c r="BB321" s="646"/>
      <c r="BC321" s="646"/>
      <c r="BD321" s="646"/>
      <c r="BE321" s="646"/>
      <c r="BF321" s="646"/>
      <c r="BG321" s="646"/>
      <c r="BH321" s="646"/>
      <c r="BI321" s="646"/>
      <c r="BJ321" s="646"/>
      <c r="BK321" s="646"/>
      <c r="BL321" s="646"/>
      <c r="BM321" s="646"/>
      <c r="BN321" s="646"/>
      <c r="BO321" s="646"/>
      <c r="BP321" s="646"/>
      <c r="BQ321" s="646"/>
      <c r="BR321" s="645"/>
      <c r="BS321" s="645"/>
      <c r="BT321" s="645"/>
      <c r="BU321" s="645"/>
      <c r="BV321" s="646"/>
      <c r="BW321" s="647"/>
      <c r="BX321" s="647"/>
      <c r="BY321" s="647"/>
      <c r="BZ321" s="647"/>
      <c r="CA321" s="647"/>
      <c r="CB321" s="647"/>
      <c r="CC321" s="647"/>
      <c r="CD321" s="647"/>
      <c r="CE321" s="647"/>
      <c r="CF321" s="647"/>
      <c r="CG321" s="647"/>
      <c r="CH321" s="647"/>
      <c r="CI321" s="647"/>
      <c r="FK321" s="714"/>
      <c r="FL321" s="714"/>
    </row>
    <row r="322" spans="4:168" s="640" customFormat="1" ht="15.75" customHeight="1">
      <c r="D322" s="641"/>
      <c r="G322" s="642"/>
      <c r="J322" s="642"/>
      <c r="K322" s="643"/>
      <c r="M322" s="644"/>
      <c r="N322" s="642"/>
      <c r="Q322" s="642"/>
      <c r="T322" s="642"/>
      <c r="U322" s="643"/>
      <c r="X322" s="645"/>
      <c r="Y322" s="646"/>
      <c r="Z322" s="673"/>
      <c r="AA322" s="646"/>
      <c r="AB322" s="646"/>
      <c r="AC322" s="646"/>
      <c r="AD322" s="646"/>
      <c r="AE322" s="646"/>
      <c r="AF322" s="646"/>
      <c r="AG322" s="646"/>
      <c r="AH322" s="646"/>
      <c r="AI322" s="646"/>
      <c r="AJ322" s="646"/>
      <c r="AK322" s="646"/>
      <c r="AL322" s="646"/>
      <c r="AM322" s="646"/>
      <c r="AN322" s="646"/>
      <c r="AO322" s="646"/>
      <c r="AP322" s="646"/>
      <c r="AQ322" s="646"/>
      <c r="AR322" s="646"/>
      <c r="AS322" s="646"/>
      <c r="AT322" s="646"/>
      <c r="AU322" s="646"/>
      <c r="AV322" s="646"/>
      <c r="AW322" s="646"/>
      <c r="AX322" s="646"/>
      <c r="AY322" s="646"/>
      <c r="AZ322" s="646"/>
      <c r="BA322" s="646"/>
      <c r="BB322" s="646"/>
      <c r="BC322" s="646"/>
      <c r="BD322" s="646"/>
      <c r="BE322" s="646"/>
      <c r="BF322" s="646"/>
      <c r="BG322" s="646"/>
      <c r="BH322" s="646"/>
      <c r="BI322" s="646"/>
      <c r="BJ322" s="646"/>
      <c r="BK322" s="646"/>
      <c r="BL322" s="646"/>
      <c r="BM322" s="646"/>
      <c r="BN322" s="646"/>
      <c r="BO322" s="646"/>
      <c r="BP322" s="646"/>
      <c r="BQ322" s="646"/>
      <c r="BR322" s="645"/>
      <c r="BS322" s="645"/>
      <c r="BT322" s="645"/>
      <c r="BU322" s="645"/>
      <c r="BV322" s="646"/>
      <c r="BW322" s="647"/>
      <c r="BX322" s="647"/>
      <c r="BY322" s="647"/>
      <c r="BZ322" s="647"/>
      <c r="CA322" s="647"/>
      <c r="CB322" s="647"/>
      <c r="CC322" s="647"/>
      <c r="CD322" s="647"/>
      <c r="CE322" s="647"/>
      <c r="CF322" s="647"/>
      <c r="CG322" s="647"/>
      <c r="CH322" s="647"/>
      <c r="CI322" s="647"/>
      <c r="FK322" s="714"/>
      <c r="FL322" s="714"/>
    </row>
    <row r="323" spans="4:168" s="640" customFormat="1" ht="15.75" customHeight="1">
      <c r="D323" s="641"/>
      <c r="G323" s="642"/>
      <c r="J323" s="642"/>
      <c r="K323" s="643"/>
      <c r="M323" s="644"/>
      <c r="N323" s="642"/>
      <c r="Q323" s="642"/>
      <c r="T323" s="642"/>
      <c r="U323" s="643"/>
      <c r="X323" s="645"/>
      <c r="Y323" s="646"/>
      <c r="Z323" s="673"/>
      <c r="AA323" s="646"/>
      <c r="AB323" s="646"/>
      <c r="AC323" s="646"/>
      <c r="AD323" s="646"/>
      <c r="AE323" s="646"/>
      <c r="AF323" s="646"/>
      <c r="AG323" s="646"/>
      <c r="AH323" s="646"/>
      <c r="AI323" s="646"/>
      <c r="AJ323" s="646"/>
      <c r="AK323" s="646"/>
      <c r="AL323" s="646"/>
      <c r="AM323" s="646"/>
      <c r="AN323" s="646"/>
      <c r="AO323" s="646"/>
      <c r="AP323" s="646"/>
      <c r="AQ323" s="646"/>
      <c r="AR323" s="646"/>
      <c r="AS323" s="646"/>
      <c r="AT323" s="646"/>
      <c r="AU323" s="646"/>
      <c r="AV323" s="646"/>
      <c r="AW323" s="646"/>
      <c r="AX323" s="646"/>
      <c r="AY323" s="646"/>
      <c r="AZ323" s="646"/>
      <c r="BA323" s="646"/>
      <c r="BB323" s="646"/>
      <c r="BC323" s="646"/>
      <c r="BD323" s="646"/>
      <c r="BE323" s="646"/>
      <c r="BF323" s="646"/>
      <c r="BG323" s="646"/>
      <c r="BH323" s="646"/>
      <c r="BI323" s="646"/>
      <c r="BJ323" s="646"/>
      <c r="BK323" s="646"/>
      <c r="BL323" s="646"/>
      <c r="BM323" s="646"/>
      <c r="BN323" s="646"/>
      <c r="BO323" s="646"/>
      <c r="BP323" s="646"/>
      <c r="BQ323" s="646"/>
      <c r="BR323" s="645"/>
      <c r="BS323" s="645"/>
      <c r="BT323" s="645"/>
      <c r="BU323" s="645"/>
      <c r="BV323" s="646"/>
      <c r="BW323" s="647"/>
      <c r="BX323" s="647"/>
      <c r="BY323" s="647"/>
      <c r="BZ323" s="647"/>
      <c r="CA323" s="647"/>
      <c r="CB323" s="647"/>
      <c r="CC323" s="647"/>
      <c r="CD323" s="647"/>
      <c r="CE323" s="647"/>
      <c r="CF323" s="647"/>
      <c r="CG323" s="647"/>
      <c r="CH323" s="647"/>
      <c r="CI323" s="647"/>
      <c r="FK323" s="714"/>
      <c r="FL323" s="714"/>
    </row>
    <row r="324" spans="4:168" s="640" customFormat="1">
      <c r="D324" s="641"/>
      <c r="G324" s="642"/>
      <c r="J324" s="642"/>
      <c r="K324" s="643"/>
      <c r="M324" s="644"/>
      <c r="N324" s="642"/>
      <c r="Q324" s="642"/>
      <c r="T324" s="642"/>
      <c r="U324" s="643"/>
      <c r="X324" s="645"/>
      <c r="Y324" s="646"/>
      <c r="Z324" s="673"/>
      <c r="AA324" s="646"/>
      <c r="AB324" s="646"/>
      <c r="AC324" s="646"/>
      <c r="AD324" s="646"/>
      <c r="AE324" s="646"/>
      <c r="AF324" s="646"/>
      <c r="AG324" s="646"/>
      <c r="AH324" s="646"/>
      <c r="AI324" s="646"/>
      <c r="AJ324" s="646"/>
      <c r="AK324" s="646"/>
      <c r="AL324" s="646"/>
      <c r="AM324" s="646"/>
      <c r="AN324" s="646"/>
      <c r="AO324" s="646"/>
      <c r="AP324" s="646"/>
      <c r="AQ324" s="646"/>
      <c r="AR324" s="646"/>
      <c r="AS324" s="646"/>
      <c r="AT324" s="646"/>
      <c r="AU324" s="646"/>
      <c r="AV324" s="646"/>
      <c r="AW324" s="646"/>
      <c r="AX324" s="646"/>
      <c r="AY324" s="646"/>
      <c r="AZ324" s="646"/>
      <c r="BA324" s="646"/>
      <c r="BB324" s="646"/>
      <c r="BC324" s="646"/>
      <c r="BD324" s="646"/>
      <c r="BE324" s="646"/>
      <c r="BF324" s="646"/>
      <c r="BG324" s="646"/>
      <c r="BH324" s="646"/>
      <c r="BI324" s="646"/>
      <c r="BJ324" s="646"/>
      <c r="BK324" s="646"/>
      <c r="BL324" s="646"/>
      <c r="BM324" s="646"/>
      <c r="BN324" s="646"/>
      <c r="BO324" s="646"/>
      <c r="BP324" s="646"/>
      <c r="BQ324" s="646"/>
      <c r="BR324" s="645"/>
      <c r="BS324" s="645"/>
      <c r="BT324" s="645"/>
      <c r="BU324" s="645"/>
      <c r="BV324" s="646"/>
      <c r="BW324" s="647"/>
      <c r="BX324" s="647"/>
      <c r="BY324" s="647"/>
      <c r="BZ324" s="647"/>
      <c r="CA324" s="647"/>
      <c r="CB324" s="647"/>
      <c r="CC324" s="647"/>
      <c r="CD324" s="647"/>
      <c r="CE324" s="647"/>
      <c r="CF324" s="647"/>
      <c r="CG324" s="647"/>
      <c r="CH324" s="647"/>
      <c r="CI324" s="647"/>
      <c r="FK324" s="714"/>
      <c r="FL324" s="714"/>
    </row>
    <row r="325" spans="4:168" s="640" customFormat="1" hidden="1">
      <c r="D325" s="641"/>
      <c r="G325" s="642"/>
      <c r="J325" s="642"/>
      <c r="K325" s="643"/>
      <c r="M325" s="644"/>
      <c r="N325" s="642"/>
      <c r="Q325" s="642"/>
      <c r="T325" s="642"/>
      <c r="U325" s="643"/>
      <c r="X325" s="645"/>
      <c r="Y325" s="646"/>
      <c r="Z325" s="673"/>
      <c r="AA325" s="646"/>
      <c r="AB325" s="646"/>
      <c r="AC325" s="646"/>
      <c r="AD325" s="646"/>
      <c r="AE325" s="646"/>
      <c r="AF325" s="646"/>
      <c r="AG325" s="646"/>
      <c r="AH325" s="646"/>
      <c r="AI325" s="646"/>
      <c r="AJ325" s="646"/>
      <c r="AK325" s="646"/>
      <c r="AL325" s="646"/>
      <c r="AM325" s="646"/>
      <c r="AN325" s="646"/>
      <c r="AO325" s="646"/>
      <c r="AP325" s="646"/>
      <c r="AQ325" s="646"/>
      <c r="AR325" s="646"/>
      <c r="AS325" s="646"/>
      <c r="AT325" s="646"/>
      <c r="AU325" s="646"/>
      <c r="AV325" s="646"/>
      <c r="AW325" s="646"/>
      <c r="AX325" s="646"/>
      <c r="AY325" s="646"/>
      <c r="AZ325" s="646"/>
      <c r="BA325" s="646"/>
      <c r="BB325" s="646"/>
      <c r="BC325" s="646"/>
      <c r="BD325" s="646"/>
      <c r="BE325" s="646"/>
      <c r="BF325" s="646"/>
      <c r="BG325" s="646"/>
      <c r="BH325" s="646"/>
      <c r="BI325" s="646"/>
      <c r="BJ325" s="646"/>
      <c r="BK325" s="646"/>
      <c r="BL325" s="646"/>
      <c r="BM325" s="646"/>
      <c r="BN325" s="646"/>
      <c r="BO325" s="646"/>
      <c r="BP325" s="646"/>
      <c r="BQ325" s="646"/>
      <c r="BR325" s="645"/>
      <c r="BS325" s="645"/>
      <c r="BT325" s="645"/>
      <c r="BU325" s="645"/>
      <c r="BV325" s="646"/>
      <c r="BW325" s="647"/>
      <c r="BX325" s="647"/>
      <c r="BY325" s="647"/>
      <c r="BZ325" s="647"/>
      <c r="CA325" s="647"/>
      <c r="CB325" s="647"/>
      <c r="CC325" s="647"/>
      <c r="CD325" s="647"/>
      <c r="CE325" s="647"/>
      <c r="CF325" s="647"/>
      <c r="CG325" s="647"/>
      <c r="CH325" s="647"/>
      <c r="CI325" s="647"/>
      <c r="FK325" s="714"/>
      <c r="FL325" s="714"/>
    </row>
    <row r="326" spans="4:168" s="640" customFormat="1" hidden="1">
      <c r="D326" s="641"/>
      <c r="G326" s="642"/>
      <c r="J326" s="642"/>
      <c r="K326" s="643"/>
      <c r="M326" s="644"/>
      <c r="N326" s="642"/>
      <c r="Q326" s="642"/>
      <c r="T326" s="642"/>
      <c r="U326" s="643"/>
      <c r="X326" s="645"/>
      <c r="Y326" s="646"/>
      <c r="Z326" s="673"/>
      <c r="AA326" s="646"/>
      <c r="AB326" s="646"/>
      <c r="AC326" s="646"/>
      <c r="AD326" s="646"/>
      <c r="AE326" s="646"/>
      <c r="AF326" s="646"/>
      <c r="AG326" s="646"/>
      <c r="AH326" s="646"/>
      <c r="AI326" s="646"/>
      <c r="AJ326" s="646"/>
      <c r="AK326" s="646"/>
      <c r="AL326" s="646"/>
      <c r="AM326" s="646"/>
      <c r="AN326" s="646"/>
      <c r="AO326" s="646"/>
      <c r="AP326" s="646"/>
      <c r="AQ326" s="646"/>
      <c r="AR326" s="646"/>
      <c r="AS326" s="646"/>
      <c r="AT326" s="646"/>
      <c r="AU326" s="646"/>
      <c r="AV326" s="646"/>
      <c r="AW326" s="646"/>
      <c r="AX326" s="646"/>
      <c r="AY326" s="646"/>
      <c r="AZ326" s="646"/>
      <c r="BA326" s="646"/>
      <c r="BB326" s="646"/>
      <c r="BC326" s="646"/>
      <c r="BD326" s="646"/>
      <c r="BE326" s="646"/>
      <c r="BF326" s="646"/>
      <c r="BG326" s="646"/>
      <c r="BH326" s="646"/>
      <c r="BI326" s="646"/>
      <c r="BJ326" s="646"/>
      <c r="BK326" s="646"/>
      <c r="BL326" s="646"/>
      <c r="BM326" s="646"/>
      <c r="BN326" s="646"/>
      <c r="BO326" s="646"/>
      <c r="BP326" s="646"/>
      <c r="BQ326" s="646"/>
      <c r="BR326" s="645"/>
      <c r="BS326" s="645"/>
      <c r="BT326" s="645"/>
      <c r="BU326" s="645"/>
      <c r="BV326" s="646"/>
      <c r="BW326" s="647"/>
      <c r="BX326" s="647"/>
      <c r="BY326" s="647"/>
      <c r="BZ326" s="647"/>
      <c r="CA326" s="647"/>
      <c r="CB326" s="647"/>
      <c r="CC326" s="647"/>
      <c r="CD326" s="647"/>
      <c r="CE326" s="647"/>
      <c r="CF326" s="647"/>
      <c r="CG326" s="647"/>
      <c r="CH326" s="647"/>
      <c r="CI326" s="647"/>
      <c r="FK326" s="714"/>
      <c r="FL326" s="714"/>
    </row>
    <row r="327" spans="4:168" s="640" customFormat="1" hidden="1">
      <c r="D327" s="641"/>
      <c r="G327" s="642"/>
      <c r="J327" s="642"/>
      <c r="K327" s="643"/>
      <c r="M327" s="644"/>
      <c r="N327" s="642"/>
      <c r="Q327" s="642"/>
      <c r="T327" s="642"/>
      <c r="U327" s="643"/>
      <c r="X327" s="645"/>
      <c r="Y327" s="646"/>
      <c r="Z327" s="673"/>
      <c r="AA327" s="646"/>
      <c r="AB327" s="646"/>
      <c r="AC327" s="646"/>
      <c r="AD327" s="646"/>
      <c r="AE327" s="646"/>
      <c r="AF327" s="646"/>
      <c r="AG327" s="646"/>
      <c r="AH327" s="646"/>
      <c r="AI327" s="646"/>
      <c r="AJ327" s="646"/>
      <c r="AK327" s="646"/>
      <c r="AL327" s="646"/>
      <c r="AM327" s="646"/>
      <c r="AN327" s="646"/>
      <c r="AO327" s="646"/>
      <c r="AP327" s="646"/>
      <c r="AQ327" s="646"/>
      <c r="AR327" s="646"/>
      <c r="AS327" s="646"/>
      <c r="AT327" s="646"/>
      <c r="AU327" s="646"/>
      <c r="AV327" s="646"/>
      <c r="AW327" s="646"/>
      <c r="AX327" s="646"/>
      <c r="AY327" s="646"/>
      <c r="AZ327" s="646"/>
      <c r="BA327" s="646"/>
      <c r="BB327" s="646"/>
      <c r="BC327" s="646"/>
      <c r="BD327" s="646"/>
      <c r="BE327" s="646"/>
      <c r="BF327" s="646"/>
      <c r="BG327" s="646"/>
      <c r="BH327" s="646"/>
      <c r="BI327" s="646"/>
      <c r="BJ327" s="646"/>
      <c r="BK327" s="646"/>
      <c r="BL327" s="646"/>
      <c r="BM327" s="646"/>
      <c r="BN327" s="646"/>
      <c r="BO327" s="646"/>
      <c r="BP327" s="646"/>
      <c r="BQ327" s="646"/>
      <c r="BR327" s="645"/>
      <c r="BS327" s="645"/>
      <c r="BT327" s="645"/>
      <c r="BU327" s="645"/>
      <c r="BV327" s="646"/>
      <c r="BW327" s="647"/>
      <c r="BX327" s="647"/>
      <c r="BY327" s="647"/>
      <c r="BZ327" s="647"/>
      <c r="CA327" s="647"/>
      <c r="CB327" s="647"/>
      <c r="CC327" s="647"/>
      <c r="CD327" s="647"/>
      <c r="CE327" s="647"/>
      <c r="CF327" s="647"/>
      <c r="CG327" s="647"/>
      <c r="CH327" s="647"/>
      <c r="CI327" s="647"/>
      <c r="FK327" s="714"/>
      <c r="FL327" s="714"/>
    </row>
    <row r="328" spans="4:168" s="640" customFormat="1" hidden="1">
      <c r="D328" s="641"/>
      <c r="G328" s="642"/>
      <c r="J328" s="642"/>
      <c r="K328" s="643"/>
      <c r="M328" s="644"/>
      <c r="N328" s="642"/>
      <c r="Q328" s="642"/>
      <c r="T328" s="642"/>
      <c r="U328" s="643"/>
      <c r="X328" s="645"/>
      <c r="Y328" s="646"/>
      <c r="Z328" s="673"/>
      <c r="AA328" s="646"/>
      <c r="AB328" s="646"/>
      <c r="AC328" s="646"/>
      <c r="AD328" s="646"/>
      <c r="AE328" s="646"/>
      <c r="AF328" s="646"/>
      <c r="AG328" s="646"/>
      <c r="AH328" s="646"/>
      <c r="AI328" s="646"/>
      <c r="AJ328" s="646"/>
      <c r="AK328" s="646"/>
      <c r="AL328" s="646"/>
      <c r="AM328" s="646"/>
      <c r="AN328" s="646"/>
      <c r="AO328" s="646"/>
      <c r="AP328" s="646"/>
      <c r="AQ328" s="646"/>
      <c r="AR328" s="646"/>
      <c r="AS328" s="646"/>
      <c r="AT328" s="646"/>
      <c r="AU328" s="646"/>
      <c r="AV328" s="646"/>
      <c r="AW328" s="646"/>
      <c r="AX328" s="646"/>
      <c r="AY328" s="646"/>
      <c r="AZ328" s="646"/>
      <c r="BA328" s="646"/>
      <c r="BB328" s="646"/>
      <c r="BC328" s="646"/>
      <c r="BD328" s="646"/>
      <c r="BE328" s="646"/>
      <c r="BF328" s="646"/>
      <c r="BG328" s="646"/>
      <c r="BH328" s="646"/>
      <c r="BI328" s="646"/>
      <c r="BJ328" s="646"/>
      <c r="BK328" s="646"/>
      <c r="BL328" s="646"/>
      <c r="BM328" s="646"/>
      <c r="BN328" s="646"/>
      <c r="BO328" s="646"/>
      <c r="BP328" s="646"/>
      <c r="BQ328" s="646"/>
      <c r="BR328" s="645"/>
      <c r="BS328" s="645"/>
      <c r="BT328" s="645"/>
      <c r="BU328" s="645"/>
      <c r="BV328" s="646"/>
      <c r="BW328" s="647"/>
      <c r="BX328" s="647"/>
      <c r="BY328" s="647"/>
      <c r="BZ328" s="647"/>
      <c r="CA328" s="647"/>
      <c r="CB328" s="647"/>
      <c r="CC328" s="647"/>
      <c r="CD328" s="647"/>
      <c r="CE328" s="647"/>
      <c r="CF328" s="647"/>
      <c r="CG328" s="647"/>
      <c r="CH328" s="647"/>
      <c r="CI328" s="647"/>
      <c r="FK328" s="714"/>
      <c r="FL328" s="714"/>
    </row>
    <row r="329" spans="4:168" s="640" customFormat="1" hidden="1">
      <c r="D329" s="641"/>
      <c r="G329" s="642"/>
      <c r="J329" s="642"/>
      <c r="K329" s="643"/>
      <c r="M329" s="644"/>
      <c r="N329" s="642"/>
      <c r="Q329" s="642"/>
      <c r="T329" s="642"/>
      <c r="U329" s="643"/>
      <c r="X329" s="645"/>
      <c r="Y329" s="646"/>
      <c r="Z329" s="673"/>
      <c r="AA329" s="646"/>
      <c r="AB329" s="646"/>
      <c r="AC329" s="646"/>
      <c r="AD329" s="646"/>
      <c r="AE329" s="646"/>
      <c r="AF329" s="646"/>
      <c r="AG329" s="646"/>
      <c r="AH329" s="646"/>
      <c r="AI329" s="646"/>
      <c r="AJ329" s="646"/>
      <c r="AK329" s="646"/>
      <c r="AL329" s="646"/>
      <c r="AM329" s="646"/>
      <c r="AN329" s="646"/>
      <c r="AO329" s="646"/>
      <c r="AP329" s="646"/>
      <c r="AQ329" s="646"/>
      <c r="AR329" s="646"/>
      <c r="AS329" s="646"/>
      <c r="AT329" s="646"/>
      <c r="AU329" s="646"/>
      <c r="AV329" s="646"/>
      <c r="AW329" s="646"/>
      <c r="AX329" s="646"/>
      <c r="AY329" s="646"/>
      <c r="AZ329" s="646"/>
      <c r="BA329" s="646"/>
      <c r="BB329" s="646"/>
      <c r="BC329" s="646"/>
      <c r="BD329" s="646"/>
      <c r="BE329" s="646"/>
      <c r="BF329" s="646"/>
      <c r="BG329" s="646"/>
      <c r="BH329" s="646"/>
      <c r="BI329" s="646"/>
      <c r="BJ329" s="646"/>
      <c r="BK329" s="646"/>
      <c r="BL329" s="646"/>
      <c r="BM329" s="646"/>
      <c r="BN329" s="646"/>
      <c r="BO329" s="646"/>
      <c r="BP329" s="646"/>
      <c r="BQ329" s="646"/>
      <c r="BR329" s="645"/>
      <c r="BS329" s="645"/>
      <c r="BT329" s="645"/>
      <c r="BU329" s="645"/>
      <c r="BV329" s="646"/>
      <c r="BW329" s="647"/>
      <c r="BX329" s="647"/>
      <c r="BY329" s="647"/>
      <c r="BZ329" s="647"/>
      <c r="CA329" s="647"/>
      <c r="CB329" s="647"/>
      <c r="CC329" s="647"/>
      <c r="CD329" s="647"/>
      <c r="CE329" s="647"/>
      <c r="CF329" s="647"/>
      <c r="CG329" s="647"/>
      <c r="CH329" s="647"/>
      <c r="CI329" s="647"/>
      <c r="FK329" s="714"/>
      <c r="FL329" s="714"/>
    </row>
    <row r="330" spans="4:168" s="640" customFormat="1" hidden="1">
      <c r="D330" s="641"/>
      <c r="G330" s="642"/>
      <c r="J330" s="642"/>
      <c r="K330" s="643"/>
      <c r="M330" s="644"/>
      <c r="N330" s="642"/>
      <c r="Q330" s="642"/>
      <c r="T330" s="642"/>
      <c r="U330" s="643"/>
      <c r="X330" s="645"/>
      <c r="Y330" s="646"/>
      <c r="Z330" s="673"/>
      <c r="AA330" s="646"/>
      <c r="AB330" s="646"/>
      <c r="AC330" s="646"/>
      <c r="AD330" s="646"/>
      <c r="AE330" s="646"/>
      <c r="AF330" s="646"/>
      <c r="AG330" s="646"/>
      <c r="AH330" s="646"/>
      <c r="AI330" s="646"/>
      <c r="AJ330" s="646"/>
      <c r="AK330" s="646"/>
      <c r="AL330" s="646"/>
      <c r="AM330" s="646"/>
      <c r="AN330" s="646"/>
      <c r="AO330" s="646"/>
      <c r="AP330" s="646"/>
      <c r="AQ330" s="646"/>
      <c r="AR330" s="646"/>
      <c r="AS330" s="646"/>
      <c r="AT330" s="646"/>
      <c r="AU330" s="646"/>
      <c r="AV330" s="646"/>
      <c r="AW330" s="646"/>
      <c r="AX330" s="646"/>
      <c r="AY330" s="646"/>
      <c r="AZ330" s="646"/>
      <c r="BA330" s="646"/>
      <c r="BB330" s="646"/>
      <c r="BC330" s="646"/>
      <c r="BD330" s="646"/>
      <c r="BE330" s="646"/>
      <c r="BF330" s="646"/>
      <c r="BG330" s="646"/>
      <c r="BH330" s="646"/>
      <c r="BI330" s="646"/>
      <c r="BJ330" s="646"/>
      <c r="BK330" s="646"/>
      <c r="BL330" s="646"/>
      <c r="BM330" s="646"/>
      <c r="BN330" s="646"/>
      <c r="BO330" s="646"/>
      <c r="BP330" s="646"/>
      <c r="BQ330" s="646"/>
      <c r="BR330" s="645"/>
      <c r="BS330" s="645"/>
      <c r="BT330" s="645"/>
      <c r="BU330" s="645"/>
      <c r="BV330" s="646"/>
      <c r="BW330" s="647"/>
      <c r="BX330" s="647"/>
      <c r="BY330" s="647"/>
      <c r="BZ330" s="647"/>
      <c r="CA330" s="647"/>
      <c r="CB330" s="647"/>
      <c r="CC330" s="647"/>
      <c r="CD330" s="647"/>
      <c r="CE330" s="647"/>
      <c r="CF330" s="647"/>
      <c r="CG330" s="647"/>
      <c r="CH330" s="647"/>
      <c r="CI330" s="647"/>
      <c r="FK330" s="714"/>
      <c r="FL330" s="714"/>
    </row>
    <row r="331" spans="4:168" s="640" customFormat="1" hidden="1">
      <c r="D331" s="641"/>
      <c r="G331" s="642"/>
      <c r="J331" s="642"/>
      <c r="K331" s="643"/>
      <c r="M331" s="644"/>
      <c r="N331" s="642"/>
      <c r="Q331" s="642"/>
      <c r="T331" s="642"/>
      <c r="U331" s="643"/>
      <c r="X331" s="645"/>
      <c r="Y331" s="646"/>
      <c r="Z331" s="673"/>
      <c r="AA331" s="646"/>
      <c r="AB331" s="646"/>
      <c r="AC331" s="646"/>
      <c r="AD331" s="646"/>
      <c r="AE331" s="646"/>
      <c r="AF331" s="646"/>
      <c r="AG331" s="646"/>
      <c r="AH331" s="646"/>
      <c r="AI331" s="646"/>
      <c r="AJ331" s="646"/>
      <c r="AK331" s="646"/>
      <c r="AL331" s="646"/>
      <c r="AM331" s="646"/>
      <c r="AN331" s="646"/>
      <c r="AO331" s="646"/>
      <c r="AP331" s="646"/>
      <c r="AQ331" s="646"/>
      <c r="AR331" s="646"/>
      <c r="AS331" s="646"/>
      <c r="AT331" s="646"/>
      <c r="AU331" s="646"/>
      <c r="AV331" s="646"/>
      <c r="AW331" s="646"/>
      <c r="AX331" s="646"/>
      <c r="AY331" s="646"/>
      <c r="AZ331" s="646"/>
      <c r="BA331" s="646"/>
      <c r="BB331" s="646"/>
      <c r="BC331" s="646"/>
      <c r="BD331" s="646"/>
      <c r="BE331" s="646"/>
      <c r="BF331" s="646"/>
      <c r="BG331" s="646"/>
      <c r="BH331" s="646"/>
      <c r="BI331" s="646"/>
      <c r="BJ331" s="646"/>
      <c r="BK331" s="646"/>
      <c r="BL331" s="646"/>
      <c r="BM331" s="646"/>
      <c r="BN331" s="646"/>
      <c r="BO331" s="646"/>
      <c r="BP331" s="646"/>
      <c r="BQ331" s="646"/>
      <c r="BR331" s="645"/>
      <c r="BS331" s="645"/>
      <c r="BT331" s="645"/>
      <c r="BU331" s="645"/>
      <c r="BV331" s="646"/>
      <c r="BW331" s="647"/>
      <c r="BX331" s="647"/>
      <c r="BY331" s="647"/>
      <c r="BZ331" s="647"/>
      <c r="CA331" s="647"/>
      <c r="CB331" s="647"/>
      <c r="CC331" s="647"/>
      <c r="CD331" s="647"/>
      <c r="CE331" s="647"/>
      <c r="CF331" s="647"/>
      <c r="CG331" s="647"/>
      <c r="CH331" s="647"/>
      <c r="CI331" s="647"/>
      <c r="FK331" s="714"/>
      <c r="FL331" s="714"/>
    </row>
    <row r="332" spans="4:168" s="640" customFormat="1" hidden="1">
      <c r="D332" s="641"/>
      <c r="G332" s="642"/>
      <c r="J332" s="642"/>
      <c r="K332" s="643"/>
      <c r="M332" s="644"/>
      <c r="N332" s="642"/>
      <c r="Q332" s="642"/>
      <c r="T332" s="642"/>
      <c r="U332" s="643"/>
      <c r="X332" s="645"/>
      <c r="Y332" s="646"/>
      <c r="Z332" s="673"/>
      <c r="AA332" s="646"/>
      <c r="AB332" s="646"/>
      <c r="AC332" s="646"/>
      <c r="AD332" s="646"/>
      <c r="AE332" s="646"/>
      <c r="AF332" s="646"/>
      <c r="AG332" s="646"/>
      <c r="AH332" s="646"/>
      <c r="AI332" s="646"/>
      <c r="AJ332" s="646"/>
      <c r="AK332" s="646"/>
      <c r="AL332" s="646"/>
      <c r="AM332" s="646"/>
      <c r="AN332" s="646"/>
      <c r="AO332" s="646"/>
      <c r="AP332" s="646"/>
      <c r="AQ332" s="646"/>
      <c r="AR332" s="646"/>
      <c r="AS332" s="646"/>
      <c r="AT332" s="646"/>
      <c r="AU332" s="646"/>
      <c r="AV332" s="646"/>
      <c r="AW332" s="646"/>
      <c r="AX332" s="646"/>
      <c r="AY332" s="646"/>
      <c r="AZ332" s="646"/>
      <c r="BA332" s="646"/>
      <c r="BB332" s="646"/>
      <c r="BC332" s="646"/>
      <c r="BD332" s="646"/>
      <c r="BE332" s="646"/>
      <c r="BF332" s="646"/>
      <c r="BG332" s="646"/>
      <c r="BH332" s="646"/>
      <c r="BI332" s="646"/>
      <c r="BJ332" s="646"/>
      <c r="BK332" s="646"/>
      <c r="BL332" s="646"/>
      <c r="BM332" s="646"/>
      <c r="BN332" s="646"/>
      <c r="BO332" s="646"/>
      <c r="BP332" s="646"/>
      <c r="BQ332" s="646"/>
      <c r="BR332" s="645"/>
      <c r="BS332" s="645"/>
      <c r="BT332" s="645"/>
      <c r="BU332" s="645"/>
      <c r="BV332" s="646"/>
      <c r="BW332" s="647"/>
      <c r="BX332" s="647"/>
      <c r="BY332" s="647"/>
      <c r="BZ332" s="647"/>
      <c r="CA332" s="647"/>
      <c r="CB332" s="647"/>
      <c r="CC332" s="647"/>
      <c r="CD332" s="647"/>
      <c r="CE332" s="647"/>
      <c r="CF332" s="647"/>
      <c r="CG332" s="647"/>
      <c r="CH332" s="647"/>
      <c r="CI332" s="647"/>
      <c r="FK332" s="714"/>
      <c r="FL332" s="714"/>
    </row>
    <row r="333" spans="4:168" s="640" customFormat="1" hidden="1">
      <c r="D333" s="641"/>
      <c r="G333" s="642"/>
      <c r="J333" s="642"/>
      <c r="K333" s="643"/>
      <c r="M333" s="644"/>
      <c r="N333" s="642"/>
      <c r="Q333" s="642"/>
      <c r="T333" s="642"/>
      <c r="U333" s="643"/>
      <c r="X333" s="645"/>
      <c r="Y333" s="646"/>
      <c r="Z333" s="673"/>
      <c r="AA333" s="646"/>
      <c r="AB333" s="646"/>
      <c r="AC333" s="646"/>
      <c r="AD333" s="646"/>
      <c r="AE333" s="646"/>
      <c r="AF333" s="646"/>
      <c r="AG333" s="646"/>
      <c r="AH333" s="646"/>
      <c r="AI333" s="646"/>
      <c r="AJ333" s="646"/>
      <c r="AK333" s="646"/>
      <c r="AL333" s="646"/>
      <c r="AM333" s="646"/>
      <c r="AN333" s="646"/>
      <c r="AO333" s="646"/>
      <c r="AP333" s="646"/>
      <c r="AQ333" s="646"/>
      <c r="AR333" s="646"/>
      <c r="AS333" s="646"/>
      <c r="AT333" s="646"/>
      <c r="AU333" s="646"/>
      <c r="AV333" s="646"/>
      <c r="AW333" s="646"/>
      <c r="AX333" s="646"/>
      <c r="AY333" s="646"/>
      <c r="AZ333" s="646"/>
      <c r="BA333" s="646"/>
      <c r="BB333" s="646"/>
      <c r="BC333" s="646"/>
      <c r="BD333" s="646"/>
      <c r="BE333" s="646"/>
      <c r="BF333" s="646"/>
      <c r="BG333" s="646"/>
      <c r="BH333" s="646"/>
      <c r="BI333" s="646"/>
      <c r="BJ333" s="646"/>
      <c r="BK333" s="646"/>
      <c r="BL333" s="646"/>
      <c r="BM333" s="646"/>
      <c r="BN333" s="646"/>
      <c r="BO333" s="646"/>
      <c r="BP333" s="646"/>
      <c r="BQ333" s="646"/>
      <c r="BR333" s="645"/>
      <c r="BS333" s="645"/>
      <c r="BT333" s="645"/>
      <c r="BU333" s="645"/>
      <c r="BV333" s="646"/>
      <c r="BW333" s="647"/>
      <c r="BX333" s="647"/>
      <c r="BY333" s="647"/>
      <c r="BZ333" s="647"/>
      <c r="CA333" s="647"/>
      <c r="CB333" s="647"/>
      <c r="CC333" s="647"/>
      <c r="CD333" s="647"/>
      <c r="CE333" s="647"/>
      <c r="CF333" s="647"/>
      <c r="CG333" s="647"/>
      <c r="CH333" s="647"/>
      <c r="CI333" s="647"/>
      <c r="FK333" s="714"/>
      <c r="FL333" s="714"/>
    </row>
    <row r="334" spans="4:168" s="640" customFormat="1" hidden="1">
      <c r="D334" s="641"/>
      <c r="G334" s="642"/>
      <c r="J334" s="642"/>
      <c r="K334" s="643"/>
      <c r="M334" s="644"/>
      <c r="N334" s="642"/>
      <c r="Q334" s="642"/>
      <c r="T334" s="642"/>
      <c r="U334" s="643"/>
      <c r="X334" s="645"/>
      <c r="Y334" s="646"/>
      <c r="Z334" s="673"/>
      <c r="AA334" s="646"/>
      <c r="AB334" s="646"/>
      <c r="AC334" s="646"/>
      <c r="AD334" s="646"/>
      <c r="AE334" s="646"/>
      <c r="AF334" s="646"/>
      <c r="AG334" s="646"/>
      <c r="AH334" s="646"/>
      <c r="AI334" s="646"/>
      <c r="AJ334" s="646"/>
      <c r="AK334" s="646"/>
      <c r="AL334" s="646"/>
      <c r="AM334" s="646"/>
      <c r="AN334" s="646"/>
      <c r="AO334" s="646"/>
      <c r="AP334" s="646"/>
      <c r="AQ334" s="646"/>
      <c r="AR334" s="646"/>
      <c r="AS334" s="646"/>
      <c r="AT334" s="646"/>
      <c r="AU334" s="646"/>
      <c r="AV334" s="646"/>
      <c r="AW334" s="646"/>
      <c r="AX334" s="646"/>
      <c r="AY334" s="646"/>
      <c r="AZ334" s="646"/>
      <c r="BA334" s="646"/>
      <c r="BB334" s="646"/>
      <c r="BC334" s="646"/>
      <c r="BD334" s="646"/>
      <c r="BE334" s="646"/>
      <c r="BF334" s="646"/>
      <c r="BG334" s="646"/>
      <c r="BH334" s="646"/>
      <c r="BI334" s="646"/>
      <c r="BJ334" s="646"/>
      <c r="BK334" s="646"/>
      <c r="BL334" s="646"/>
      <c r="BM334" s="646"/>
      <c r="BN334" s="646"/>
      <c r="BO334" s="646"/>
      <c r="BP334" s="646"/>
      <c r="BQ334" s="646"/>
      <c r="BR334" s="645"/>
      <c r="BS334" s="645"/>
      <c r="BT334" s="645"/>
      <c r="BU334" s="645"/>
      <c r="BV334" s="646"/>
      <c r="BW334" s="647"/>
      <c r="BX334" s="647"/>
      <c r="BY334" s="647"/>
      <c r="BZ334" s="647"/>
      <c r="CA334" s="647"/>
      <c r="CB334" s="647"/>
      <c r="CC334" s="647"/>
      <c r="CD334" s="647"/>
      <c r="CE334" s="647"/>
      <c r="CF334" s="647"/>
      <c r="CG334" s="647"/>
      <c r="CH334" s="647"/>
      <c r="CI334" s="647"/>
      <c r="FK334" s="714"/>
      <c r="FL334" s="714"/>
    </row>
    <row r="335" spans="4:168" s="640" customFormat="1" hidden="1">
      <c r="D335" s="641"/>
      <c r="G335" s="642"/>
      <c r="J335" s="642"/>
      <c r="K335" s="643"/>
      <c r="M335" s="644"/>
      <c r="N335" s="642"/>
      <c r="Q335" s="642"/>
      <c r="T335" s="642"/>
      <c r="U335" s="643"/>
      <c r="X335" s="645"/>
      <c r="Y335" s="646"/>
      <c r="Z335" s="673"/>
      <c r="AA335" s="646"/>
      <c r="AB335" s="646"/>
      <c r="AC335" s="646"/>
      <c r="AD335" s="646"/>
      <c r="AE335" s="646"/>
      <c r="AF335" s="646"/>
      <c r="AG335" s="646"/>
      <c r="AH335" s="646"/>
      <c r="AI335" s="646"/>
      <c r="AJ335" s="646"/>
      <c r="AK335" s="646"/>
      <c r="AL335" s="646"/>
      <c r="AM335" s="646"/>
      <c r="AN335" s="646"/>
      <c r="AO335" s="646"/>
      <c r="AP335" s="646"/>
      <c r="AQ335" s="646"/>
      <c r="AR335" s="646"/>
      <c r="AS335" s="646"/>
      <c r="AT335" s="646"/>
      <c r="AU335" s="646"/>
      <c r="AV335" s="646"/>
      <c r="AW335" s="646"/>
      <c r="AX335" s="646"/>
      <c r="AY335" s="646"/>
      <c r="AZ335" s="646"/>
      <c r="BA335" s="646"/>
      <c r="BB335" s="646"/>
      <c r="BC335" s="646"/>
      <c r="BD335" s="646"/>
      <c r="BE335" s="646"/>
      <c r="BF335" s="646"/>
      <c r="BG335" s="646"/>
      <c r="BH335" s="646"/>
      <c r="BI335" s="646"/>
      <c r="BJ335" s="646"/>
      <c r="BK335" s="646"/>
      <c r="BL335" s="646"/>
      <c r="BM335" s="646"/>
      <c r="BN335" s="646"/>
      <c r="BO335" s="646"/>
      <c r="BP335" s="646"/>
      <c r="BQ335" s="646"/>
      <c r="BR335" s="645"/>
      <c r="BS335" s="645"/>
      <c r="BT335" s="645"/>
      <c r="BU335" s="645"/>
      <c r="BV335" s="646"/>
      <c r="BW335" s="647"/>
      <c r="BX335" s="647"/>
      <c r="BY335" s="647"/>
      <c r="BZ335" s="647"/>
      <c r="CA335" s="647"/>
      <c r="CB335" s="647"/>
      <c r="CC335" s="647"/>
      <c r="CD335" s="647"/>
      <c r="CE335" s="647"/>
      <c r="CF335" s="647"/>
      <c r="CG335" s="647"/>
      <c r="CH335" s="647"/>
      <c r="CI335" s="647"/>
      <c r="FK335" s="714"/>
      <c r="FL335" s="714"/>
    </row>
    <row r="336" spans="4:168" s="640" customFormat="1" hidden="1">
      <c r="D336" s="641"/>
      <c r="G336" s="642"/>
      <c r="J336" s="642"/>
      <c r="K336" s="643"/>
      <c r="M336" s="644"/>
      <c r="N336" s="642"/>
      <c r="Q336" s="642"/>
      <c r="T336" s="642"/>
      <c r="U336" s="643"/>
      <c r="X336" s="645"/>
      <c r="Y336" s="646"/>
      <c r="Z336" s="673"/>
      <c r="AA336" s="646"/>
      <c r="AB336" s="646"/>
      <c r="AC336" s="646"/>
      <c r="AD336" s="646"/>
      <c r="AE336" s="646"/>
      <c r="AF336" s="646"/>
      <c r="AG336" s="646"/>
      <c r="AH336" s="646"/>
      <c r="AI336" s="646"/>
      <c r="AJ336" s="646"/>
      <c r="AK336" s="646"/>
      <c r="AL336" s="646"/>
      <c r="AM336" s="646"/>
      <c r="AN336" s="646"/>
      <c r="AO336" s="646"/>
      <c r="AP336" s="646"/>
      <c r="AQ336" s="646"/>
      <c r="AR336" s="646"/>
      <c r="AS336" s="646"/>
      <c r="AT336" s="646"/>
      <c r="AU336" s="646"/>
      <c r="AV336" s="646"/>
      <c r="AW336" s="646"/>
      <c r="AX336" s="646"/>
      <c r="AY336" s="646"/>
      <c r="AZ336" s="646"/>
      <c r="BA336" s="646"/>
      <c r="BB336" s="646"/>
      <c r="BC336" s="646"/>
      <c r="BD336" s="646"/>
      <c r="BE336" s="646"/>
      <c r="BF336" s="646"/>
      <c r="BG336" s="646"/>
      <c r="BH336" s="646"/>
      <c r="BI336" s="646"/>
      <c r="BJ336" s="646"/>
      <c r="BK336" s="646"/>
      <c r="BL336" s="646"/>
      <c r="BM336" s="646"/>
      <c r="BN336" s="646"/>
      <c r="BO336" s="646"/>
      <c r="BP336" s="646"/>
      <c r="BQ336" s="646"/>
      <c r="BR336" s="645"/>
      <c r="BS336" s="645"/>
      <c r="BT336" s="645"/>
      <c r="BU336" s="645"/>
      <c r="BV336" s="646"/>
      <c r="BW336" s="647"/>
      <c r="BX336" s="647"/>
      <c r="BY336" s="647"/>
      <c r="BZ336" s="647"/>
      <c r="CA336" s="647"/>
      <c r="CB336" s="647"/>
      <c r="CC336" s="647"/>
      <c r="CD336" s="647"/>
      <c r="CE336" s="647"/>
      <c r="CF336" s="647"/>
      <c r="CG336" s="647"/>
      <c r="CH336" s="647"/>
      <c r="CI336" s="647"/>
      <c r="FK336" s="714"/>
      <c r="FL336" s="714"/>
    </row>
    <row r="337" spans="4:168" s="640" customFormat="1" hidden="1">
      <c r="D337" s="641"/>
      <c r="G337" s="642"/>
      <c r="J337" s="642"/>
      <c r="K337" s="643"/>
      <c r="M337" s="644"/>
      <c r="N337" s="642"/>
      <c r="Q337" s="642"/>
      <c r="T337" s="642"/>
      <c r="U337" s="643"/>
      <c r="X337" s="645"/>
      <c r="Y337" s="646"/>
      <c r="Z337" s="673"/>
      <c r="AA337" s="646"/>
      <c r="AB337" s="646"/>
      <c r="AC337" s="646"/>
      <c r="AD337" s="646"/>
      <c r="AE337" s="646"/>
      <c r="AF337" s="646"/>
      <c r="AG337" s="646"/>
      <c r="AH337" s="646"/>
      <c r="AI337" s="646"/>
      <c r="AJ337" s="646"/>
      <c r="AK337" s="646"/>
      <c r="AL337" s="646"/>
      <c r="AM337" s="646"/>
      <c r="AN337" s="646"/>
      <c r="AO337" s="646"/>
      <c r="AP337" s="646"/>
      <c r="AQ337" s="646"/>
      <c r="AR337" s="646"/>
      <c r="AS337" s="646"/>
      <c r="AT337" s="646"/>
      <c r="AU337" s="646"/>
      <c r="AV337" s="646"/>
      <c r="AW337" s="646"/>
      <c r="AX337" s="646"/>
      <c r="AY337" s="646"/>
      <c r="AZ337" s="646"/>
      <c r="BA337" s="646"/>
      <c r="BB337" s="646"/>
      <c r="BC337" s="646"/>
      <c r="BD337" s="646"/>
      <c r="BE337" s="646"/>
      <c r="BF337" s="646"/>
      <c r="BG337" s="646"/>
      <c r="BH337" s="646"/>
      <c r="BI337" s="646"/>
      <c r="BJ337" s="646"/>
      <c r="BK337" s="646"/>
      <c r="BL337" s="646"/>
      <c r="BM337" s="646"/>
      <c r="BN337" s="646"/>
      <c r="BO337" s="646"/>
      <c r="BP337" s="646"/>
      <c r="BQ337" s="646"/>
      <c r="BR337" s="645"/>
      <c r="BS337" s="645"/>
      <c r="BT337" s="645"/>
      <c r="BU337" s="645"/>
      <c r="BV337" s="646"/>
      <c r="BW337" s="647"/>
      <c r="BX337" s="647"/>
      <c r="BY337" s="647"/>
      <c r="BZ337" s="647"/>
      <c r="CA337" s="647"/>
      <c r="CB337" s="647"/>
      <c r="CC337" s="647"/>
      <c r="CD337" s="647"/>
      <c r="CE337" s="647"/>
      <c r="CF337" s="647"/>
      <c r="CG337" s="647"/>
      <c r="CH337" s="647"/>
      <c r="CI337" s="647"/>
      <c r="FK337" s="714"/>
      <c r="FL337" s="714"/>
    </row>
    <row r="338" spans="4:168" s="640" customFormat="1" hidden="1">
      <c r="D338" s="641"/>
      <c r="G338" s="642"/>
      <c r="J338" s="642"/>
      <c r="K338" s="643"/>
      <c r="M338" s="644"/>
      <c r="N338" s="642"/>
      <c r="Q338" s="642"/>
      <c r="T338" s="642"/>
      <c r="U338" s="643"/>
      <c r="X338" s="645"/>
      <c r="Y338" s="646"/>
      <c r="Z338" s="673"/>
      <c r="AA338" s="646"/>
      <c r="AB338" s="646"/>
      <c r="AC338" s="646"/>
      <c r="AD338" s="646"/>
      <c r="AE338" s="646"/>
      <c r="AF338" s="646"/>
      <c r="AG338" s="646"/>
      <c r="AH338" s="646"/>
      <c r="AI338" s="646"/>
      <c r="AJ338" s="646"/>
      <c r="AK338" s="646"/>
      <c r="AL338" s="646"/>
      <c r="AM338" s="646"/>
      <c r="AN338" s="646"/>
      <c r="AO338" s="646"/>
      <c r="AP338" s="646"/>
      <c r="AQ338" s="646"/>
      <c r="AR338" s="646"/>
      <c r="AS338" s="646"/>
      <c r="AT338" s="646"/>
      <c r="AU338" s="646"/>
      <c r="AV338" s="646"/>
      <c r="AW338" s="646"/>
      <c r="AX338" s="646"/>
      <c r="AY338" s="646"/>
      <c r="AZ338" s="646"/>
      <c r="BA338" s="646"/>
      <c r="BB338" s="646"/>
      <c r="BC338" s="646"/>
      <c r="BD338" s="646"/>
      <c r="BE338" s="646"/>
      <c r="BF338" s="646"/>
      <c r="BG338" s="646"/>
      <c r="BH338" s="646"/>
      <c r="BI338" s="646"/>
      <c r="BJ338" s="646"/>
      <c r="BK338" s="646"/>
      <c r="BL338" s="646"/>
      <c r="BM338" s="646"/>
      <c r="BN338" s="646"/>
      <c r="BO338" s="646"/>
      <c r="BP338" s="646"/>
      <c r="BQ338" s="646"/>
      <c r="BR338" s="645"/>
      <c r="BS338" s="645"/>
      <c r="BT338" s="645"/>
      <c r="BU338" s="645"/>
      <c r="BV338" s="646"/>
      <c r="BW338" s="647"/>
      <c r="BX338" s="647"/>
      <c r="BY338" s="647"/>
      <c r="BZ338" s="647"/>
      <c r="CA338" s="647"/>
      <c r="CB338" s="647"/>
      <c r="CC338" s="647"/>
      <c r="CD338" s="647"/>
      <c r="CE338" s="647"/>
      <c r="CF338" s="647"/>
      <c r="CG338" s="647"/>
      <c r="CH338" s="647"/>
      <c r="CI338" s="647"/>
      <c r="FK338" s="714"/>
      <c r="FL338" s="714"/>
    </row>
    <row r="339" spans="4:168" s="640" customFormat="1" hidden="1">
      <c r="D339" s="641"/>
      <c r="G339" s="642"/>
      <c r="J339" s="642"/>
      <c r="K339" s="643"/>
      <c r="M339" s="644"/>
      <c r="N339" s="642"/>
      <c r="Q339" s="642"/>
      <c r="T339" s="642"/>
      <c r="U339" s="643"/>
      <c r="X339" s="645"/>
      <c r="Y339" s="646"/>
      <c r="Z339" s="673"/>
      <c r="AA339" s="646"/>
      <c r="AB339" s="646"/>
      <c r="AC339" s="646"/>
      <c r="AD339" s="646"/>
      <c r="AE339" s="646"/>
      <c r="AF339" s="646"/>
      <c r="AG339" s="646"/>
      <c r="AH339" s="646"/>
      <c r="AI339" s="646"/>
      <c r="AJ339" s="646"/>
      <c r="AK339" s="646"/>
      <c r="AL339" s="646"/>
      <c r="AM339" s="646"/>
      <c r="AN339" s="646"/>
      <c r="AO339" s="646"/>
      <c r="AP339" s="646"/>
      <c r="AQ339" s="646"/>
      <c r="AR339" s="646"/>
      <c r="AS339" s="646"/>
      <c r="AT339" s="646"/>
      <c r="AU339" s="646"/>
      <c r="AV339" s="646"/>
      <c r="AW339" s="646"/>
      <c r="AX339" s="646"/>
      <c r="AY339" s="646"/>
      <c r="AZ339" s="646"/>
      <c r="BA339" s="646"/>
      <c r="BB339" s="646"/>
      <c r="BC339" s="646"/>
      <c r="BD339" s="646"/>
      <c r="BE339" s="646"/>
      <c r="BF339" s="646"/>
      <c r="BG339" s="646"/>
      <c r="BH339" s="646"/>
      <c r="BI339" s="646"/>
      <c r="BJ339" s="646"/>
      <c r="BK339" s="646"/>
      <c r="BL339" s="646"/>
      <c r="BM339" s="646"/>
      <c r="BN339" s="646"/>
      <c r="BO339" s="646"/>
      <c r="BP339" s="646"/>
      <c r="BQ339" s="646"/>
      <c r="BR339" s="645"/>
      <c r="BS339" s="645"/>
      <c r="BT339" s="645"/>
      <c r="BU339" s="645"/>
      <c r="BV339" s="646"/>
      <c r="BW339" s="647"/>
      <c r="BX339" s="647"/>
      <c r="BY339" s="647"/>
      <c r="BZ339" s="647"/>
      <c r="CA339" s="647"/>
      <c r="CB339" s="647"/>
      <c r="CC339" s="647"/>
      <c r="CD339" s="647"/>
      <c r="CE339" s="647"/>
      <c r="CF339" s="647"/>
      <c r="CG339" s="647"/>
      <c r="CH339" s="647"/>
      <c r="CI339" s="647"/>
      <c r="FK339" s="714"/>
      <c r="FL339" s="714"/>
    </row>
    <row r="340" spans="4:168" s="640" customFormat="1" hidden="1">
      <c r="D340" s="641"/>
      <c r="G340" s="642"/>
      <c r="J340" s="642"/>
      <c r="K340" s="643"/>
      <c r="M340" s="644"/>
      <c r="N340" s="642"/>
      <c r="Q340" s="642"/>
      <c r="T340" s="642"/>
      <c r="U340" s="643"/>
      <c r="X340" s="645"/>
      <c r="Y340" s="646"/>
      <c r="Z340" s="673"/>
      <c r="AA340" s="646"/>
      <c r="AB340" s="646"/>
      <c r="AC340" s="646"/>
      <c r="AD340" s="646"/>
      <c r="AE340" s="646"/>
      <c r="AF340" s="646"/>
      <c r="AG340" s="646"/>
      <c r="AH340" s="646"/>
      <c r="AI340" s="646"/>
      <c r="AJ340" s="646"/>
      <c r="AK340" s="646"/>
      <c r="AL340" s="646"/>
      <c r="AM340" s="646"/>
      <c r="AN340" s="646"/>
      <c r="AO340" s="646"/>
      <c r="AP340" s="646"/>
      <c r="AQ340" s="646"/>
      <c r="AR340" s="646"/>
      <c r="AS340" s="646"/>
      <c r="AT340" s="646"/>
      <c r="AU340" s="646"/>
      <c r="AV340" s="646"/>
      <c r="AW340" s="646"/>
      <c r="AX340" s="646"/>
      <c r="AY340" s="646"/>
      <c r="AZ340" s="646"/>
      <c r="BA340" s="646"/>
      <c r="BB340" s="646"/>
      <c r="BC340" s="646"/>
      <c r="BD340" s="646"/>
      <c r="BE340" s="646"/>
      <c r="BF340" s="646"/>
      <c r="BG340" s="646"/>
      <c r="BH340" s="646"/>
      <c r="BI340" s="646"/>
      <c r="BJ340" s="646"/>
      <c r="BK340" s="646"/>
      <c r="BL340" s="646"/>
      <c r="BM340" s="646"/>
      <c r="BN340" s="646"/>
      <c r="BO340" s="646"/>
      <c r="BP340" s="646"/>
      <c r="BQ340" s="646"/>
      <c r="BR340" s="645"/>
      <c r="BS340" s="645"/>
      <c r="BT340" s="645"/>
      <c r="BU340" s="645"/>
      <c r="BV340" s="646"/>
      <c r="BW340" s="647"/>
      <c r="BX340" s="647"/>
      <c r="BY340" s="647"/>
      <c r="BZ340" s="647"/>
      <c r="CA340" s="647"/>
      <c r="CB340" s="647"/>
      <c r="CC340" s="647"/>
      <c r="CD340" s="647"/>
      <c r="CE340" s="647"/>
      <c r="CF340" s="647"/>
      <c r="CG340" s="647"/>
      <c r="CH340" s="647"/>
      <c r="CI340" s="647"/>
      <c r="FK340" s="714"/>
      <c r="FL340" s="714"/>
    </row>
    <row r="341" spans="4:168" s="640" customFormat="1" hidden="1">
      <c r="D341" s="641"/>
      <c r="G341" s="642"/>
      <c r="J341" s="642"/>
      <c r="K341" s="643"/>
      <c r="M341" s="644"/>
      <c r="N341" s="642"/>
      <c r="Q341" s="642"/>
      <c r="T341" s="642"/>
      <c r="U341" s="643"/>
      <c r="X341" s="645"/>
      <c r="Y341" s="646"/>
      <c r="Z341" s="673"/>
      <c r="AA341" s="646"/>
      <c r="AB341" s="646"/>
      <c r="AC341" s="646"/>
      <c r="AD341" s="646"/>
      <c r="AE341" s="646"/>
      <c r="AF341" s="646"/>
      <c r="AG341" s="646"/>
      <c r="AH341" s="646"/>
      <c r="AI341" s="646"/>
      <c r="AJ341" s="646"/>
      <c r="AK341" s="646"/>
      <c r="AL341" s="646"/>
      <c r="AM341" s="646"/>
      <c r="AN341" s="646"/>
      <c r="AO341" s="646"/>
      <c r="AP341" s="646"/>
      <c r="AQ341" s="646"/>
      <c r="AR341" s="646"/>
      <c r="AS341" s="646"/>
      <c r="AT341" s="646"/>
      <c r="AU341" s="646"/>
      <c r="AV341" s="646"/>
      <c r="AW341" s="646"/>
      <c r="AX341" s="646"/>
      <c r="AY341" s="646"/>
      <c r="AZ341" s="646"/>
      <c r="BA341" s="646"/>
      <c r="BB341" s="646"/>
      <c r="BC341" s="646"/>
      <c r="BD341" s="646"/>
      <c r="BE341" s="646"/>
      <c r="BF341" s="646"/>
      <c r="BG341" s="646"/>
      <c r="BH341" s="646"/>
      <c r="BI341" s="646"/>
      <c r="BJ341" s="646"/>
      <c r="BK341" s="646"/>
      <c r="BL341" s="646"/>
      <c r="BM341" s="646"/>
      <c r="BN341" s="646"/>
      <c r="BO341" s="646"/>
      <c r="BP341" s="646"/>
      <c r="BQ341" s="646"/>
      <c r="BR341" s="645"/>
      <c r="BS341" s="645"/>
      <c r="BT341" s="645"/>
      <c r="BU341" s="645"/>
      <c r="BV341" s="646"/>
      <c r="BW341" s="647"/>
      <c r="BX341" s="647"/>
      <c r="BY341" s="647"/>
      <c r="BZ341" s="647"/>
      <c r="CA341" s="647"/>
      <c r="CB341" s="647"/>
      <c r="CC341" s="647"/>
      <c r="CD341" s="647"/>
      <c r="CE341" s="647"/>
      <c r="CF341" s="647"/>
      <c r="CG341" s="647"/>
      <c r="CH341" s="647"/>
      <c r="CI341" s="647"/>
      <c r="FK341" s="714"/>
      <c r="FL341" s="714"/>
    </row>
    <row r="342" spans="4:168" s="640" customFormat="1" hidden="1">
      <c r="D342" s="641"/>
      <c r="G342" s="642"/>
      <c r="J342" s="642"/>
      <c r="K342" s="643"/>
      <c r="M342" s="644"/>
      <c r="N342" s="642"/>
      <c r="Q342" s="642"/>
      <c r="T342" s="642"/>
      <c r="U342" s="643"/>
      <c r="X342" s="645"/>
      <c r="Y342" s="646"/>
      <c r="Z342" s="673"/>
      <c r="AA342" s="646"/>
      <c r="AB342" s="646"/>
      <c r="AC342" s="646"/>
      <c r="AD342" s="646"/>
      <c r="AE342" s="646"/>
      <c r="AF342" s="646"/>
      <c r="AG342" s="646"/>
      <c r="AH342" s="646"/>
      <c r="AI342" s="646"/>
      <c r="AJ342" s="646"/>
      <c r="AK342" s="646"/>
      <c r="AL342" s="646"/>
      <c r="AM342" s="646"/>
      <c r="AN342" s="646"/>
      <c r="AO342" s="646"/>
      <c r="AP342" s="646"/>
      <c r="AQ342" s="646"/>
      <c r="AR342" s="646"/>
      <c r="AS342" s="646"/>
      <c r="AT342" s="646"/>
      <c r="AU342" s="646"/>
      <c r="AV342" s="646"/>
      <c r="AW342" s="646"/>
      <c r="AX342" s="646"/>
      <c r="AY342" s="646"/>
      <c r="AZ342" s="646"/>
      <c r="BA342" s="646"/>
      <c r="BB342" s="646"/>
      <c r="BC342" s="646"/>
      <c r="BD342" s="646"/>
      <c r="BE342" s="646"/>
      <c r="BF342" s="646"/>
      <c r="BG342" s="646"/>
      <c r="BH342" s="646"/>
      <c r="BI342" s="646"/>
      <c r="BJ342" s="646"/>
      <c r="BK342" s="646"/>
      <c r="BL342" s="646"/>
      <c r="BM342" s="646"/>
      <c r="BN342" s="646"/>
      <c r="BO342" s="646"/>
      <c r="BP342" s="646"/>
      <c r="BQ342" s="646"/>
      <c r="BR342" s="645"/>
      <c r="BS342" s="645"/>
      <c r="BT342" s="645"/>
      <c r="BU342" s="645"/>
      <c r="BV342" s="646"/>
      <c r="BW342" s="647"/>
      <c r="BX342" s="647"/>
      <c r="BY342" s="647"/>
      <c r="BZ342" s="647"/>
      <c r="CA342" s="647"/>
      <c r="CB342" s="647"/>
      <c r="CC342" s="647"/>
      <c r="CD342" s="647"/>
      <c r="CE342" s="647"/>
      <c r="CF342" s="647"/>
      <c r="CG342" s="647"/>
      <c r="CH342" s="647"/>
      <c r="CI342" s="647"/>
      <c r="FK342" s="714"/>
      <c r="FL342" s="714"/>
    </row>
    <row r="343" spans="4:168" s="640" customFormat="1" hidden="1">
      <c r="D343" s="641"/>
      <c r="G343" s="642"/>
      <c r="J343" s="642"/>
      <c r="K343" s="643"/>
      <c r="M343" s="644"/>
      <c r="N343" s="642"/>
      <c r="Q343" s="642"/>
      <c r="T343" s="642"/>
      <c r="U343" s="643"/>
      <c r="X343" s="645"/>
      <c r="Y343" s="646"/>
      <c r="Z343" s="673"/>
      <c r="AA343" s="646"/>
      <c r="AB343" s="646"/>
      <c r="AC343" s="646"/>
      <c r="AD343" s="646"/>
      <c r="AE343" s="646"/>
      <c r="AF343" s="646"/>
      <c r="AG343" s="646"/>
      <c r="AH343" s="646"/>
      <c r="AI343" s="646"/>
      <c r="AJ343" s="646"/>
      <c r="AK343" s="646"/>
      <c r="AL343" s="646"/>
      <c r="AM343" s="646"/>
      <c r="AN343" s="646"/>
      <c r="AO343" s="646"/>
      <c r="AP343" s="646"/>
      <c r="AQ343" s="646"/>
      <c r="AR343" s="646"/>
      <c r="AS343" s="646"/>
      <c r="AT343" s="646"/>
      <c r="AU343" s="646"/>
      <c r="AV343" s="646"/>
      <c r="AW343" s="646"/>
      <c r="AX343" s="646"/>
      <c r="AY343" s="646"/>
      <c r="AZ343" s="646"/>
      <c r="BA343" s="646"/>
      <c r="BB343" s="646"/>
      <c r="BC343" s="646"/>
      <c r="BD343" s="646"/>
      <c r="BE343" s="646"/>
      <c r="BF343" s="646"/>
      <c r="BG343" s="646"/>
      <c r="BH343" s="646"/>
      <c r="BI343" s="646"/>
      <c r="BJ343" s="646"/>
      <c r="BK343" s="646"/>
      <c r="BL343" s="646"/>
      <c r="BM343" s="646"/>
      <c r="BN343" s="646"/>
      <c r="BO343" s="646"/>
      <c r="BP343" s="646"/>
      <c r="BQ343" s="646"/>
      <c r="BR343" s="645"/>
      <c r="BS343" s="645"/>
      <c r="BT343" s="645"/>
      <c r="BU343" s="645"/>
      <c r="BV343" s="646"/>
      <c r="BW343" s="647"/>
      <c r="BX343" s="647"/>
      <c r="BY343" s="647"/>
      <c r="BZ343" s="647"/>
      <c r="CA343" s="647"/>
      <c r="CB343" s="647"/>
      <c r="CC343" s="647"/>
      <c r="CD343" s="647"/>
      <c r="CE343" s="647"/>
      <c r="CF343" s="647"/>
      <c r="CG343" s="647"/>
      <c r="CH343" s="647"/>
      <c r="CI343" s="647"/>
      <c r="FK343" s="714"/>
      <c r="FL343" s="714"/>
    </row>
    <row r="344" spans="4:168" s="640" customFormat="1" hidden="1">
      <c r="D344" s="641"/>
      <c r="G344" s="642"/>
      <c r="J344" s="642"/>
      <c r="K344" s="643"/>
      <c r="M344" s="644"/>
      <c r="N344" s="642"/>
      <c r="Q344" s="642"/>
      <c r="T344" s="642"/>
      <c r="U344" s="643"/>
      <c r="X344" s="645"/>
      <c r="Y344" s="646"/>
      <c r="Z344" s="673"/>
      <c r="AA344" s="646"/>
      <c r="AB344" s="646"/>
      <c r="AC344" s="646"/>
      <c r="AD344" s="646"/>
      <c r="AE344" s="646"/>
      <c r="AF344" s="646"/>
      <c r="AG344" s="646"/>
      <c r="AH344" s="646"/>
      <c r="AI344" s="646"/>
      <c r="AJ344" s="646"/>
      <c r="AK344" s="646"/>
      <c r="AL344" s="646"/>
      <c r="AM344" s="646"/>
      <c r="AN344" s="646"/>
      <c r="AO344" s="646"/>
      <c r="AP344" s="646"/>
      <c r="AQ344" s="646"/>
      <c r="AR344" s="646"/>
      <c r="AS344" s="646"/>
      <c r="AT344" s="646"/>
      <c r="AU344" s="646"/>
      <c r="AV344" s="646"/>
      <c r="AW344" s="646"/>
      <c r="AX344" s="646"/>
      <c r="AY344" s="646"/>
      <c r="AZ344" s="646"/>
      <c r="BA344" s="646"/>
      <c r="BB344" s="646"/>
      <c r="BC344" s="646"/>
      <c r="BD344" s="646"/>
      <c r="BE344" s="646"/>
      <c r="BF344" s="646"/>
      <c r="BG344" s="646"/>
      <c r="BH344" s="646"/>
      <c r="BI344" s="646"/>
      <c r="BJ344" s="646"/>
      <c r="BK344" s="646"/>
      <c r="BL344" s="646"/>
      <c r="BM344" s="646"/>
      <c r="BN344" s="646"/>
      <c r="BO344" s="646"/>
      <c r="BP344" s="646"/>
      <c r="BQ344" s="646"/>
      <c r="BR344" s="645"/>
      <c r="BS344" s="645"/>
      <c r="BT344" s="645"/>
      <c r="BU344" s="645"/>
      <c r="BV344" s="646"/>
      <c r="BW344" s="647"/>
      <c r="BX344" s="647"/>
      <c r="BY344" s="647"/>
      <c r="BZ344" s="647"/>
      <c r="CA344" s="647"/>
      <c r="CB344" s="647"/>
      <c r="CC344" s="647"/>
      <c r="CD344" s="647"/>
      <c r="CE344" s="647"/>
      <c r="CF344" s="647"/>
      <c r="CG344" s="647"/>
      <c r="CH344" s="647"/>
      <c r="CI344" s="647"/>
      <c r="FK344" s="714"/>
      <c r="FL344" s="714"/>
    </row>
    <row r="345" spans="4:168" s="640" customFormat="1" hidden="1">
      <c r="D345" s="641"/>
      <c r="G345" s="642"/>
      <c r="J345" s="642"/>
      <c r="K345" s="643"/>
      <c r="M345" s="644"/>
      <c r="N345" s="642"/>
      <c r="Q345" s="642"/>
      <c r="T345" s="642"/>
      <c r="U345" s="643"/>
      <c r="X345" s="645"/>
      <c r="Y345" s="646"/>
      <c r="Z345" s="673"/>
      <c r="AA345" s="646"/>
      <c r="AB345" s="646"/>
      <c r="AC345" s="646"/>
      <c r="AD345" s="646"/>
      <c r="AE345" s="646"/>
      <c r="AF345" s="646"/>
      <c r="AG345" s="646"/>
      <c r="AH345" s="646"/>
      <c r="AI345" s="646"/>
      <c r="AJ345" s="646"/>
      <c r="AK345" s="646"/>
      <c r="AL345" s="646"/>
      <c r="AM345" s="646"/>
      <c r="AN345" s="646"/>
      <c r="AO345" s="646"/>
      <c r="AP345" s="646"/>
      <c r="AQ345" s="646"/>
      <c r="AR345" s="646"/>
      <c r="AS345" s="646"/>
      <c r="AT345" s="646"/>
      <c r="AU345" s="646"/>
      <c r="AV345" s="646"/>
      <c r="AW345" s="646"/>
      <c r="AX345" s="646"/>
      <c r="AY345" s="646"/>
      <c r="AZ345" s="646"/>
      <c r="BA345" s="646"/>
      <c r="BB345" s="646"/>
      <c r="BC345" s="646"/>
      <c r="BD345" s="646"/>
      <c r="BE345" s="646"/>
      <c r="BF345" s="646"/>
      <c r="BG345" s="646"/>
      <c r="BH345" s="646"/>
      <c r="BI345" s="646"/>
      <c r="BJ345" s="646"/>
      <c r="BK345" s="646"/>
      <c r="BL345" s="646"/>
      <c r="BM345" s="646"/>
      <c r="BN345" s="646"/>
      <c r="BO345" s="646"/>
      <c r="BP345" s="646"/>
      <c r="BQ345" s="646"/>
      <c r="BR345" s="645"/>
      <c r="BS345" s="645"/>
      <c r="BT345" s="645"/>
      <c r="BU345" s="645"/>
      <c r="BV345" s="646"/>
      <c r="BW345" s="647"/>
      <c r="BX345" s="647"/>
      <c r="BY345" s="647"/>
      <c r="BZ345" s="647"/>
      <c r="CA345" s="647"/>
      <c r="CB345" s="647"/>
      <c r="CC345" s="647"/>
      <c r="CD345" s="647"/>
      <c r="CE345" s="647"/>
      <c r="CF345" s="647"/>
      <c r="CG345" s="647"/>
      <c r="CH345" s="647"/>
      <c r="CI345" s="647"/>
      <c r="FK345" s="714"/>
      <c r="FL345" s="714"/>
    </row>
    <row r="346" spans="4:168" s="640" customFormat="1" hidden="1">
      <c r="D346" s="641"/>
      <c r="G346" s="642"/>
      <c r="J346" s="642"/>
      <c r="K346" s="643"/>
      <c r="M346" s="644"/>
      <c r="N346" s="642"/>
      <c r="Q346" s="642"/>
      <c r="T346" s="642"/>
      <c r="U346" s="643"/>
      <c r="X346" s="645"/>
      <c r="Y346" s="646"/>
      <c r="Z346" s="673"/>
      <c r="AA346" s="646"/>
      <c r="AB346" s="646"/>
      <c r="AC346" s="646"/>
      <c r="AD346" s="646"/>
      <c r="AE346" s="646"/>
      <c r="AF346" s="646"/>
      <c r="AG346" s="646"/>
      <c r="AH346" s="646"/>
      <c r="AI346" s="646"/>
      <c r="AJ346" s="646"/>
      <c r="AK346" s="646"/>
      <c r="AL346" s="646"/>
      <c r="AM346" s="646"/>
      <c r="AN346" s="646"/>
      <c r="AO346" s="646"/>
      <c r="AP346" s="646"/>
      <c r="AQ346" s="646"/>
      <c r="AR346" s="646"/>
      <c r="AS346" s="646"/>
      <c r="AT346" s="646"/>
      <c r="AU346" s="646"/>
      <c r="AV346" s="646"/>
      <c r="AW346" s="646"/>
      <c r="AX346" s="646"/>
      <c r="AY346" s="646"/>
      <c r="AZ346" s="646"/>
      <c r="BA346" s="646"/>
      <c r="BB346" s="646"/>
      <c r="BC346" s="646"/>
      <c r="BD346" s="646"/>
      <c r="BE346" s="646"/>
      <c r="BF346" s="646"/>
      <c r="BG346" s="646"/>
      <c r="BH346" s="646"/>
      <c r="BI346" s="646"/>
      <c r="BJ346" s="646"/>
      <c r="BK346" s="646"/>
      <c r="BL346" s="646"/>
      <c r="BM346" s="646"/>
      <c r="BN346" s="646"/>
      <c r="BO346" s="646"/>
      <c r="BP346" s="646"/>
      <c r="BQ346" s="646"/>
      <c r="BR346" s="645"/>
      <c r="BS346" s="645"/>
      <c r="BT346" s="645"/>
      <c r="BU346" s="645"/>
      <c r="BV346" s="646"/>
      <c r="BW346" s="647"/>
      <c r="BX346" s="647"/>
      <c r="BY346" s="647"/>
      <c r="BZ346" s="647"/>
      <c r="CA346" s="647"/>
      <c r="CB346" s="647"/>
      <c r="CC346" s="647"/>
      <c r="CD346" s="647"/>
      <c r="CE346" s="647"/>
      <c r="CF346" s="647"/>
      <c r="CG346" s="647"/>
      <c r="CH346" s="647"/>
      <c r="CI346" s="647"/>
      <c r="FK346" s="714"/>
      <c r="FL346" s="714"/>
    </row>
    <row r="347" spans="4:168" s="640" customFormat="1" hidden="1">
      <c r="D347" s="641"/>
      <c r="G347" s="642"/>
      <c r="J347" s="642"/>
      <c r="K347" s="643"/>
      <c r="M347" s="644"/>
      <c r="N347" s="642"/>
      <c r="Q347" s="642"/>
      <c r="T347" s="642"/>
      <c r="U347" s="643"/>
      <c r="X347" s="645"/>
      <c r="Y347" s="646"/>
      <c r="Z347" s="673"/>
      <c r="AA347" s="646"/>
      <c r="AB347" s="646"/>
      <c r="AC347" s="646"/>
      <c r="AD347" s="646"/>
      <c r="AE347" s="646"/>
      <c r="AF347" s="646"/>
      <c r="AG347" s="646"/>
      <c r="AH347" s="646"/>
      <c r="AI347" s="646"/>
      <c r="AJ347" s="646"/>
      <c r="AK347" s="646"/>
      <c r="AL347" s="646"/>
      <c r="AM347" s="646"/>
      <c r="AN347" s="646"/>
      <c r="AO347" s="646"/>
      <c r="AP347" s="646"/>
      <c r="AQ347" s="646"/>
      <c r="AR347" s="646"/>
      <c r="AS347" s="646"/>
      <c r="AT347" s="646"/>
      <c r="AU347" s="646"/>
      <c r="AV347" s="646"/>
      <c r="AW347" s="646"/>
      <c r="AX347" s="646"/>
      <c r="AY347" s="646"/>
      <c r="AZ347" s="646"/>
      <c r="BA347" s="646"/>
      <c r="BB347" s="646"/>
      <c r="BC347" s="646"/>
      <c r="BD347" s="646"/>
      <c r="BE347" s="646"/>
      <c r="BF347" s="646"/>
      <c r="BG347" s="646"/>
      <c r="BH347" s="646"/>
      <c r="BI347" s="646"/>
      <c r="BJ347" s="646"/>
      <c r="BK347" s="646"/>
      <c r="BL347" s="646"/>
      <c r="BM347" s="646"/>
      <c r="BN347" s="646"/>
      <c r="BO347" s="646"/>
      <c r="BP347" s="646"/>
      <c r="BQ347" s="646"/>
      <c r="BR347" s="645"/>
      <c r="BS347" s="645"/>
      <c r="BT347" s="645"/>
      <c r="BU347" s="645"/>
      <c r="BV347" s="646"/>
      <c r="BW347" s="647"/>
      <c r="BX347" s="647"/>
      <c r="BY347" s="647"/>
      <c r="BZ347" s="647"/>
      <c r="CA347" s="647"/>
      <c r="CB347" s="647"/>
      <c r="CC347" s="647"/>
      <c r="CD347" s="647"/>
      <c r="CE347" s="647"/>
      <c r="CF347" s="647"/>
      <c r="CG347" s="647"/>
      <c r="CH347" s="647"/>
      <c r="CI347" s="647"/>
      <c r="FK347" s="714"/>
      <c r="FL347" s="714"/>
    </row>
    <row r="348" spans="4:168" s="640" customFormat="1" hidden="1">
      <c r="D348" s="641"/>
      <c r="G348" s="642"/>
      <c r="J348" s="642"/>
      <c r="K348" s="643"/>
      <c r="M348" s="644"/>
      <c r="N348" s="642"/>
      <c r="Q348" s="642"/>
      <c r="T348" s="642"/>
      <c r="U348" s="643"/>
      <c r="X348" s="645"/>
      <c r="Y348" s="646"/>
      <c r="Z348" s="673"/>
      <c r="AA348" s="646"/>
      <c r="AB348" s="646"/>
      <c r="AC348" s="646"/>
      <c r="AD348" s="646"/>
      <c r="AE348" s="646"/>
      <c r="AF348" s="646"/>
      <c r="AG348" s="646"/>
      <c r="AH348" s="646"/>
      <c r="AI348" s="646"/>
      <c r="AJ348" s="646"/>
      <c r="AK348" s="646"/>
      <c r="AL348" s="646"/>
      <c r="AM348" s="646"/>
      <c r="AN348" s="646"/>
      <c r="AO348" s="646"/>
      <c r="AP348" s="646"/>
      <c r="AQ348" s="646"/>
      <c r="AR348" s="646"/>
      <c r="AS348" s="646"/>
      <c r="AT348" s="646"/>
      <c r="AU348" s="646"/>
      <c r="AV348" s="646"/>
      <c r="AW348" s="646"/>
      <c r="AX348" s="646"/>
      <c r="AY348" s="646"/>
      <c r="AZ348" s="646"/>
      <c r="BA348" s="646"/>
      <c r="BB348" s="646"/>
      <c r="BC348" s="646"/>
      <c r="BD348" s="646"/>
      <c r="BE348" s="646"/>
      <c r="BF348" s="646"/>
      <c r="BG348" s="646"/>
      <c r="BH348" s="646"/>
      <c r="BI348" s="646"/>
      <c r="BJ348" s="646"/>
      <c r="BK348" s="646"/>
      <c r="BL348" s="646"/>
      <c r="BM348" s="646"/>
      <c r="BN348" s="646"/>
      <c r="BO348" s="646"/>
      <c r="BP348" s="646"/>
      <c r="BQ348" s="646"/>
      <c r="BR348" s="645"/>
      <c r="BS348" s="645"/>
      <c r="BT348" s="645"/>
      <c r="BU348" s="645"/>
      <c r="BV348" s="646"/>
      <c r="BW348" s="647"/>
      <c r="BX348" s="647"/>
      <c r="BY348" s="647"/>
      <c r="BZ348" s="647"/>
      <c r="CA348" s="647"/>
      <c r="CB348" s="647"/>
      <c r="CC348" s="647"/>
      <c r="CD348" s="647"/>
      <c r="CE348" s="647"/>
      <c r="CF348" s="647"/>
      <c r="CG348" s="647"/>
      <c r="CH348" s="647"/>
      <c r="CI348" s="647"/>
      <c r="FK348" s="714"/>
      <c r="FL348" s="714"/>
    </row>
    <row r="349" spans="4:168" s="640" customFormat="1" hidden="1">
      <c r="D349" s="641"/>
      <c r="G349" s="642"/>
      <c r="J349" s="642"/>
      <c r="K349" s="643"/>
      <c r="M349" s="644"/>
      <c r="N349" s="642"/>
      <c r="Q349" s="642"/>
      <c r="T349" s="642"/>
      <c r="U349" s="643"/>
      <c r="X349" s="645"/>
      <c r="Y349" s="646"/>
      <c r="Z349" s="673"/>
      <c r="AA349" s="646"/>
      <c r="AB349" s="646"/>
      <c r="AC349" s="646"/>
      <c r="AD349" s="646"/>
      <c r="AE349" s="646"/>
      <c r="AF349" s="646"/>
      <c r="AG349" s="646"/>
      <c r="AH349" s="646"/>
      <c r="AI349" s="646"/>
      <c r="AJ349" s="646"/>
      <c r="AK349" s="646"/>
      <c r="AL349" s="646"/>
      <c r="AM349" s="646"/>
      <c r="AN349" s="646"/>
      <c r="AO349" s="646"/>
      <c r="AP349" s="646"/>
      <c r="AQ349" s="646"/>
      <c r="AR349" s="646"/>
      <c r="AS349" s="646"/>
      <c r="AT349" s="646"/>
      <c r="AU349" s="646"/>
      <c r="AV349" s="646"/>
      <c r="AW349" s="646"/>
      <c r="AX349" s="646"/>
      <c r="AY349" s="646"/>
      <c r="AZ349" s="646"/>
      <c r="BA349" s="646"/>
      <c r="BB349" s="646"/>
      <c r="BC349" s="646"/>
      <c r="BD349" s="646"/>
      <c r="BE349" s="646"/>
      <c r="BF349" s="646"/>
      <c r="BG349" s="646"/>
      <c r="BH349" s="646"/>
      <c r="BI349" s="646"/>
      <c r="BJ349" s="646"/>
      <c r="BK349" s="646"/>
      <c r="BL349" s="646"/>
      <c r="BM349" s="646"/>
      <c r="BN349" s="646"/>
      <c r="BO349" s="646"/>
      <c r="BP349" s="646"/>
      <c r="BQ349" s="646"/>
      <c r="BR349" s="645"/>
      <c r="BS349" s="645"/>
      <c r="BT349" s="645"/>
      <c r="BU349" s="645"/>
      <c r="BV349" s="646"/>
      <c r="BW349" s="647"/>
      <c r="BX349" s="647"/>
      <c r="BY349" s="647"/>
      <c r="BZ349" s="647"/>
      <c r="CA349" s="647"/>
      <c r="CB349" s="647"/>
      <c r="CC349" s="647"/>
      <c r="CD349" s="647"/>
      <c r="CE349" s="647"/>
      <c r="CF349" s="647"/>
      <c r="CG349" s="647"/>
      <c r="CH349" s="647"/>
      <c r="CI349" s="647"/>
      <c r="FK349" s="714"/>
      <c r="FL349" s="714"/>
    </row>
    <row r="350" spans="4:168" s="640" customFormat="1" hidden="1">
      <c r="D350" s="641"/>
      <c r="G350" s="642"/>
      <c r="J350" s="642"/>
      <c r="K350" s="643"/>
      <c r="M350" s="644"/>
      <c r="N350" s="642"/>
      <c r="Q350" s="642"/>
      <c r="T350" s="642"/>
      <c r="U350" s="643"/>
      <c r="X350" s="645"/>
      <c r="Y350" s="646"/>
      <c r="Z350" s="673"/>
      <c r="AA350" s="646"/>
      <c r="AB350" s="646"/>
      <c r="AC350" s="646"/>
      <c r="AD350" s="646"/>
      <c r="AE350" s="646"/>
      <c r="AF350" s="646"/>
      <c r="AG350" s="646"/>
      <c r="AH350" s="646"/>
      <c r="AI350" s="646"/>
      <c r="AJ350" s="646"/>
      <c r="AK350" s="646"/>
      <c r="AL350" s="646"/>
      <c r="AM350" s="646"/>
      <c r="AN350" s="646"/>
      <c r="AO350" s="646"/>
      <c r="AP350" s="646"/>
      <c r="AQ350" s="646"/>
      <c r="AR350" s="646"/>
      <c r="AS350" s="646"/>
      <c r="AT350" s="646"/>
      <c r="AU350" s="646"/>
      <c r="AV350" s="646"/>
      <c r="AW350" s="646"/>
      <c r="AX350" s="646"/>
      <c r="AY350" s="646"/>
      <c r="AZ350" s="646"/>
      <c r="BA350" s="646"/>
      <c r="BB350" s="646"/>
      <c r="BC350" s="646"/>
      <c r="BD350" s="646"/>
      <c r="BE350" s="646"/>
      <c r="BF350" s="646"/>
      <c r="BG350" s="646"/>
      <c r="BH350" s="646"/>
      <c r="BI350" s="646"/>
      <c r="BJ350" s="646"/>
      <c r="BK350" s="646"/>
      <c r="BL350" s="646"/>
      <c r="BM350" s="646"/>
      <c r="BN350" s="646"/>
      <c r="BO350" s="646"/>
      <c r="BP350" s="646"/>
      <c r="BQ350" s="646"/>
      <c r="BR350" s="645"/>
      <c r="BS350" s="645"/>
      <c r="BT350" s="645"/>
      <c r="BU350" s="645"/>
      <c r="BV350" s="646"/>
      <c r="BW350" s="647"/>
      <c r="BX350" s="647"/>
      <c r="BY350" s="647"/>
      <c r="BZ350" s="647"/>
      <c r="CA350" s="647"/>
      <c r="CB350" s="647"/>
      <c r="CC350" s="647"/>
      <c r="CD350" s="647"/>
      <c r="CE350" s="647"/>
      <c r="CF350" s="647"/>
      <c r="CG350" s="647"/>
      <c r="CH350" s="647"/>
      <c r="CI350" s="647"/>
      <c r="FK350" s="714"/>
      <c r="FL350" s="714"/>
    </row>
    <row r="351" spans="4:168" s="640" customFormat="1" hidden="1">
      <c r="D351" s="641"/>
      <c r="G351" s="642"/>
      <c r="J351" s="642"/>
      <c r="K351" s="643"/>
      <c r="M351" s="644"/>
      <c r="N351" s="642"/>
      <c r="Q351" s="642"/>
      <c r="T351" s="642"/>
      <c r="U351" s="643"/>
      <c r="X351" s="645"/>
      <c r="Y351" s="646"/>
      <c r="Z351" s="673"/>
      <c r="AA351" s="646"/>
      <c r="AB351" s="646"/>
      <c r="AC351" s="646"/>
      <c r="AD351" s="646"/>
      <c r="AE351" s="646"/>
      <c r="AF351" s="646"/>
      <c r="AG351" s="646"/>
      <c r="AH351" s="646"/>
      <c r="AI351" s="646"/>
      <c r="AJ351" s="646"/>
      <c r="AK351" s="646"/>
      <c r="AL351" s="646"/>
      <c r="AM351" s="646"/>
      <c r="AN351" s="646"/>
      <c r="AO351" s="646"/>
      <c r="AP351" s="646"/>
      <c r="AQ351" s="646"/>
      <c r="AR351" s="646"/>
      <c r="AS351" s="646"/>
      <c r="AT351" s="646"/>
      <c r="AU351" s="646"/>
      <c r="AV351" s="646"/>
      <c r="AW351" s="646"/>
      <c r="AX351" s="646"/>
      <c r="AY351" s="646"/>
      <c r="AZ351" s="646"/>
      <c r="BA351" s="646"/>
      <c r="BB351" s="646"/>
      <c r="BC351" s="646"/>
      <c r="BD351" s="646"/>
      <c r="BE351" s="646"/>
      <c r="BF351" s="646"/>
      <c r="BG351" s="646"/>
      <c r="BH351" s="646"/>
      <c r="BI351" s="646"/>
      <c r="BJ351" s="646"/>
      <c r="BK351" s="646"/>
      <c r="BL351" s="646"/>
      <c r="BM351" s="646"/>
      <c r="BN351" s="646"/>
      <c r="BO351" s="646"/>
      <c r="BP351" s="646"/>
      <c r="BQ351" s="646"/>
      <c r="BR351" s="645"/>
      <c r="BS351" s="645"/>
      <c r="BT351" s="645"/>
      <c r="BU351" s="645"/>
      <c r="BV351" s="646"/>
      <c r="BW351" s="647"/>
      <c r="BX351" s="647"/>
      <c r="BY351" s="647"/>
      <c r="BZ351" s="647"/>
      <c r="CA351" s="647"/>
      <c r="CB351" s="647"/>
      <c r="CC351" s="647"/>
      <c r="CD351" s="647"/>
      <c r="CE351" s="647"/>
      <c r="CF351" s="647"/>
      <c r="CG351" s="647"/>
      <c r="CH351" s="647"/>
      <c r="CI351" s="647"/>
      <c r="FK351" s="714"/>
      <c r="FL351" s="714"/>
    </row>
    <row r="352" spans="4:168" s="640" customFormat="1" hidden="1">
      <c r="D352" s="641"/>
      <c r="G352" s="642"/>
      <c r="J352" s="642"/>
      <c r="K352" s="643"/>
      <c r="M352" s="644"/>
      <c r="N352" s="642"/>
      <c r="Q352" s="642"/>
      <c r="T352" s="642"/>
      <c r="U352" s="643"/>
      <c r="X352" s="645"/>
      <c r="Y352" s="646"/>
      <c r="Z352" s="673"/>
      <c r="AA352" s="646"/>
      <c r="AB352" s="646"/>
      <c r="AC352" s="646"/>
      <c r="AD352" s="646"/>
      <c r="AE352" s="646"/>
      <c r="AF352" s="646"/>
      <c r="AG352" s="646"/>
      <c r="AH352" s="646"/>
      <c r="AI352" s="646"/>
      <c r="AJ352" s="646"/>
      <c r="AK352" s="646"/>
      <c r="AL352" s="646"/>
      <c r="AM352" s="646"/>
      <c r="AN352" s="646"/>
      <c r="AO352" s="646"/>
      <c r="AP352" s="646"/>
      <c r="AQ352" s="646"/>
      <c r="AR352" s="646"/>
      <c r="AS352" s="646"/>
      <c r="AT352" s="646"/>
      <c r="AU352" s="646"/>
      <c r="AV352" s="646"/>
      <c r="AW352" s="646"/>
      <c r="AX352" s="646"/>
      <c r="AY352" s="646"/>
      <c r="AZ352" s="646"/>
      <c r="BA352" s="646"/>
      <c r="BB352" s="646"/>
      <c r="BC352" s="646"/>
      <c r="BD352" s="646"/>
      <c r="BE352" s="646"/>
      <c r="BF352" s="646"/>
      <c r="BG352" s="646"/>
      <c r="BH352" s="646"/>
      <c r="BI352" s="646"/>
      <c r="BJ352" s="646"/>
      <c r="BK352" s="646"/>
      <c r="BL352" s="646"/>
      <c r="BM352" s="646"/>
      <c r="BN352" s="646"/>
      <c r="BO352" s="646"/>
      <c r="BP352" s="646"/>
      <c r="BQ352" s="646"/>
      <c r="BR352" s="645"/>
      <c r="BS352" s="645"/>
      <c r="BT352" s="645"/>
      <c r="BU352" s="645"/>
      <c r="BV352" s="646"/>
      <c r="BW352" s="647"/>
      <c r="BX352" s="647"/>
      <c r="BY352" s="647"/>
      <c r="BZ352" s="647"/>
      <c r="CA352" s="647"/>
      <c r="CB352" s="647"/>
      <c r="CC352" s="647"/>
      <c r="CD352" s="647"/>
      <c r="CE352" s="647"/>
      <c r="CF352" s="647"/>
      <c r="CG352" s="647"/>
      <c r="CH352" s="647"/>
      <c r="CI352" s="647"/>
      <c r="FK352" s="714"/>
      <c r="FL352" s="714"/>
    </row>
    <row r="353" spans="4:168" s="640" customFormat="1" hidden="1">
      <c r="D353" s="641"/>
      <c r="G353" s="642"/>
      <c r="J353" s="642"/>
      <c r="K353" s="643"/>
      <c r="M353" s="644"/>
      <c r="N353" s="642"/>
      <c r="Q353" s="642"/>
      <c r="T353" s="642"/>
      <c r="U353" s="643"/>
      <c r="X353" s="645"/>
      <c r="Y353" s="646"/>
      <c r="Z353" s="673"/>
      <c r="AA353" s="646"/>
      <c r="AB353" s="646"/>
      <c r="AC353" s="646"/>
      <c r="AD353" s="646"/>
      <c r="AE353" s="646"/>
      <c r="AF353" s="646"/>
      <c r="AG353" s="646"/>
      <c r="AH353" s="646"/>
      <c r="AI353" s="646"/>
      <c r="AJ353" s="646"/>
      <c r="AK353" s="646"/>
      <c r="AL353" s="646"/>
      <c r="AM353" s="646"/>
      <c r="AN353" s="646"/>
      <c r="AO353" s="646"/>
      <c r="AP353" s="646"/>
      <c r="AQ353" s="646"/>
      <c r="AR353" s="646"/>
      <c r="AS353" s="646"/>
      <c r="AT353" s="646"/>
      <c r="AU353" s="646"/>
      <c r="AV353" s="646"/>
      <c r="AW353" s="646"/>
      <c r="AX353" s="646"/>
      <c r="AY353" s="646"/>
      <c r="AZ353" s="646"/>
      <c r="BA353" s="646"/>
      <c r="BB353" s="646"/>
      <c r="BC353" s="646"/>
      <c r="BD353" s="646"/>
      <c r="BE353" s="646"/>
      <c r="BF353" s="646"/>
      <c r="BG353" s="646"/>
      <c r="BH353" s="646"/>
      <c r="BI353" s="646"/>
      <c r="BJ353" s="646"/>
      <c r="BK353" s="646"/>
      <c r="BL353" s="646"/>
      <c r="BM353" s="646"/>
      <c r="BN353" s="646"/>
      <c r="BO353" s="646"/>
      <c r="BP353" s="646"/>
      <c r="BQ353" s="646"/>
      <c r="BR353" s="645"/>
      <c r="BS353" s="645"/>
      <c r="BT353" s="645"/>
      <c r="BU353" s="645"/>
      <c r="BV353" s="646"/>
      <c r="BW353" s="647"/>
      <c r="BX353" s="647"/>
      <c r="BY353" s="647"/>
      <c r="BZ353" s="647"/>
      <c r="CA353" s="647"/>
      <c r="CB353" s="647"/>
      <c r="CC353" s="647"/>
      <c r="CD353" s="647"/>
      <c r="CE353" s="647"/>
      <c r="CF353" s="647"/>
      <c r="CG353" s="647"/>
      <c r="CH353" s="647"/>
      <c r="CI353" s="647"/>
      <c r="FK353" s="714"/>
      <c r="FL353" s="714"/>
    </row>
    <row r="354" spans="4:168" s="640" customFormat="1" hidden="1">
      <c r="D354" s="641"/>
      <c r="G354" s="642"/>
      <c r="J354" s="642"/>
      <c r="K354" s="643"/>
      <c r="M354" s="644"/>
      <c r="N354" s="642"/>
      <c r="Q354" s="642"/>
      <c r="T354" s="642"/>
      <c r="U354" s="643"/>
      <c r="X354" s="645"/>
      <c r="Y354" s="646"/>
      <c r="Z354" s="673"/>
      <c r="AA354" s="646"/>
      <c r="AB354" s="646"/>
      <c r="AC354" s="646"/>
      <c r="AD354" s="646"/>
      <c r="AE354" s="646"/>
      <c r="AF354" s="646"/>
      <c r="AG354" s="646"/>
      <c r="AH354" s="646"/>
      <c r="AI354" s="646"/>
      <c r="AJ354" s="646"/>
      <c r="AK354" s="646"/>
      <c r="AL354" s="646"/>
      <c r="AM354" s="646"/>
      <c r="AN354" s="646"/>
      <c r="AO354" s="646"/>
      <c r="AP354" s="646"/>
      <c r="AQ354" s="646"/>
      <c r="AR354" s="646"/>
      <c r="AS354" s="646"/>
      <c r="AT354" s="646"/>
      <c r="AU354" s="646"/>
      <c r="AV354" s="646"/>
      <c r="AW354" s="646"/>
      <c r="AX354" s="646"/>
      <c r="AY354" s="646"/>
      <c r="AZ354" s="646"/>
      <c r="BA354" s="646"/>
      <c r="BB354" s="646"/>
      <c r="BC354" s="646"/>
      <c r="BD354" s="646"/>
      <c r="BE354" s="646"/>
      <c r="BF354" s="646"/>
      <c r="BG354" s="646"/>
      <c r="BH354" s="646"/>
      <c r="BI354" s="646"/>
      <c r="BJ354" s="646"/>
      <c r="BK354" s="646"/>
      <c r="BL354" s="646"/>
      <c r="BM354" s="646"/>
      <c r="BN354" s="646"/>
      <c r="BO354" s="646"/>
      <c r="BP354" s="646"/>
      <c r="BQ354" s="646"/>
      <c r="BR354" s="645"/>
      <c r="BS354" s="645"/>
      <c r="BT354" s="645"/>
      <c r="BU354" s="645"/>
      <c r="BV354" s="646"/>
      <c r="BW354" s="647"/>
      <c r="BX354" s="647"/>
      <c r="BY354" s="647"/>
      <c r="BZ354" s="647"/>
      <c r="CA354" s="647"/>
      <c r="CB354" s="647"/>
      <c r="CC354" s="647"/>
      <c r="CD354" s="647"/>
      <c r="CE354" s="647"/>
      <c r="CF354" s="647"/>
      <c r="CG354" s="647"/>
      <c r="CH354" s="647"/>
      <c r="CI354" s="647"/>
      <c r="FK354" s="714"/>
      <c r="FL354" s="714"/>
    </row>
    <row r="355" spans="4:168" s="640" customFormat="1" hidden="1">
      <c r="D355" s="641"/>
      <c r="G355" s="642"/>
      <c r="J355" s="642"/>
      <c r="K355" s="643"/>
      <c r="M355" s="644"/>
      <c r="N355" s="642"/>
      <c r="Q355" s="642"/>
      <c r="T355" s="642"/>
      <c r="U355" s="643"/>
      <c r="X355" s="645"/>
      <c r="Y355" s="646"/>
      <c r="Z355" s="673"/>
      <c r="AA355" s="646"/>
      <c r="AB355" s="646"/>
      <c r="AC355" s="646"/>
      <c r="AD355" s="646"/>
      <c r="AE355" s="646"/>
      <c r="AF355" s="646"/>
      <c r="AG355" s="646"/>
      <c r="AH355" s="646"/>
      <c r="AI355" s="646"/>
      <c r="AJ355" s="646"/>
      <c r="AK355" s="646"/>
      <c r="AL355" s="646"/>
      <c r="AM355" s="646"/>
      <c r="AN355" s="646"/>
      <c r="AO355" s="646"/>
      <c r="AP355" s="646"/>
      <c r="AQ355" s="646"/>
      <c r="AR355" s="646"/>
      <c r="AS355" s="646"/>
      <c r="AT355" s="646"/>
      <c r="AU355" s="646"/>
      <c r="AV355" s="646"/>
      <c r="AW355" s="646"/>
      <c r="AX355" s="646"/>
      <c r="AY355" s="646"/>
      <c r="AZ355" s="646"/>
      <c r="BA355" s="646"/>
      <c r="BB355" s="646"/>
      <c r="BC355" s="646"/>
      <c r="BD355" s="646"/>
      <c r="BE355" s="646"/>
      <c r="BF355" s="646"/>
      <c r="BG355" s="646"/>
      <c r="BH355" s="646"/>
      <c r="BI355" s="646"/>
      <c r="BJ355" s="646"/>
      <c r="BK355" s="646"/>
      <c r="BL355" s="646"/>
      <c r="BM355" s="646"/>
      <c r="BN355" s="646"/>
      <c r="BO355" s="646"/>
      <c r="BP355" s="646"/>
      <c r="BQ355" s="646"/>
      <c r="BR355" s="645"/>
      <c r="BS355" s="645"/>
      <c r="BT355" s="645"/>
      <c r="BU355" s="645"/>
      <c r="BV355" s="646"/>
      <c r="BW355" s="647"/>
      <c r="BX355" s="647"/>
      <c r="BY355" s="647"/>
      <c r="BZ355" s="647"/>
      <c r="CA355" s="647"/>
      <c r="CB355" s="647"/>
      <c r="CC355" s="647"/>
      <c r="CD355" s="647"/>
      <c r="CE355" s="647"/>
      <c r="CF355" s="647"/>
      <c r="CG355" s="647"/>
      <c r="CH355" s="647"/>
      <c r="CI355" s="647"/>
      <c r="FK355" s="714"/>
      <c r="FL355" s="714"/>
    </row>
    <row r="356" spans="4:168" s="640" customFormat="1" hidden="1">
      <c r="D356" s="641"/>
      <c r="G356" s="642"/>
      <c r="J356" s="642"/>
      <c r="K356" s="643"/>
      <c r="M356" s="644"/>
      <c r="N356" s="642"/>
      <c r="Q356" s="642"/>
      <c r="T356" s="642"/>
      <c r="U356" s="643"/>
      <c r="X356" s="645"/>
      <c r="Y356" s="646"/>
      <c r="Z356" s="673"/>
      <c r="AA356" s="646"/>
      <c r="AB356" s="646"/>
      <c r="AC356" s="646"/>
      <c r="AD356" s="646"/>
      <c r="AE356" s="646"/>
      <c r="AF356" s="646"/>
      <c r="AG356" s="646"/>
      <c r="AH356" s="646"/>
      <c r="AI356" s="646"/>
      <c r="AJ356" s="646"/>
      <c r="AK356" s="646"/>
      <c r="AL356" s="646"/>
      <c r="AM356" s="646"/>
      <c r="AN356" s="646"/>
      <c r="AO356" s="646"/>
      <c r="AP356" s="646"/>
      <c r="AQ356" s="646"/>
      <c r="AR356" s="646"/>
      <c r="AS356" s="646"/>
      <c r="AT356" s="646"/>
      <c r="AU356" s="646"/>
      <c r="AV356" s="646"/>
      <c r="AW356" s="646"/>
      <c r="AX356" s="646"/>
      <c r="AY356" s="646"/>
      <c r="AZ356" s="646"/>
      <c r="BA356" s="646"/>
      <c r="BB356" s="646"/>
      <c r="BC356" s="646"/>
      <c r="BD356" s="646"/>
      <c r="BE356" s="646"/>
      <c r="BF356" s="646"/>
      <c r="BG356" s="646"/>
      <c r="BH356" s="646"/>
      <c r="BI356" s="646"/>
      <c r="BJ356" s="646"/>
      <c r="BK356" s="646"/>
      <c r="BL356" s="646"/>
      <c r="BM356" s="646"/>
      <c r="BN356" s="646"/>
      <c r="BO356" s="646"/>
      <c r="BP356" s="646"/>
      <c r="BQ356" s="646"/>
      <c r="BR356" s="645"/>
      <c r="BS356" s="645"/>
      <c r="BT356" s="645"/>
      <c r="BU356" s="645"/>
      <c r="BV356" s="646"/>
      <c r="BW356" s="647"/>
      <c r="BX356" s="647"/>
      <c r="BY356" s="647"/>
      <c r="BZ356" s="647"/>
      <c r="CA356" s="647"/>
      <c r="CB356" s="647"/>
      <c r="CC356" s="647"/>
      <c r="CD356" s="647"/>
      <c r="CE356" s="647"/>
      <c r="CF356" s="647"/>
      <c r="CG356" s="647"/>
      <c r="CH356" s="647"/>
      <c r="CI356" s="647"/>
      <c r="FK356" s="714"/>
      <c r="FL356" s="714"/>
    </row>
    <row r="357" spans="4:168" s="640" customFormat="1" hidden="1">
      <c r="D357" s="641"/>
      <c r="G357" s="642"/>
      <c r="J357" s="642"/>
      <c r="K357" s="643"/>
      <c r="M357" s="644"/>
      <c r="N357" s="642"/>
      <c r="Q357" s="642"/>
      <c r="T357" s="642"/>
      <c r="U357" s="643"/>
      <c r="X357" s="645"/>
      <c r="Y357" s="646"/>
      <c r="Z357" s="673"/>
      <c r="AA357" s="646"/>
      <c r="AB357" s="646"/>
      <c r="AC357" s="646"/>
      <c r="AD357" s="646"/>
      <c r="AE357" s="646"/>
      <c r="AF357" s="646"/>
      <c r="AG357" s="646"/>
      <c r="AH357" s="646"/>
      <c r="AI357" s="646"/>
      <c r="AJ357" s="646"/>
      <c r="AK357" s="646"/>
      <c r="AL357" s="646"/>
      <c r="AM357" s="646"/>
      <c r="AN357" s="646"/>
      <c r="AO357" s="646"/>
      <c r="AP357" s="646"/>
      <c r="AQ357" s="646"/>
      <c r="AR357" s="646"/>
      <c r="AS357" s="646"/>
      <c r="AT357" s="646"/>
      <c r="AU357" s="646"/>
      <c r="AV357" s="646"/>
      <c r="AW357" s="646"/>
      <c r="AX357" s="646"/>
      <c r="AY357" s="646"/>
      <c r="AZ357" s="646"/>
      <c r="BA357" s="646"/>
      <c r="BB357" s="646"/>
      <c r="BC357" s="646"/>
      <c r="BD357" s="646"/>
      <c r="BE357" s="646"/>
      <c r="BF357" s="646"/>
      <c r="BG357" s="646"/>
      <c r="BH357" s="646"/>
      <c r="BI357" s="646"/>
      <c r="BJ357" s="646"/>
      <c r="BK357" s="646"/>
      <c r="BL357" s="646"/>
      <c r="BM357" s="646"/>
      <c r="BN357" s="646"/>
      <c r="BO357" s="646"/>
      <c r="BP357" s="646"/>
      <c r="BQ357" s="646"/>
      <c r="BR357" s="645"/>
      <c r="BS357" s="645"/>
      <c r="BT357" s="645"/>
      <c r="BU357" s="645"/>
      <c r="BV357" s="646"/>
      <c r="BW357" s="647"/>
      <c r="BX357" s="647"/>
      <c r="BY357" s="647"/>
      <c r="BZ357" s="647"/>
      <c r="CA357" s="647"/>
      <c r="CB357" s="647"/>
      <c r="CC357" s="647"/>
      <c r="CD357" s="647"/>
      <c r="CE357" s="647"/>
      <c r="CF357" s="647"/>
      <c r="CG357" s="647"/>
      <c r="CH357" s="647"/>
      <c r="CI357" s="647"/>
      <c r="FK357" s="714"/>
      <c r="FL357" s="714"/>
    </row>
    <row r="358" spans="4:168" s="640" customFormat="1" hidden="1">
      <c r="D358" s="641"/>
      <c r="G358" s="642"/>
      <c r="J358" s="642"/>
      <c r="K358" s="643"/>
      <c r="M358" s="644"/>
      <c r="N358" s="642"/>
      <c r="Q358" s="642"/>
      <c r="T358" s="642"/>
      <c r="U358" s="643"/>
      <c r="X358" s="645"/>
      <c r="Y358" s="646"/>
      <c r="Z358" s="673"/>
      <c r="AA358" s="646"/>
      <c r="AB358" s="646"/>
      <c r="AC358" s="646"/>
      <c r="AD358" s="646"/>
      <c r="AE358" s="646"/>
      <c r="AF358" s="646"/>
      <c r="AG358" s="646"/>
      <c r="AH358" s="646"/>
      <c r="AI358" s="646"/>
      <c r="AJ358" s="646"/>
      <c r="AK358" s="646"/>
      <c r="AL358" s="646"/>
      <c r="AM358" s="646"/>
      <c r="AN358" s="646"/>
      <c r="AO358" s="646"/>
      <c r="AP358" s="646"/>
      <c r="AQ358" s="646"/>
      <c r="AR358" s="646"/>
      <c r="AS358" s="646"/>
      <c r="AT358" s="646"/>
      <c r="AU358" s="646"/>
      <c r="AV358" s="646"/>
      <c r="AW358" s="646"/>
      <c r="AX358" s="646"/>
      <c r="AY358" s="646"/>
      <c r="AZ358" s="646"/>
      <c r="BA358" s="646"/>
      <c r="BB358" s="646"/>
      <c r="BC358" s="646"/>
      <c r="BD358" s="646"/>
      <c r="BE358" s="646"/>
      <c r="BF358" s="646"/>
      <c r="BG358" s="646"/>
      <c r="BH358" s="646"/>
      <c r="BI358" s="646"/>
      <c r="BJ358" s="646"/>
      <c r="BK358" s="646"/>
      <c r="BL358" s="646"/>
      <c r="BM358" s="646"/>
      <c r="BN358" s="646"/>
      <c r="BO358" s="646"/>
      <c r="BP358" s="646"/>
      <c r="BQ358" s="646"/>
      <c r="BR358" s="645"/>
      <c r="BS358" s="645"/>
      <c r="BT358" s="645"/>
      <c r="BU358" s="645"/>
      <c r="BV358" s="646"/>
      <c r="BW358" s="647"/>
      <c r="BX358" s="647"/>
      <c r="BY358" s="647"/>
      <c r="BZ358" s="647"/>
      <c r="CA358" s="647"/>
      <c r="CB358" s="647"/>
      <c r="CC358" s="647"/>
      <c r="CD358" s="647"/>
      <c r="CE358" s="647"/>
      <c r="CF358" s="647"/>
      <c r="CG358" s="647"/>
      <c r="CH358" s="647"/>
      <c r="CI358" s="647"/>
      <c r="FK358" s="714"/>
      <c r="FL358" s="714"/>
    </row>
    <row r="359" spans="4:168" s="640" customFormat="1" hidden="1">
      <c r="D359" s="641"/>
      <c r="G359" s="642"/>
      <c r="J359" s="642"/>
      <c r="K359" s="643"/>
      <c r="M359" s="644"/>
      <c r="N359" s="642"/>
      <c r="Q359" s="642"/>
      <c r="T359" s="642"/>
      <c r="U359" s="643"/>
      <c r="X359" s="645"/>
      <c r="Y359" s="646"/>
      <c r="Z359" s="673"/>
      <c r="AA359" s="646"/>
      <c r="AB359" s="646"/>
      <c r="AC359" s="646"/>
      <c r="AD359" s="646"/>
      <c r="AE359" s="646"/>
      <c r="AF359" s="646"/>
      <c r="AG359" s="646"/>
      <c r="AH359" s="646"/>
      <c r="AI359" s="646"/>
      <c r="AJ359" s="646"/>
      <c r="AK359" s="646"/>
      <c r="AL359" s="646"/>
      <c r="AM359" s="646"/>
      <c r="AN359" s="646"/>
      <c r="AO359" s="646"/>
      <c r="AP359" s="646"/>
      <c r="AQ359" s="646"/>
      <c r="AR359" s="646"/>
      <c r="AS359" s="646"/>
      <c r="AT359" s="646"/>
      <c r="AU359" s="646"/>
      <c r="AV359" s="646"/>
      <c r="AW359" s="646"/>
      <c r="AX359" s="646"/>
      <c r="AY359" s="646"/>
      <c r="AZ359" s="646"/>
      <c r="BA359" s="646"/>
      <c r="BB359" s="646"/>
      <c r="BC359" s="646"/>
      <c r="BD359" s="646"/>
      <c r="BE359" s="646"/>
      <c r="BF359" s="646"/>
      <c r="BG359" s="646"/>
      <c r="BH359" s="646"/>
      <c r="BI359" s="646"/>
      <c r="BJ359" s="646"/>
      <c r="BK359" s="646"/>
      <c r="BL359" s="646"/>
      <c r="BM359" s="646"/>
      <c r="BN359" s="646"/>
      <c r="BO359" s="646"/>
      <c r="BP359" s="646"/>
      <c r="BQ359" s="646"/>
      <c r="BR359" s="645"/>
      <c r="BS359" s="645"/>
      <c r="BT359" s="645"/>
      <c r="BU359" s="645"/>
      <c r="BV359" s="646"/>
      <c r="BW359" s="647"/>
      <c r="BX359" s="647"/>
      <c r="BY359" s="647"/>
      <c r="BZ359" s="647"/>
      <c r="CA359" s="647"/>
      <c r="CB359" s="647"/>
      <c r="CC359" s="647"/>
      <c r="CD359" s="647"/>
      <c r="CE359" s="647"/>
      <c r="CF359" s="647"/>
      <c r="CG359" s="647"/>
      <c r="CH359" s="647"/>
      <c r="CI359" s="647"/>
      <c r="FK359" s="714"/>
      <c r="FL359" s="714"/>
    </row>
    <row r="360" spans="4:168" s="640" customFormat="1" hidden="1">
      <c r="D360" s="641"/>
      <c r="G360" s="642"/>
      <c r="J360" s="642"/>
      <c r="K360" s="643"/>
      <c r="M360" s="644"/>
      <c r="N360" s="642"/>
      <c r="Q360" s="642"/>
      <c r="T360" s="642"/>
      <c r="U360" s="643"/>
      <c r="X360" s="645"/>
      <c r="Y360" s="646"/>
      <c r="Z360" s="673"/>
      <c r="AA360" s="646"/>
      <c r="AB360" s="646"/>
      <c r="AC360" s="646"/>
      <c r="AD360" s="646"/>
      <c r="AE360" s="646"/>
      <c r="AF360" s="646"/>
      <c r="AG360" s="646"/>
      <c r="AH360" s="646"/>
      <c r="AI360" s="646"/>
      <c r="AJ360" s="646"/>
      <c r="AK360" s="646"/>
      <c r="AL360" s="646"/>
      <c r="AM360" s="646"/>
      <c r="AN360" s="646"/>
      <c r="AO360" s="646"/>
      <c r="AP360" s="646"/>
      <c r="AQ360" s="646"/>
      <c r="AR360" s="646"/>
      <c r="AS360" s="646"/>
      <c r="AT360" s="646"/>
      <c r="AU360" s="646"/>
      <c r="AV360" s="646"/>
      <c r="AW360" s="646"/>
      <c r="AX360" s="646"/>
      <c r="AY360" s="646"/>
      <c r="AZ360" s="646"/>
      <c r="BA360" s="646"/>
      <c r="BB360" s="646"/>
      <c r="BC360" s="646"/>
      <c r="BD360" s="646"/>
      <c r="BE360" s="646"/>
      <c r="BF360" s="646"/>
      <c r="BG360" s="646"/>
      <c r="BH360" s="646"/>
      <c r="BI360" s="646"/>
      <c r="BJ360" s="646"/>
      <c r="BK360" s="646"/>
      <c r="BL360" s="646"/>
      <c r="BM360" s="646"/>
      <c r="BN360" s="646"/>
      <c r="BO360" s="646"/>
      <c r="BP360" s="646"/>
      <c r="BQ360" s="646"/>
      <c r="BR360" s="645"/>
      <c r="BS360" s="645"/>
      <c r="BT360" s="645"/>
      <c r="BU360" s="645"/>
      <c r="BV360" s="646"/>
      <c r="BW360" s="647"/>
      <c r="BX360" s="647"/>
      <c r="BY360" s="647"/>
      <c r="BZ360" s="647"/>
      <c r="CA360" s="647"/>
      <c r="CB360" s="647"/>
      <c r="CC360" s="647"/>
      <c r="CD360" s="647"/>
      <c r="CE360" s="647"/>
      <c r="CF360" s="647"/>
      <c r="CG360" s="647"/>
      <c r="CH360" s="647"/>
      <c r="CI360" s="647"/>
      <c r="FK360" s="714"/>
      <c r="FL360" s="714"/>
    </row>
    <row r="361" spans="4:168" s="640" customFormat="1" hidden="1">
      <c r="D361" s="641"/>
      <c r="G361" s="642"/>
      <c r="J361" s="642"/>
      <c r="K361" s="643"/>
      <c r="M361" s="644"/>
      <c r="N361" s="642"/>
      <c r="Q361" s="642"/>
      <c r="T361" s="642"/>
      <c r="U361" s="643"/>
      <c r="X361" s="645"/>
      <c r="Y361" s="646"/>
      <c r="Z361" s="673"/>
      <c r="AA361" s="646"/>
      <c r="AB361" s="646"/>
      <c r="AC361" s="646"/>
      <c r="AD361" s="646"/>
      <c r="AE361" s="646"/>
      <c r="AF361" s="646"/>
      <c r="AG361" s="646"/>
      <c r="AH361" s="646"/>
      <c r="AI361" s="646"/>
      <c r="AJ361" s="646"/>
      <c r="AK361" s="646"/>
      <c r="AL361" s="646"/>
      <c r="AM361" s="646"/>
      <c r="AN361" s="646"/>
      <c r="AO361" s="646"/>
      <c r="AP361" s="646"/>
      <c r="AQ361" s="646"/>
      <c r="AR361" s="646"/>
      <c r="AS361" s="646"/>
      <c r="AT361" s="646"/>
      <c r="AU361" s="646"/>
      <c r="AV361" s="646"/>
      <c r="AW361" s="646"/>
      <c r="AX361" s="646"/>
      <c r="AY361" s="646"/>
      <c r="AZ361" s="646"/>
      <c r="BA361" s="646"/>
      <c r="BB361" s="646"/>
      <c r="BC361" s="646"/>
      <c r="BD361" s="646"/>
      <c r="BE361" s="646"/>
      <c r="BF361" s="646"/>
      <c r="BG361" s="646"/>
      <c r="BH361" s="646"/>
      <c r="BI361" s="646"/>
      <c r="BJ361" s="646"/>
      <c r="BK361" s="646"/>
      <c r="BL361" s="646"/>
      <c r="BM361" s="646"/>
      <c r="BN361" s="646"/>
      <c r="BO361" s="646"/>
      <c r="BP361" s="646"/>
      <c r="BQ361" s="646"/>
      <c r="BR361" s="645"/>
      <c r="BS361" s="645"/>
      <c r="BT361" s="645"/>
      <c r="BU361" s="645"/>
      <c r="BV361" s="646"/>
      <c r="BW361" s="647"/>
      <c r="BX361" s="647"/>
      <c r="BY361" s="647"/>
      <c r="BZ361" s="647"/>
      <c r="CA361" s="647"/>
      <c r="CB361" s="647"/>
      <c r="CC361" s="647"/>
      <c r="CD361" s="647"/>
      <c r="CE361" s="647"/>
      <c r="CF361" s="647"/>
      <c r="CG361" s="647"/>
      <c r="CH361" s="647"/>
      <c r="CI361" s="647"/>
      <c r="FK361" s="714"/>
      <c r="FL361" s="714"/>
    </row>
    <row r="362" spans="4:168" s="640" customFormat="1" hidden="1">
      <c r="D362" s="641"/>
      <c r="G362" s="642"/>
      <c r="J362" s="642"/>
      <c r="K362" s="643"/>
      <c r="M362" s="644"/>
      <c r="N362" s="642"/>
      <c r="Q362" s="642"/>
      <c r="T362" s="642"/>
      <c r="U362" s="643"/>
      <c r="X362" s="645"/>
      <c r="Y362" s="646"/>
      <c r="Z362" s="673"/>
      <c r="AA362" s="646"/>
      <c r="AB362" s="646"/>
      <c r="AC362" s="646"/>
      <c r="AD362" s="646"/>
      <c r="AE362" s="646"/>
      <c r="AF362" s="646"/>
      <c r="AG362" s="646"/>
      <c r="AH362" s="646"/>
      <c r="AI362" s="646"/>
      <c r="AJ362" s="646"/>
      <c r="AK362" s="646"/>
      <c r="AL362" s="646"/>
      <c r="AM362" s="646"/>
      <c r="AN362" s="646"/>
      <c r="AO362" s="646"/>
      <c r="AP362" s="646"/>
      <c r="AQ362" s="646"/>
      <c r="AR362" s="646"/>
      <c r="AS362" s="646"/>
      <c r="AT362" s="646"/>
      <c r="AU362" s="646"/>
      <c r="AV362" s="646"/>
      <c r="AW362" s="646"/>
      <c r="AX362" s="646"/>
      <c r="AY362" s="646"/>
      <c r="AZ362" s="646"/>
      <c r="BA362" s="646"/>
      <c r="BB362" s="646"/>
      <c r="BC362" s="646"/>
      <c r="BD362" s="646"/>
      <c r="BE362" s="646"/>
      <c r="BF362" s="646"/>
      <c r="BG362" s="646"/>
      <c r="BH362" s="646"/>
      <c r="BI362" s="646"/>
      <c r="BJ362" s="646"/>
      <c r="BK362" s="646"/>
      <c r="BL362" s="646"/>
      <c r="BM362" s="646"/>
      <c r="BN362" s="646"/>
      <c r="BO362" s="646"/>
      <c r="BP362" s="646"/>
      <c r="BQ362" s="646"/>
      <c r="BR362" s="645"/>
      <c r="BS362" s="645"/>
      <c r="BT362" s="645"/>
      <c r="BU362" s="645"/>
      <c r="BV362" s="646"/>
      <c r="BW362" s="647"/>
      <c r="BX362" s="647"/>
      <c r="BY362" s="647"/>
      <c r="BZ362" s="647"/>
      <c r="CA362" s="647"/>
      <c r="CB362" s="647"/>
      <c r="CC362" s="647"/>
      <c r="CD362" s="647"/>
      <c r="CE362" s="647"/>
      <c r="CF362" s="647"/>
      <c r="CG362" s="647"/>
      <c r="CH362" s="647"/>
      <c r="CI362" s="647"/>
      <c r="FK362" s="714"/>
      <c r="FL362" s="714"/>
    </row>
    <row r="363" spans="4:168" s="640" customFormat="1" hidden="1">
      <c r="D363" s="641"/>
      <c r="G363" s="642"/>
      <c r="J363" s="642"/>
      <c r="K363" s="643"/>
      <c r="M363" s="644"/>
      <c r="N363" s="642"/>
      <c r="Q363" s="642"/>
      <c r="T363" s="642"/>
      <c r="U363" s="643"/>
      <c r="X363" s="645"/>
      <c r="Y363" s="646"/>
      <c r="Z363" s="673"/>
      <c r="AA363" s="646"/>
      <c r="AB363" s="646"/>
      <c r="AC363" s="646"/>
      <c r="AD363" s="646"/>
      <c r="AE363" s="646"/>
      <c r="AF363" s="646"/>
      <c r="AG363" s="646"/>
      <c r="AH363" s="646"/>
      <c r="AI363" s="646"/>
      <c r="AJ363" s="646"/>
      <c r="AK363" s="646"/>
      <c r="AL363" s="646"/>
      <c r="AM363" s="646"/>
      <c r="AN363" s="646"/>
      <c r="AO363" s="646"/>
      <c r="AP363" s="646"/>
      <c r="AQ363" s="646"/>
      <c r="AR363" s="646"/>
      <c r="AS363" s="646"/>
      <c r="AT363" s="646"/>
      <c r="AU363" s="646"/>
      <c r="AV363" s="646"/>
      <c r="AW363" s="646"/>
      <c r="AX363" s="646"/>
      <c r="AY363" s="646"/>
      <c r="AZ363" s="646"/>
      <c r="BA363" s="646"/>
      <c r="BB363" s="646"/>
      <c r="BC363" s="646"/>
      <c r="BD363" s="646"/>
      <c r="BE363" s="646"/>
      <c r="BF363" s="646"/>
      <c r="BG363" s="646"/>
      <c r="BH363" s="646"/>
      <c r="BI363" s="646"/>
      <c r="BJ363" s="646"/>
      <c r="BK363" s="646"/>
      <c r="BL363" s="646"/>
      <c r="BM363" s="646"/>
      <c r="BN363" s="646"/>
      <c r="BO363" s="646"/>
      <c r="BP363" s="646"/>
      <c r="BQ363" s="646"/>
      <c r="BR363" s="645"/>
      <c r="BS363" s="645"/>
      <c r="BT363" s="645"/>
      <c r="BU363" s="645"/>
      <c r="BV363" s="646"/>
      <c r="BW363" s="647"/>
      <c r="BX363" s="647"/>
      <c r="BY363" s="647"/>
      <c r="BZ363" s="647"/>
      <c r="CA363" s="647"/>
      <c r="CB363" s="647"/>
      <c r="CC363" s="647"/>
      <c r="CD363" s="647"/>
      <c r="CE363" s="647"/>
      <c r="CF363" s="647"/>
      <c r="CG363" s="647"/>
      <c r="CH363" s="647"/>
      <c r="CI363" s="647"/>
      <c r="FK363" s="714"/>
      <c r="FL363" s="714"/>
    </row>
    <row r="364" spans="4:168" s="640" customFormat="1" hidden="1">
      <c r="D364" s="641"/>
      <c r="G364" s="642"/>
      <c r="J364" s="642"/>
      <c r="K364" s="643"/>
      <c r="M364" s="644"/>
      <c r="N364" s="642"/>
      <c r="Q364" s="642"/>
      <c r="T364" s="642"/>
      <c r="U364" s="643"/>
      <c r="X364" s="645"/>
      <c r="Y364" s="646"/>
      <c r="Z364" s="673"/>
      <c r="AA364" s="646"/>
      <c r="AB364" s="646"/>
      <c r="AC364" s="646"/>
      <c r="AD364" s="646"/>
      <c r="AE364" s="646"/>
      <c r="AF364" s="646"/>
      <c r="AG364" s="646"/>
      <c r="AH364" s="646"/>
      <c r="AI364" s="646"/>
      <c r="AJ364" s="646"/>
      <c r="AK364" s="646"/>
      <c r="AL364" s="646"/>
      <c r="AM364" s="646"/>
      <c r="AN364" s="646"/>
      <c r="AO364" s="646"/>
      <c r="AP364" s="646"/>
      <c r="AQ364" s="646"/>
      <c r="AR364" s="646"/>
      <c r="AS364" s="646"/>
      <c r="AT364" s="646"/>
      <c r="AU364" s="646"/>
      <c r="AV364" s="646"/>
      <c r="AW364" s="646"/>
      <c r="AX364" s="646"/>
      <c r="AY364" s="646"/>
      <c r="AZ364" s="646"/>
      <c r="BA364" s="646"/>
      <c r="BB364" s="646"/>
      <c r="BC364" s="646"/>
      <c r="BD364" s="646"/>
      <c r="BE364" s="646"/>
      <c r="BF364" s="646"/>
      <c r="BG364" s="646"/>
      <c r="BH364" s="646"/>
      <c r="BI364" s="646"/>
      <c r="BJ364" s="646"/>
      <c r="BK364" s="646"/>
      <c r="BL364" s="646"/>
      <c r="BM364" s="646"/>
      <c r="BN364" s="646"/>
      <c r="BO364" s="646"/>
      <c r="BP364" s="646"/>
      <c r="BQ364" s="646"/>
      <c r="BR364" s="645"/>
      <c r="BS364" s="645"/>
      <c r="BT364" s="645"/>
      <c r="BU364" s="645"/>
      <c r="BV364" s="646"/>
      <c r="BW364" s="647"/>
      <c r="BX364" s="647"/>
      <c r="BY364" s="647"/>
      <c r="BZ364" s="647"/>
      <c r="CA364" s="647"/>
      <c r="CB364" s="647"/>
      <c r="CC364" s="647"/>
      <c r="CD364" s="647"/>
      <c r="CE364" s="647"/>
      <c r="CF364" s="647"/>
      <c r="CG364" s="647"/>
      <c r="CH364" s="647"/>
      <c r="CI364" s="647"/>
      <c r="FK364" s="714"/>
      <c r="FL364" s="714"/>
    </row>
    <row r="365" spans="4:168" s="640" customFormat="1" hidden="1">
      <c r="D365" s="641"/>
      <c r="G365" s="642"/>
      <c r="J365" s="642"/>
      <c r="K365" s="643"/>
      <c r="M365" s="644"/>
      <c r="N365" s="642"/>
      <c r="Q365" s="642"/>
      <c r="T365" s="642"/>
      <c r="U365" s="643"/>
      <c r="X365" s="645"/>
      <c r="Y365" s="646"/>
      <c r="Z365" s="673"/>
      <c r="AA365" s="646"/>
      <c r="AB365" s="646"/>
      <c r="AC365" s="646"/>
      <c r="AD365" s="646"/>
      <c r="AE365" s="646"/>
      <c r="AF365" s="646"/>
      <c r="AG365" s="646"/>
      <c r="AH365" s="646"/>
      <c r="AI365" s="646"/>
      <c r="AJ365" s="646"/>
      <c r="AK365" s="646"/>
      <c r="AL365" s="646"/>
      <c r="AM365" s="646"/>
      <c r="AN365" s="646"/>
      <c r="AO365" s="646"/>
      <c r="AP365" s="646"/>
      <c r="AQ365" s="646"/>
      <c r="AR365" s="646"/>
      <c r="AS365" s="646"/>
      <c r="AT365" s="646"/>
      <c r="AU365" s="646"/>
      <c r="AV365" s="646"/>
      <c r="AW365" s="646"/>
      <c r="AX365" s="646"/>
      <c r="AY365" s="646"/>
      <c r="AZ365" s="646"/>
      <c r="BA365" s="646"/>
      <c r="BB365" s="646"/>
      <c r="BC365" s="646"/>
      <c r="BD365" s="646"/>
      <c r="BE365" s="646"/>
      <c r="BF365" s="646"/>
      <c r="BG365" s="646"/>
      <c r="BH365" s="646"/>
      <c r="BI365" s="646"/>
      <c r="BJ365" s="646"/>
      <c r="BK365" s="646"/>
      <c r="BL365" s="646"/>
      <c r="BM365" s="646"/>
      <c r="BN365" s="646"/>
      <c r="BO365" s="646"/>
      <c r="BP365" s="646"/>
      <c r="BQ365" s="646"/>
      <c r="BR365" s="645"/>
      <c r="BS365" s="645"/>
      <c r="BT365" s="645"/>
      <c r="BU365" s="645"/>
      <c r="BV365" s="646"/>
      <c r="BW365" s="647"/>
      <c r="BX365" s="647"/>
      <c r="BY365" s="647"/>
      <c r="BZ365" s="647"/>
      <c r="CA365" s="647"/>
      <c r="CB365" s="647"/>
      <c r="CC365" s="647"/>
      <c r="CD365" s="647"/>
      <c r="CE365" s="647"/>
      <c r="CF365" s="647"/>
      <c r="CG365" s="647"/>
      <c r="CH365" s="647"/>
      <c r="CI365" s="647"/>
      <c r="FK365" s="714"/>
      <c r="FL365" s="714"/>
    </row>
    <row r="366" spans="4:168" s="640" customFormat="1" hidden="1">
      <c r="D366" s="641"/>
      <c r="G366" s="642"/>
      <c r="J366" s="642"/>
      <c r="K366" s="643"/>
      <c r="M366" s="644"/>
      <c r="N366" s="642"/>
      <c r="Q366" s="642"/>
      <c r="T366" s="642"/>
      <c r="U366" s="643"/>
      <c r="X366" s="645"/>
      <c r="Y366" s="646"/>
      <c r="Z366" s="673"/>
      <c r="AA366" s="646"/>
      <c r="AB366" s="646"/>
      <c r="AC366" s="646"/>
      <c r="AD366" s="646"/>
      <c r="AE366" s="646"/>
      <c r="AF366" s="646"/>
      <c r="AG366" s="646"/>
      <c r="AH366" s="646"/>
      <c r="AI366" s="646"/>
      <c r="AJ366" s="646"/>
      <c r="AK366" s="646"/>
      <c r="AL366" s="646"/>
      <c r="AM366" s="646"/>
      <c r="AN366" s="646"/>
      <c r="AO366" s="646"/>
      <c r="AP366" s="646"/>
      <c r="AQ366" s="646"/>
      <c r="AR366" s="646"/>
      <c r="AS366" s="646"/>
      <c r="AT366" s="646"/>
      <c r="AU366" s="646"/>
      <c r="AV366" s="646"/>
      <c r="AW366" s="646"/>
      <c r="AX366" s="646"/>
      <c r="AY366" s="646"/>
      <c r="AZ366" s="646"/>
      <c r="BA366" s="646"/>
      <c r="BB366" s="646"/>
      <c r="BC366" s="646"/>
      <c r="BD366" s="646"/>
      <c r="BE366" s="646"/>
      <c r="BF366" s="646"/>
      <c r="BG366" s="646"/>
      <c r="BH366" s="646"/>
      <c r="BI366" s="646"/>
      <c r="BJ366" s="646"/>
      <c r="BK366" s="646"/>
      <c r="BL366" s="646"/>
      <c r="BM366" s="646"/>
      <c r="BN366" s="646"/>
      <c r="BO366" s="646"/>
      <c r="BP366" s="646"/>
      <c r="BQ366" s="646"/>
      <c r="BR366" s="645"/>
      <c r="BS366" s="645"/>
      <c r="BT366" s="645"/>
      <c r="BU366" s="645"/>
      <c r="BV366" s="646"/>
      <c r="BW366" s="647"/>
      <c r="BX366" s="647"/>
      <c r="BY366" s="647"/>
      <c r="BZ366" s="647"/>
      <c r="CA366" s="647"/>
      <c r="CB366" s="647"/>
      <c r="CC366" s="647"/>
      <c r="CD366" s="647"/>
      <c r="CE366" s="647"/>
      <c r="CF366" s="647"/>
      <c r="CG366" s="647"/>
      <c r="CH366" s="647"/>
      <c r="CI366" s="647"/>
      <c r="FK366" s="714"/>
      <c r="FL366" s="714"/>
    </row>
    <row r="367" spans="4:168" s="640" customFormat="1" hidden="1">
      <c r="D367" s="641"/>
      <c r="G367" s="642"/>
      <c r="J367" s="642"/>
      <c r="K367" s="643"/>
      <c r="M367" s="644"/>
      <c r="N367" s="642"/>
      <c r="Q367" s="642"/>
      <c r="T367" s="642"/>
      <c r="U367" s="643"/>
      <c r="X367" s="645"/>
      <c r="Y367" s="646"/>
      <c r="Z367" s="673"/>
      <c r="AA367" s="646"/>
      <c r="AB367" s="646"/>
      <c r="AC367" s="646"/>
      <c r="AD367" s="646"/>
      <c r="AE367" s="646"/>
      <c r="AF367" s="646"/>
      <c r="AG367" s="646"/>
      <c r="AH367" s="646"/>
      <c r="AI367" s="646"/>
      <c r="AJ367" s="646"/>
      <c r="AK367" s="646"/>
      <c r="AL367" s="646"/>
      <c r="AM367" s="646"/>
      <c r="AN367" s="646"/>
      <c r="AO367" s="646"/>
      <c r="AP367" s="646"/>
      <c r="AQ367" s="646"/>
      <c r="AR367" s="646"/>
      <c r="AS367" s="646"/>
      <c r="AT367" s="646"/>
      <c r="AU367" s="646"/>
      <c r="AV367" s="646"/>
      <c r="AW367" s="646"/>
      <c r="AX367" s="646"/>
      <c r="AY367" s="646"/>
      <c r="AZ367" s="646"/>
      <c r="BA367" s="646"/>
      <c r="BB367" s="646"/>
      <c r="BC367" s="646"/>
      <c r="BD367" s="646"/>
      <c r="BE367" s="646"/>
      <c r="BF367" s="646"/>
      <c r="BG367" s="646"/>
      <c r="BH367" s="646"/>
      <c r="BI367" s="646"/>
      <c r="BJ367" s="646"/>
      <c r="BK367" s="646"/>
      <c r="BL367" s="646"/>
      <c r="BM367" s="646"/>
      <c r="BN367" s="646"/>
      <c r="BO367" s="646"/>
      <c r="BP367" s="646"/>
      <c r="BQ367" s="646"/>
      <c r="BR367" s="645"/>
      <c r="BS367" s="645"/>
      <c r="BT367" s="645"/>
      <c r="BU367" s="645"/>
      <c r="BV367" s="646"/>
      <c r="BW367" s="647"/>
      <c r="BX367" s="647"/>
      <c r="BY367" s="647"/>
      <c r="BZ367" s="647"/>
      <c r="CA367" s="647"/>
      <c r="CB367" s="647"/>
      <c r="CC367" s="647"/>
      <c r="CD367" s="647"/>
      <c r="CE367" s="647"/>
      <c r="CF367" s="647"/>
      <c r="CG367" s="647"/>
      <c r="CH367" s="647"/>
      <c r="CI367" s="647"/>
      <c r="FK367" s="714"/>
      <c r="FL367" s="714"/>
    </row>
    <row r="368" spans="4:168" s="640" customFormat="1" hidden="1">
      <c r="D368" s="641"/>
      <c r="G368" s="642"/>
      <c r="J368" s="642"/>
      <c r="K368" s="643"/>
      <c r="M368" s="644"/>
      <c r="N368" s="642"/>
      <c r="Q368" s="642"/>
      <c r="T368" s="642"/>
      <c r="U368" s="643"/>
      <c r="X368" s="645"/>
      <c r="Y368" s="646"/>
      <c r="Z368" s="673"/>
      <c r="AA368" s="646"/>
      <c r="AB368" s="646"/>
      <c r="AC368" s="646"/>
      <c r="AD368" s="646"/>
      <c r="AE368" s="646"/>
      <c r="AF368" s="646"/>
      <c r="AG368" s="646"/>
      <c r="AH368" s="646"/>
      <c r="AI368" s="646"/>
      <c r="AJ368" s="646"/>
      <c r="AK368" s="646"/>
      <c r="AL368" s="646"/>
      <c r="AM368" s="646"/>
      <c r="AN368" s="646"/>
      <c r="AO368" s="646"/>
      <c r="AP368" s="646"/>
      <c r="AQ368" s="646"/>
      <c r="AR368" s="646"/>
      <c r="AS368" s="646"/>
      <c r="AT368" s="646"/>
      <c r="AU368" s="646"/>
      <c r="AV368" s="646"/>
      <c r="AW368" s="646"/>
      <c r="AX368" s="646"/>
      <c r="AY368" s="646"/>
      <c r="AZ368" s="646"/>
      <c r="BA368" s="646"/>
      <c r="BB368" s="646"/>
      <c r="BC368" s="646"/>
      <c r="BD368" s="646"/>
      <c r="BE368" s="646"/>
      <c r="BF368" s="646"/>
      <c r="BG368" s="646"/>
      <c r="BH368" s="646"/>
      <c r="BI368" s="646"/>
      <c r="BJ368" s="646"/>
      <c r="BK368" s="646"/>
      <c r="BL368" s="646"/>
      <c r="BM368" s="646"/>
      <c r="BN368" s="646"/>
      <c r="BO368" s="646"/>
      <c r="BP368" s="646"/>
      <c r="BQ368" s="646"/>
      <c r="BR368" s="645"/>
      <c r="BS368" s="645"/>
      <c r="BT368" s="645"/>
      <c r="BU368" s="645"/>
      <c r="BV368" s="646"/>
      <c r="BW368" s="647"/>
      <c r="BX368" s="647"/>
      <c r="BY368" s="647"/>
      <c r="BZ368" s="647"/>
      <c r="CA368" s="647"/>
      <c r="CB368" s="647"/>
      <c r="CC368" s="647"/>
      <c r="CD368" s="647"/>
      <c r="CE368" s="647"/>
      <c r="CF368" s="647"/>
      <c r="CG368" s="647"/>
      <c r="CH368" s="647"/>
      <c r="CI368" s="647"/>
      <c r="FK368" s="714"/>
      <c r="FL368" s="714"/>
    </row>
    <row r="369" spans="4:168" s="640" customFormat="1" hidden="1">
      <c r="D369" s="641"/>
      <c r="G369" s="642"/>
      <c r="J369" s="642"/>
      <c r="K369" s="643"/>
      <c r="M369" s="644"/>
      <c r="N369" s="642"/>
      <c r="Q369" s="642"/>
      <c r="T369" s="642"/>
      <c r="U369" s="643"/>
      <c r="X369" s="645"/>
      <c r="Y369" s="646"/>
      <c r="Z369" s="673"/>
      <c r="AA369" s="646"/>
      <c r="AB369" s="646"/>
      <c r="AC369" s="646"/>
      <c r="AD369" s="646"/>
      <c r="AE369" s="646"/>
      <c r="AF369" s="646"/>
      <c r="AG369" s="646"/>
      <c r="AH369" s="646"/>
      <c r="AI369" s="646"/>
      <c r="AJ369" s="646"/>
      <c r="AK369" s="646"/>
      <c r="AL369" s="646"/>
      <c r="AM369" s="646"/>
      <c r="AN369" s="646"/>
      <c r="AO369" s="646"/>
      <c r="AP369" s="646"/>
      <c r="AQ369" s="646"/>
      <c r="AR369" s="646"/>
      <c r="AS369" s="646"/>
      <c r="AT369" s="646"/>
      <c r="AU369" s="646"/>
      <c r="AV369" s="646"/>
      <c r="AW369" s="646"/>
      <c r="AX369" s="646"/>
      <c r="AY369" s="646"/>
      <c r="AZ369" s="646"/>
      <c r="BA369" s="646"/>
      <c r="BB369" s="646"/>
      <c r="BC369" s="646"/>
      <c r="BD369" s="646"/>
      <c r="BE369" s="646"/>
      <c r="BF369" s="646"/>
      <c r="BG369" s="646"/>
      <c r="BH369" s="646"/>
      <c r="BI369" s="646"/>
      <c r="BJ369" s="646"/>
      <c r="BK369" s="646"/>
      <c r="BL369" s="646"/>
      <c r="BM369" s="646"/>
      <c r="BN369" s="646"/>
      <c r="BO369" s="646"/>
      <c r="BP369" s="646"/>
      <c r="BQ369" s="646"/>
      <c r="BR369" s="645"/>
      <c r="BS369" s="645"/>
      <c r="BT369" s="645"/>
      <c r="BU369" s="645"/>
      <c r="BV369" s="646"/>
      <c r="BW369" s="647"/>
      <c r="BX369" s="647"/>
      <c r="BY369" s="647"/>
      <c r="BZ369" s="647"/>
      <c r="CA369" s="647"/>
      <c r="CB369" s="647"/>
      <c r="CC369" s="647"/>
      <c r="CD369" s="647"/>
      <c r="CE369" s="647"/>
      <c r="CF369" s="647"/>
      <c r="CG369" s="647"/>
      <c r="CH369" s="647"/>
      <c r="CI369" s="647"/>
      <c r="FK369" s="714"/>
      <c r="FL369" s="714"/>
    </row>
    <row r="370" spans="4:168" s="640" customFormat="1" hidden="1">
      <c r="D370" s="641"/>
      <c r="G370" s="642"/>
      <c r="J370" s="642"/>
      <c r="K370" s="643"/>
      <c r="M370" s="644"/>
      <c r="N370" s="642"/>
      <c r="Q370" s="642"/>
      <c r="T370" s="642"/>
      <c r="U370" s="643"/>
      <c r="X370" s="645"/>
      <c r="Y370" s="646"/>
      <c r="Z370" s="673"/>
      <c r="AA370" s="646"/>
      <c r="AB370" s="646"/>
      <c r="AC370" s="646"/>
      <c r="AD370" s="646"/>
      <c r="AE370" s="646"/>
      <c r="AF370" s="646"/>
      <c r="AG370" s="646"/>
      <c r="AH370" s="646"/>
      <c r="AI370" s="646"/>
      <c r="AJ370" s="646"/>
      <c r="AK370" s="646"/>
      <c r="AL370" s="646"/>
      <c r="AM370" s="646"/>
      <c r="AN370" s="646"/>
      <c r="AO370" s="646"/>
      <c r="AP370" s="646"/>
      <c r="AQ370" s="646"/>
      <c r="AR370" s="646"/>
      <c r="AS370" s="646"/>
      <c r="AT370" s="646"/>
      <c r="AU370" s="646"/>
      <c r="AV370" s="646"/>
      <c r="AW370" s="646"/>
      <c r="AX370" s="646"/>
      <c r="AY370" s="646"/>
      <c r="AZ370" s="646"/>
      <c r="BA370" s="646"/>
      <c r="BB370" s="646"/>
      <c r="BC370" s="646"/>
      <c r="BD370" s="646"/>
      <c r="BE370" s="646"/>
      <c r="BF370" s="646"/>
      <c r="BG370" s="646"/>
      <c r="BH370" s="646"/>
      <c r="BI370" s="646"/>
      <c r="BJ370" s="646"/>
      <c r="BK370" s="646"/>
      <c r="BL370" s="646"/>
      <c r="BM370" s="646"/>
      <c r="BN370" s="646"/>
      <c r="BO370" s="646"/>
      <c r="BP370" s="646"/>
      <c r="BQ370" s="646"/>
      <c r="BR370" s="645"/>
      <c r="BS370" s="645"/>
      <c r="BT370" s="645"/>
      <c r="BU370" s="645"/>
      <c r="BV370" s="646"/>
      <c r="BW370" s="647"/>
      <c r="BX370" s="647"/>
      <c r="BY370" s="647"/>
      <c r="BZ370" s="647"/>
      <c r="CA370" s="647"/>
      <c r="CB370" s="647"/>
      <c r="CC370" s="647"/>
      <c r="CD370" s="647"/>
      <c r="CE370" s="647"/>
      <c r="CF370" s="647"/>
      <c r="CG370" s="647"/>
      <c r="CH370" s="647"/>
      <c r="CI370" s="647"/>
      <c r="FK370" s="714"/>
      <c r="FL370" s="714"/>
    </row>
    <row r="371" spans="4:168" s="640" customFormat="1" hidden="1">
      <c r="D371" s="641"/>
      <c r="G371" s="642"/>
      <c r="J371" s="642"/>
      <c r="K371" s="643"/>
      <c r="M371" s="644"/>
      <c r="N371" s="642"/>
      <c r="Q371" s="642"/>
      <c r="T371" s="642"/>
      <c r="U371" s="643"/>
      <c r="X371" s="645"/>
      <c r="Y371" s="646"/>
      <c r="Z371" s="673"/>
      <c r="AA371" s="646"/>
      <c r="AB371" s="646"/>
      <c r="AC371" s="646"/>
      <c r="AD371" s="646"/>
      <c r="AE371" s="646"/>
      <c r="AF371" s="646"/>
      <c r="AG371" s="646"/>
      <c r="AH371" s="646"/>
      <c r="AI371" s="646"/>
      <c r="AJ371" s="646"/>
      <c r="AK371" s="646"/>
      <c r="AL371" s="646"/>
      <c r="AM371" s="646"/>
      <c r="AN371" s="646"/>
      <c r="AO371" s="646"/>
      <c r="AP371" s="646"/>
      <c r="AQ371" s="646"/>
      <c r="AR371" s="646"/>
      <c r="AS371" s="646"/>
      <c r="AT371" s="646"/>
      <c r="AU371" s="646"/>
      <c r="AV371" s="646"/>
      <c r="AW371" s="646"/>
      <c r="AX371" s="646"/>
      <c r="AY371" s="646"/>
      <c r="AZ371" s="646"/>
      <c r="BA371" s="646"/>
      <c r="BB371" s="646"/>
      <c r="BC371" s="646"/>
      <c r="BD371" s="646"/>
      <c r="BE371" s="646"/>
      <c r="BF371" s="646"/>
      <c r="BG371" s="646"/>
      <c r="BH371" s="646"/>
      <c r="BI371" s="646"/>
      <c r="BJ371" s="646"/>
      <c r="BK371" s="646"/>
      <c r="BL371" s="646"/>
      <c r="BM371" s="646"/>
      <c r="BN371" s="646"/>
      <c r="BO371" s="646"/>
      <c r="BP371" s="646"/>
      <c r="BQ371" s="646"/>
      <c r="BR371" s="645"/>
      <c r="BS371" s="645"/>
      <c r="BT371" s="645"/>
      <c r="BU371" s="645"/>
      <c r="BV371" s="646"/>
      <c r="BW371" s="647"/>
      <c r="BX371" s="647"/>
      <c r="BY371" s="647"/>
      <c r="BZ371" s="647"/>
      <c r="CA371" s="647"/>
      <c r="CB371" s="647"/>
      <c r="CC371" s="647"/>
      <c r="CD371" s="647"/>
      <c r="CE371" s="647"/>
      <c r="CF371" s="647"/>
      <c r="CG371" s="647"/>
      <c r="CH371" s="647"/>
      <c r="CI371" s="647"/>
      <c r="FK371" s="714"/>
      <c r="FL371" s="714"/>
    </row>
    <row r="372" spans="4:168" s="640" customFormat="1" hidden="1">
      <c r="D372" s="641"/>
      <c r="G372" s="642"/>
      <c r="J372" s="642"/>
      <c r="K372" s="643"/>
      <c r="M372" s="644"/>
      <c r="N372" s="642"/>
      <c r="Q372" s="642"/>
      <c r="T372" s="642"/>
      <c r="U372" s="643"/>
      <c r="X372" s="645"/>
      <c r="Y372" s="646"/>
      <c r="Z372" s="673"/>
      <c r="AA372" s="646"/>
      <c r="AB372" s="646"/>
      <c r="AC372" s="646"/>
      <c r="AD372" s="646"/>
      <c r="AE372" s="646"/>
      <c r="AF372" s="646"/>
      <c r="AG372" s="646"/>
      <c r="AH372" s="646"/>
      <c r="AI372" s="646"/>
      <c r="AJ372" s="646"/>
      <c r="AK372" s="646"/>
      <c r="AL372" s="646"/>
      <c r="AM372" s="646"/>
      <c r="AN372" s="646"/>
      <c r="AO372" s="646"/>
      <c r="AP372" s="646"/>
      <c r="AQ372" s="646"/>
      <c r="AR372" s="646"/>
      <c r="AS372" s="646"/>
      <c r="AT372" s="646"/>
      <c r="AU372" s="646"/>
      <c r="AV372" s="646"/>
      <c r="AW372" s="646"/>
      <c r="AX372" s="646"/>
      <c r="AY372" s="646"/>
      <c r="AZ372" s="646"/>
      <c r="BA372" s="646"/>
      <c r="BB372" s="646"/>
      <c r="BC372" s="646"/>
      <c r="BD372" s="646"/>
      <c r="BE372" s="646"/>
      <c r="BF372" s="646"/>
      <c r="BG372" s="646"/>
      <c r="BH372" s="646"/>
      <c r="BI372" s="646"/>
      <c r="BJ372" s="646"/>
      <c r="BK372" s="646"/>
      <c r="BL372" s="646"/>
      <c r="BM372" s="646"/>
      <c r="BN372" s="646"/>
      <c r="BO372" s="646"/>
      <c r="BP372" s="646"/>
      <c r="BQ372" s="646"/>
      <c r="BR372" s="645"/>
      <c r="BS372" s="645"/>
      <c r="BT372" s="645"/>
      <c r="BU372" s="645"/>
      <c r="BV372" s="646"/>
      <c r="BW372" s="647"/>
      <c r="BX372" s="647"/>
      <c r="BY372" s="647"/>
      <c r="BZ372" s="647"/>
      <c r="CA372" s="647"/>
      <c r="CB372" s="647"/>
      <c r="CC372" s="647"/>
      <c r="CD372" s="647"/>
      <c r="CE372" s="647"/>
      <c r="CF372" s="647"/>
      <c r="CG372" s="647"/>
      <c r="CH372" s="647"/>
      <c r="CI372" s="647"/>
      <c r="FK372" s="714"/>
      <c r="FL372" s="714"/>
    </row>
    <row r="373" spans="4:168" s="640" customFormat="1" hidden="1">
      <c r="D373" s="641"/>
      <c r="G373" s="642"/>
      <c r="J373" s="642"/>
      <c r="K373" s="643"/>
      <c r="M373" s="644"/>
      <c r="N373" s="642"/>
      <c r="Q373" s="642"/>
      <c r="T373" s="642"/>
      <c r="U373" s="643"/>
      <c r="X373" s="645"/>
      <c r="Y373" s="646"/>
      <c r="Z373" s="673"/>
      <c r="AA373" s="646"/>
      <c r="AB373" s="646"/>
      <c r="AC373" s="646"/>
      <c r="AD373" s="646"/>
      <c r="AE373" s="646"/>
      <c r="AF373" s="646"/>
      <c r="AG373" s="646"/>
      <c r="AH373" s="646"/>
      <c r="AI373" s="646"/>
      <c r="AJ373" s="646"/>
      <c r="AK373" s="646"/>
      <c r="AL373" s="646"/>
      <c r="AM373" s="646"/>
      <c r="AN373" s="646"/>
      <c r="AO373" s="646"/>
      <c r="AP373" s="646"/>
      <c r="AQ373" s="646"/>
      <c r="AR373" s="646"/>
      <c r="AS373" s="646"/>
      <c r="AT373" s="646"/>
      <c r="AU373" s="646"/>
      <c r="AV373" s="646"/>
      <c r="AW373" s="646"/>
      <c r="AX373" s="646"/>
      <c r="AY373" s="646"/>
      <c r="AZ373" s="646"/>
      <c r="BA373" s="646"/>
      <c r="BB373" s="646"/>
      <c r="BC373" s="646"/>
      <c r="BD373" s="646"/>
      <c r="BE373" s="646"/>
      <c r="BF373" s="646"/>
      <c r="BG373" s="646"/>
      <c r="BH373" s="646"/>
      <c r="BI373" s="646"/>
      <c r="BJ373" s="646"/>
      <c r="BK373" s="646"/>
      <c r="BL373" s="646"/>
      <c r="BM373" s="646"/>
      <c r="BN373" s="646"/>
      <c r="BO373" s="646"/>
      <c r="BP373" s="646"/>
      <c r="BQ373" s="646"/>
      <c r="BR373" s="645"/>
      <c r="BS373" s="645"/>
      <c r="BT373" s="645"/>
      <c r="BU373" s="645"/>
      <c r="BV373" s="646"/>
      <c r="BW373" s="647"/>
      <c r="BX373" s="647"/>
      <c r="BY373" s="647"/>
      <c r="BZ373" s="647"/>
      <c r="CA373" s="647"/>
      <c r="CB373" s="647"/>
      <c r="CC373" s="647"/>
      <c r="CD373" s="647"/>
      <c r="CE373" s="647"/>
      <c r="CF373" s="647"/>
      <c r="CG373" s="647"/>
      <c r="CH373" s="647"/>
      <c r="CI373" s="647"/>
      <c r="FK373" s="714"/>
      <c r="FL373" s="714"/>
    </row>
    <row r="374" spans="4:168" s="640" customFormat="1" hidden="1">
      <c r="D374" s="641"/>
      <c r="G374" s="642"/>
      <c r="J374" s="642"/>
      <c r="K374" s="643"/>
      <c r="M374" s="644"/>
      <c r="N374" s="642"/>
      <c r="Q374" s="642"/>
      <c r="T374" s="642"/>
      <c r="U374" s="643"/>
      <c r="X374" s="645"/>
      <c r="Y374" s="646"/>
      <c r="Z374" s="673"/>
      <c r="AA374" s="646"/>
      <c r="AB374" s="646"/>
      <c r="AC374" s="646"/>
      <c r="AD374" s="646"/>
      <c r="AE374" s="646"/>
      <c r="AF374" s="646"/>
      <c r="AG374" s="646"/>
      <c r="AH374" s="646"/>
      <c r="AI374" s="646"/>
      <c r="AJ374" s="646"/>
      <c r="AK374" s="646"/>
      <c r="AL374" s="646"/>
      <c r="AM374" s="646"/>
      <c r="AN374" s="646"/>
      <c r="AO374" s="646"/>
      <c r="AP374" s="646"/>
      <c r="AQ374" s="646"/>
      <c r="AR374" s="646"/>
      <c r="AS374" s="646"/>
      <c r="AT374" s="646"/>
      <c r="AU374" s="646"/>
      <c r="AV374" s="646"/>
      <c r="AW374" s="646"/>
      <c r="AX374" s="646"/>
      <c r="AY374" s="646"/>
      <c r="AZ374" s="646"/>
      <c r="BA374" s="646"/>
      <c r="BB374" s="646"/>
      <c r="BC374" s="646"/>
      <c r="BD374" s="646"/>
      <c r="BE374" s="646"/>
      <c r="BF374" s="646"/>
      <c r="BG374" s="646"/>
      <c r="BH374" s="646"/>
      <c r="BI374" s="646"/>
      <c r="BJ374" s="646"/>
      <c r="BK374" s="646"/>
      <c r="BL374" s="646"/>
      <c r="BM374" s="646"/>
      <c r="BN374" s="646"/>
      <c r="BO374" s="646"/>
      <c r="BP374" s="646"/>
      <c r="BQ374" s="646"/>
      <c r="BR374" s="645"/>
      <c r="BS374" s="645"/>
      <c r="BT374" s="645"/>
      <c r="BU374" s="645"/>
      <c r="BV374" s="646"/>
      <c r="BW374" s="647"/>
      <c r="BX374" s="647"/>
      <c r="BY374" s="647"/>
      <c r="BZ374" s="647"/>
      <c r="CA374" s="647"/>
      <c r="CB374" s="647"/>
      <c r="CC374" s="647"/>
      <c r="CD374" s="647"/>
      <c r="CE374" s="647"/>
      <c r="CF374" s="647"/>
      <c r="CG374" s="647"/>
      <c r="CH374" s="647"/>
      <c r="CI374" s="647"/>
      <c r="FK374" s="714"/>
      <c r="FL374" s="714"/>
    </row>
    <row r="375" spans="4:168" s="640" customFormat="1" hidden="1">
      <c r="D375" s="641"/>
      <c r="G375" s="642"/>
      <c r="J375" s="642"/>
      <c r="K375" s="643"/>
      <c r="M375" s="644"/>
      <c r="N375" s="642"/>
      <c r="Q375" s="642"/>
      <c r="T375" s="642"/>
      <c r="U375" s="643"/>
      <c r="X375" s="645"/>
      <c r="Y375" s="646"/>
      <c r="Z375" s="673"/>
      <c r="AA375" s="646"/>
      <c r="AB375" s="646"/>
      <c r="AC375" s="646"/>
      <c r="AD375" s="646"/>
      <c r="AE375" s="646"/>
      <c r="AF375" s="646"/>
      <c r="AG375" s="646"/>
      <c r="AH375" s="646"/>
      <c r="AI375" s="646"/>
      <c r="AJ375" s="646"/>
      <c r="AK375" s="646"/>
      <c r="AL375" s="646"/>
      <c r="AM375" s="646"/>
      <c r="AN375" s="646"/>
      <c r="AO375" s="646"/>
      <c r="AP375" s="646"/>
      <c r="AQ375" s="646"/>
      <c r="AR375" s="646"/>
      <c r="AS375" s="646"/>
      <c r="AT375" s="646"/>
      <c r="AU375" s="646"/>
      <c r="AV375" s="646"/>
      <c r="AW375" s="646"/>
      <c r="AX375" s="646"/>
      <c r="AY375" s="646"/>
      <c r="AZ375" s="646"/>
      <c r="BA375" s="646"/>
      <c r="BB375" s="646"/>
      <c r="BC375" s="646"/>
      <c r="BD375" s="646"/>
      <c r="BE375" s="646"/>
      <c r="BF375" s="646"/>
      <c r="BG375" s="646"/>
      <c r="BH375" s="646"/>
      <c r="BI375" s="646"/>
      <c r="BJ375" s="646"/>
      <c r="BK375" s="646"/>
      <c r="BL375" s="646"/>
      <c r="BM375" s="646"/>
      <c r="BN375" s="646"/>
      <c r="BO375" s="646"/>
      <c r="BP375" s="646"/>
      <c r="BQ375" s="646"/>
      <c r="BR375" s="645"/>
      <c r="BS375" s="645"/>
      <c r="BT375" s="645"/>
      <c r="BU375" s="645"/>
      <c r="BV375" s="646"/>
      <c r="BW375" s="647"/>
      <c r="BX375" s="647"/>
      <c r="BY375" s="647"/>
      <c r="BZ375" s="647"/>
      <c r="CA375" s="647"/>
      <c r="CB375" s="647"/>
      <c r="CC375" s="647"/>
      <c r="CD375" s="647"/>
      <c r="CE375" s="647"/>
      <c r="CF375" s="647"/>
      <c r="CG375" s="647"/>
      <c r="CH375" s="647"/>
      <c r="CI375" s="647"/>
      <c r="FK375" s="714"/>
      <c r="FL375" s="714"/>
    </row>
    <row r="376" spans="4:168" s="640" customFormat="1" hidden="1">
      <c r="D376" s="641"/>
      <c r="G376" s="642"/>
      <c r="J376" s="642"/>
      <c r="K376" s="643"/>
      <c r="M376" s="644"/>
      <c r="N376" s="642"/>
      <c r="Q376" s="642"/>
      <c r="T376" s="642"/>
      <c r="U376" s="643"/>
      <c r="X376" s="645"/>
      <c r="Y376" s="646"/>
      <c r="Z376" s="673"/>
      <c r="AA376" s="646"/>
      <c r="AB376" s="646"/>
      <c r="AC376" s="646"/>
      <c r="AD376" s="646"/>
      <c r="AE376" s="646"/>
      <c r="AF376" s="646"/>
      <c r="AG376" s="646"/>
      <c r="AH376" s="646"/>
      <c r="AI376" s="646"/>
      <c r="AJ376" s="646"/>
      <c r="AK376" s="646"/>
      <c r="AL376" s="646"/>
      <c r="AM376" s="646"/>
      <c r="AN376" s="646"/>
      <c r="AO376" s="646"/>
      <c r="AP376" s="646"/>
      <c r="AQ376" s="646"/>
      <c r="AR376" s="646"/>
      <c r="AS376" s="646"/>
      <c r="AT376" s="646"/>
      <c r="AU376" s="646"/>
      <c r="AV376" s="646"/>
      <c r="AW376" s="646"/>
      <c r="AX376" s="646"/>
      <c r="AY376" s="646"/>
      <c r="AZ376" s="646"/>
      <c r="BA376" s="646"/>
      <c r="BB376" s="646"/>
      <c r="BC376" s="646"/>
      <c r="BD376" s="646"/>
      <c r="BE376" s="646"/>
      <c r="BF376" s="646"/>
      <c r="BG376" s="646"/>
      <c r="BH376" s="646"/>
      <c r="BI376" s="646"/>
      <c r="BJ376" s="646"/>
      <c r="BK376" s="646"/>
      <c r="BL376" s="646"/>
      <c r="BM376" s="646"/>
      <c r="BN376" s="646"/>
      <c r="BO376" s="646"/>
      <c r="BP376" s="646"/>
      <c r="BQ376" s="646"/>
      <c r="BR376" s="645"/>
      <c r="BS376" s="645"/>
      <c r="BT376" s="645"/>
      <c r="BU376" s="645"/>
      <c r="BV376" s="646"/>
      <c r="BW376" s="647"/>
      <c r="BX376" s="647"/>
      <c r="BY376" s="647"/>
      <c r="BZ376" s="647"/>
      <c r="CA376" s="647"/>
      <c r="CB376" s="647"/>
      <c r="CC376" s="647"/>
      <c r="CD376" s="647"/>
      <c r="CE376" s="647"/>
      <c r="CF376" s="647"/>
      <c r="CG376" s="647"/>
      <c r="CH376" s="647"/>
      <c r="CI376" s="647"/>
      <c r="FK376" s="714"/>
      <c r="FL376" s="714"/>
    </row>
    <row r="377" spans="4:168" s="640" customFormat="1" hidden="1">
      <c r="D377" s="641"/>
      <c r="G377" s="642"/>
      <c r="J377" s="642"/>
      <c r="K377" s="643"/>
      <c r="M377" s="644"/>
      <c r="N377" s="642"/>
      <c r="Q377" s="642"/>
      <c r="T377" s="642"/>
      <c r="U377" s="643"/>
      <c r="X377" s="645"/>
      <c r="Y377" s="646"/>
      <c r="Z377" s="673"/>
      <c r="AA377" s="646"/>
      <c r="AB377" s="646"/>
      <c r="AC377" s="646"/>
      <c r="AD377" s="646"/>
      <c r="AE377" s="646"/>
      <c r="AF377" s="646"/>
      <c r="AG377" s="646"/>
      <c r="AH377" s="646"/>
      <c r="AI377" s="646"/>
      <c r="AJ377" s="646"/>
      <c r="AK377" s="646"/>
      <c r="AL377" s="646"/>
      <c r="AM377" s="646"/>
      <c r="AN377" s="646"/>
      <c r="AO377" s="646"/>
      <c r="AP377" s="646"/>
      <c r="AQ377" s="646"/>
      <c r="AR377" s="646"/>
      <c r="AS377" s="646"/>
      <c r="AT377" s="646"/>
      <c r="AU377" s="646"/>
      <c r="AV377" s="646"/>
      <c r="AW377" s="646"/>
      <c r="AX377" s="646"/>
      <c r="AY377" s="646"/>
      <c r="AZ377" s="646"/>
      <c r="BA377" s="646"/>
      <c r="BB377" s="646"/>
      <c r="BC377" s="646"/>
      <c r="BD377" s="646"/>
      <c r="BE377" s="646"/>
      <c r="BF377" s="646"/>
      <c r="BG377" s="646"/>
      <c r="BH377" s="646"/>
      <c r="BI377" s="646"/>
      <c r="BJ377" s="646"/>
      <c r="BK377" s="646"/>
      <c r="BL377" s="646"/>
      <c r="BM377" s="646"/>
      <c r="BN377" s="646"/>
      <c r="BO377" s="646"/>
      <c r="BP377" s="646"/>
      <c r="BQ377" s="646"/>
      <c r="BR377" s="645"/>
      <c r="BS377" s="645"/>
      <c r="BT377" s="645"/>
      <c r="BU377" s="645"/>
      <c r="BV377" s="646"/>
      <c r="BW377" s="647"/>
      <c r="BX377" s="647"/>
      <c r="BY377" s="647"/>
      <c r="BZ377" s="647"/>
      <c r="CA377" s="647"/>
      <c r="CB377" s="647"/>
      <c r="CC377" s="647"/>
      <c r="CD377" s="647"/>
      <c r="CE377" s="647"/>
      <c r="CF377" s="647"/>
      <c r="CG377" s="647"/>
      <c r="CH377" s="647"/>
      <c r="CI377" s="647"/>
      <c r="FK377" s="714"/>
      <c r="FL377" s="714"/>
    </row>
    <row r="378" spans="4:168" s="640" customFormat="1" hidden="1">
      <c r="D378" s="641"/>
      <c r="G378" s="642"/>
      <c r="J378" s="642"/>
      <c r="K378" s="643"/>
      <c r="M378" s="644"/>
      <c r="N378" s="642"/>
      <c r="Q378" s="642"/>
      <c r="T378" s="642"/>
      <c r="U378" s="643"/>
      <c r="X378" s="645"/>
      <c r="Y378" s="646"/>
      <c r="Z378" s="673"/>
      <c r="AA378" s="646"/>
      <c r="AB378" s="646"/>
      <c r="AC378" s="646"/>
      <c r="AD378" s="646"/>
      <c r="AE378" s="646"/>
      <c r="AF378" s="646"/>
      <c r="AG378" s="646"/>
      <c r="AH378" s="646"/>
      <c r="AI378" s="646"/>
      <c r="AJ378" s="646"/>
      <c r="AK378" s="646"/>
      <c r="AL378" s="646"/>
      <c r="AM378" s="646"/>
      <c r="AN378" s="646"/>
      <c r="AO378" s="646"/>
      <c r="AP378" s="646"/>
      <c r="AQ378" s="646"/>
      <c r="AR378" s="646"/>
      <c r="AS378" s="646"/>
      <c r="AT378" s="646"/>
      <c r="AU378" s="646"/>
      <c r="AV378" s="646"/>
      <c r="AW378" s="646"/>
      <c r="AX378" s="646"/>
      <c r="AY378" s="646"/>
      <c r="AZ378" s="646"/>
      <c r="BA378" s="646"/>
      <c r="BB378" s="646"/>
      <c r="BC378" s="646"/>
      <c r="BD378" s="646"/>
      <c r="BE378" s="646"/>
      <c r="BF378" s="646"/>
      <c r="BG378" s="646"/>
      <c r="BH378" s="646"/>
      <c r="BI378" s="646"/>
      <c r="BJ378" s="646"/>
      <c r="BK378" s="646"/>
      <c r="BL378" s="646"/>
      <c r="BM378" s="646"/>
      <c r="BN378" s="646"/>
      <c r="BO378" s="646"/>
      <c r="BP378" s="646"/>
      <c r="BQ378" s="646"/>
      <c r="BR378" s="645"/>
      <c r="BS378" s="645"/>
      <c r="BT378" s="645"/>
      <c r="BU378" s="645"/>
      <c r="BV378" s="646"/>
      <c r="BW378" s="647"/>
      <c r="BX378" s="647"/>
      <c r="BY378" s="647"/>
      <c r="BZ378" s="647"/>
      <c r="CA378" s="647"/>
      <c r="CB378" s="647"/>
      <c r="CC378" s="647"/>
      <c r="CD378" s="647"/>
      <c r="CE378" s="647"/>
      <c r="CF378" s="647"/>
      <c r="CG378" s="647"/>
      <c r="CH378" s="647"/>
      <c r="CI378" s="647"/>
      <c r="FK378" s="714"/>
      <c r="FL378" s="714"/>
    </row>
    <row r="379" spans="4:168" s="640" customFormat="1" hidden="1">
      <c r="D379" s="641"/>
      <c r="G379" s="642"/>
      <c r="J379" s="642"/>
      <c r="K379" s="643"/>
      <c r="M379" s="644"/>
      <c r="N379" s="642"/>
      <c r="Q379" s="642"/>
      <c r="T379" s="642"/>
      <c r="U379" s="643"/>
      <c r="X379" s="645"/>
      <c r="Y379" s="646"/>
      <c r="Z379" s="673"/>
      <c r="AA379" s="646"/>
      <c r="AB379" s="646"/>
      <c r="AC379" s="646"/>
      <c r="AD379" s="646"/>
      <c r="AE379" s="646"/>
      <c r="AF379" s="646"/>
      <c r="AG379" s="646"/>
      <c r="AH379" s="646"/>
      <c r="AI379" s="646"/>
      <c r="AJ379" s="646"/>
      <c r="AK379" s="646"/>
      <c r="AL379" s="646"/>
      <c r="AM379" s="646"/>
      <c r="AN379" s="646"/>
      <c r="AO379" s="646"/>
      <c r="AP379" s="646"/>
      <c r="AQ379" s="646"/>
      <c r="AR379" s="646"/>
      <c r="AS379" s="646"/>
      <c r="AT379" s="646"/>
      <c r="AU379" s="646"/>
      <c r="AV379" s="646"/>
      <c r="AW379" s="646"/>
      <c r="AX379" s="646"/>
      <c r="AY379" s="646"/>
      <c r="AZ379" s="646"/>
      <c r="BA379" s="646"/>
      <c r="BB379" s="646"/>
      <c r="BC379" s="646"/>
      <c r="BD379" s="646"/>
      <c r="BE379" s="646"/>
      <c r="BF379" s="646"/>
      <c r="BG379" s="646"/>
      <c r="BH379" s="646"/>
      <c r="BI379" s="646"/>
      <c r="BJ379" s="646"/>
      <c r="BK379" s="646"/>
      <c r="BL379" s="646"/>
      <c r="BM379" s="646"/>
      <c r="BN379" s="646"/>
      <c r="BO379" s="646"/>
      <c r="BP379" s="646"/>
      <c r="BQ379" s="646"/>
      <c r="BR379" s="645"/>
      <c r="BS379" s="645"/>
      <c r="BT379" s="645"/>
      <c r="BU379" s="645"/>
      <c r="BV379" s="646"/>
      <c r="BW379" s="647"/>
      <c r="BX379" s="647"/>
      <c r="BY379" s="647"/>
      <c r="BZ379" s="647"/>
      <c r="CA379" s="647"/>
      <c r="CB379" s="647"/>
      <c r="CC379" s="647"/>
      <c r="CD379" s="647"/>
      <c r="CE379" s="647"/>
      <c r="CF379" s="647"/>
      <c r="CG379" s="647"/>
      <c r="CH379" s="647"/>
      <c r="CI379" s="647"/>
      <c r="FK379" s="714"/>
      <c r="FL379" s="714"/>
    </row>
    <row r="380" spans="4:168" s="640" customFormat="1" hidden="1">
      <c r="D380" s="641"/>
      <c r="G380" s="642"/>
      <c r="J380" s="642"/>
      <c r="K380" s="643"/>
      <c r="M380" s="644"/>
      <c r="N380" s="642"/>
      <c r="Q380" s="642"/>
      <c r="T380" s="642"/>
      <c r="U380" s="643"/>
      <c r="X380" s="645"/>
      <c r="Y380" s="646"/>
      <c r="Z380" s="673"/>
      <c r="AA380" s="646"/>
      <c r="AB380" s="646"/>
      <c r="AC380" s="646"/>
      <c r="AD380" s="646"/>
      <c r="AE380" s="646"/>
      <c r="AF380" s="646"/>
      <c r="AG380" s="646"/>
      <c r="AH380" s="646"/>
      <c r="AI380" s="646"/>
      <c r="AJ380" s="646"/>
      <c r="AK380" s="646"/>
      <c r="AL380" s="646"/>
      <c r="AM380" s="646"/>
      <c r="AN380" s="646"/>
      <c r="AO380" s="646"/>
      <c r="AP380" s="646"/>
      <c r="AQ380" s="646"/>
      <c r="AR380" s="646"/>
      <c r="AS380" s="646"/>
      <c r="AT380" s="646"/>
      <c r="AU380" s="646"/>
      <c r="AV380" s="646"/>
      <c r="AW380" s="646"/>
      <c r="AX380" s="646"/>
      <c r="AY380" s="646"/>
      <c r="AZ380" s="646"/>
      <c r="BA380" s="646"/>
      <c r="BB380" s="646"/>
      <c r="BC380" s="646"/>
      <c r="BD380" s="646"/>
      <c r="BE380" s="646"/>
      <c r="BF380" s="646"/>
      <c r="BG380" s="646"/>
      <c r="BH380" s="646"/>
      <c r="BI380" s="646"/>
      <c r="BJ380" s="646"/>
      <c r="BK380" s="646"/>
      <c r="BL380" s="646"/>
      <c r="BM380" s="646"/>
      <c r="BN380" s="646"/>
      <c r="BO380" s="646"/>
      <c r="BP380" s="646"/>
      <c r="BQ380" s="646"/>
      <c r="BR380" s="645"/>
      <c r="BS380" s="645"/>
      <c r="BT380" s="645"/>
      <c r="BU380" s="645"/>
      <c r="BV380" s="646"/>
      <c r="BW380" s="647"/>
      <c r="BX380" s="647"/>
      <c r="BY380" s="647"/>
      <c r="BZ380" s="647"/>
      <c r="CA380" s="647"/>
      <c r="CB380" s="647"/>
      <c r="CC380" s="647"/>
      <c r="CD380" s="647"/>
      <c r="CE380" s="647"/>
      <c r="CF380" s="647"/>
      <c r="CG380" s="647"/>
      <c r="CH380" s="647"/>
      <c r="CI380" s="647"/>
      <c r="FK380" s="714"/>
      <c r="FL380" s="714"/>
    </row>
    <row r="381" spans="4:168" s="640" customFormat="1" hidden="1">
      <c r="D381" s="641"/>
      <c r="G381" s="642"/>
      <c r="J381" s="642"/>
      <c r="K381" s="643"/>
      <c r="M381" s="644"/>
      <c r="N381" s="642"/>
      <c r="Q381" s="642"/>
      <c r="T381" s="642"/>
      <c r="U381" s="643"/>
      <c r="X381" s="645"/>
      <c r="Y381" s="646"/>
      <c r="Z381" s="673"/>
      <c r="AA381" s="646"/>
      <c r="AB381" s="646"/>
      <c r="AC381" s="646"/>
      <c r="AD381" s="646"/>
      <c r="AE381" s="646"/>
      <c r="AF381" s="646"/>
      <c r="AG381" s="646"/>
      <c r="AH381" s="646"/>
      <c r="AI381" s="646"/>
      <c r="AJ381" s="646"/>
      <c r="AK381" s="646"/>
      <c r="AL381" s="646"/>
      <c r="AM381" s="646"/>
      <c r="AN381" s="646"/>
      <c r="AO381" s="646"/>
      <c r="AP381" s="646"/>
      <c r="AQ381" s="646"/>
      <c r="AR381" s="646"/>
      <c r="AS381" s="646"/>
      <c r="AT381" s="646"/>
      <c r="AU381" s="646"/>
      <c r="AV381" s="646"/>
      <c r="AW381" s="646"/>
      <c r="AX381" s="646"/>
      <c r="AY381" s="646"/>
      <c r="AZ381" s="646"/>
      <c r="BA381" s="646"/>
      <c r="BB381" s="646"/>
      <c r="BC381" s="646"/>
      <c r="BD381" s="646"/>
      <c r="BE381" s="646"/>
      <c r="BF381" s="646"/>
      <c r="BG381" s="646"/>
      <c r="BH381" s="646"/>
      <c r="BI381" s="646"/>
      <c r="BJ381" s="646"/>
      <c r="BK381" s="646"/>
      <c r="BL381" s="646"/>
      <c r="BM381" s="646"/>
      <c r="BN381" s="646"/>
      <c r="BO381" s="646"/>
      <c r="BP381" s="646"/>
      <c r="BQ381" s="646"/>
      <c r="BR381" s="645"/>
      <c r="BS381" s="645"/>
      <c r="BT381" s="645"/>
      <c r="BU381" s="645"/>
      <c r="BV381" s="646"/>
      <c r="BW381" s="647"/>
      <c r="BX381" s="647"/>
      <c r="BY381" s="647"/>
      <c r="BZ381" s="647"/>
      <c r="CA381" s="647"/>
      <c r="CB381" s="647"/>
      <c r="CC381" s="647"/>
      <c r="CD381" s="647"/>
      <c r="CE381" s="647"/>
      <c r="CF381" s="647"/>
      <c r="CG381" s="647"/>
      <c r="CH381" s="647"/>
      <c r="CI381" s="647"/>
      <c r="FK381" s="714"/>
      <c r="FL381" s="714"/>
    </row>
    <row r="382" spans="4:168" s="640" customFormat="1" hidden="1">
      <c r="D382" s="641"/>
      <c r="G382" s="642"/>
      <c r="J382" s="642"/>
      <c r="K382" s="643"/>
      <c r="M382" s="644"/>
      <c r="N382" s="642"/>
      <c r="Q382" s="642"/>
      <c r="T382" s="642"/>
      <c r="U382" s="643"/>
      <c r="X382" s="645"/>
      <c r="Y382" s="646"/>
      <c r="Z382" s="673"/>
      <c r="AA382" s="646"/>
      <c r="AB382" s="646"/>
      <c r="AC382" s="646"/>
      <c r="AD382" s="646"/>
      <c r="AE382" s="646"/>
      <c r="AF382" s="646"/>
      <c r="AG382" s="646"/>
      <c r="AH382" s="646"/>
      <c r="AI382" s="646"/>
      <c r="AJ382" s="646"/>
      <c r="AK382" s="646"/>
      <c r="AL382" s="646"/>
      <c r="AM382" s="646"/>
      <c r="AN382" s="646"/>
      <c r="AO382" s="646"/>
      <c r="AP382" s="646"/>
      <c r="AQ382" s="646"/>
      <c r="AR382" s="646"/>
      <c r="AS382" s="646"/>
      <c r="AT382" s="646"/>
      <c r="AU382" s="646"/>
      <c r="AV382" s="646"/>
      <c r="AW382" s="646"/>
      <c r="AX382" s="646"/>
      <c r="AY382" s="646"/>
      <c r="AZ382" s="646"/>
      <c r="BA382" s="646"/>
      <c r="BB382" s="646"/>
      <c r="BC382" s="646"/>
      <c r="BD382" s="646"/>
      <c r="BE382" s="646"/>
      <c r="BF382" s="646"/>
      <c r="BG382" s="646"/>
      <c r="BH382" s="646"/>
      <c r="BI382" s="646"/>
      <c r="BJ382" s="646"/>
      <c r="BK382" s="646"/>
      <c r="BL382" s="646"/>
      <c r="BM382" s="646"/>
      <c r="BN382" s="646"/>
      <c r="BO382" s="646"/>
      <c r="BP382" s="646"/>
      <c r="BQ382" s="646"/>
      <c r="BR382" s="645"/>
      <c r="BS382" s="645"/>
      <c r="BT382" s="645"/>
      <c r="BU382" s="645"/>
      <c r="BV382" s="646"/>
      <c r="BW382" s="647"/>
      <c r="BX382" s="647"/>
      <c r="BY382" s="647"/>
      <c r="BZ382" s="647"/>
      <c r="CA382" s="647"/>
      <c r="CB382" s="647"/>
      <c r="CC382" s="647"/>
      <c r="CD382" s="647"/>
      <c r="CE382" s="647"/>
      <c r="CF382" s="647"/>
      <c r="CG382" s="647"/>
      <c r="CH382" s="647"/>
      <c r="CI382" s="647"/>
      <c r="FK382" s="714"/>
      <c r="FL382" s="714"/>
    </row>
    <row r="383" spans="4:168" s="640" customFormat="1" hidden="1">
      <c r="D383" s="641"/>
      <c r="G383" s="642"/>
      <c r="J383" s="642"/>
      <c r="K383" s="643"/>
      <c r="M383" s="644"/>
      <c r="N383" s="642"/>
      <c r="Q383" s="642"/>
      <c r="T383" s="642"/>
      <c r="U383" s="643"/>
      <c r="X383" s="645"/>
      <c r="Y383" s="646"/>
      <c r="Z383" s="673"/>
      <c r="AA383" s="646"/>
      <c r="AB383" s="646"/>
      <c r="AC383" s="646"/>
      <c r="AD383" s="646"/>
      <c r="AE383" s="646"/>
      <c r="AF383" s="646"/>
      <c r="AG383" s="646"/>
      <c r="AH383" s="646"/>
      <c r="AI383" s="646"/>
      <c r="AJ383" s="646"/>
      <c r="AK383" s="646"/>
      <c r="AL383" s="646"/>
      <c r="AM383" s="646"/>
      <c r="AN383" s="646"/>
      <c r="AO383" s="646"/>
      <c r="AP383" s="646"/>
      <c r="AQ383" s="646"/>
      <c r="AR383" s="646"/>
      <c r="AS383" s="646"/>
      <c r="AT383" s="646"/>
      <c r="AU383" s="646"/>
      <c r="AV383" s="646"/>
      <c r="AW383" s="646"/>
      <c r="AX383" s="646"/>
      <c r="AY383" s="646"/>
      <c r="AZ383" s="646"/>
      <c r="BA383" s="646"/>
      <c r="BB383" s="646"/>
      <c r="BC383" s="646"/>
      <c r="BD383" s="646"/>
      <c r="BE383" s="646"/>
      <c r="BF383" s="646"/>
      <c r="BG383" s="646"/>
      <c r="BH383" s="646"/>
      <c r="BI383" s="646"/>
      <c r="BJ383" s="646"/>
      <c r="BK383" s="646"/>
      <c r="BL383" s="646"/>
      <c r="BM383" s="646"/>
      <c r="BN383" s="646"/>
      <c r="BO383" s="646"/>
      <c r="BP383" s="646"/>
      <c r="BQ383" s="646"/>
      <c r="BR383" s="645"/>
      <c r="BS383" s="645"/>
      <c r="BT383" s="645"/>
      <c r="BU383" s="645"/>
      <c r="BV383" s="646"/>
      <c r="BW383" s="647"/>
      <c r="BX383" s="647"/>
      <c r="BY383" s="647"/>
      <c r="BZ383" s="647"/>
      <c r="CA383" s="647"/>
      <c r="CB383" s="647"/>
      <c r="CC383" s="647"/>
      <c r="CD383" s="647"/>
      <c r="CE383" s="647"/>
      <c r="CF383" s="647"/>
      <c r="CG383" s="647"/>
      <c r="CH383" s="647"/>
      <c r="CI383" s="647"/>
      <c r="FK383" s="714"/>
      <c r="FL383" s="714"/>
    </row>
    <row r="384" spans="4:168" s="640" customFormat="1" hidden="1">
      <c r="D384" s="641"/>
      <c r="G384" s="642"/>
      <c r="J384" s="642"/>
      <c r="K384" s="643"/>
      <c r="M384" s="644"/>
      <c r="N384" s="642"/>
      <c r="Q384" s="642"/>
      <c r="T384" s="642"/>
      <c r="U384" s="643"/>
      <c r="X384" s="645"/>
      <c r="Y384" s="646"/>
      <c r="Z384" s="673"/>
      <c r="AA384" s="646"/>
      <c r="AB384" s="646"/>
      <c r="AC384" s="646"/>
      <c r="AD384" s="646"/>
      <c r="AE384" s="646"/>
      <c r="AF384" s="646"/>
      <c r="AG384" s="646"/>
      <c r="AH384" s="646"/>
      <c r="AI384" s="646"/>
      <c r="AJ384" s="646"/>
      <c r="AK384" s="646"/>
      <c r="AL384" s="646"/>
      <c r="AM384" s="646"/>
      <c r="AN384" s="646"/>
      <c r="AO384" s="646"/>
      <c r="AP384" s="646"/>
      <c r="AQ384" s="646"/>
      <c r="AR384" s="646"/>
      <c r="AS384" s="646"/>
      <c r="AT384" s="646"/>
      <c r="AU384" s="646"/>
      <c r="AV384" s="646"/>
      <c r="AW384" s="646"/>
      <c r="AX384" s="646"/>
      <c r="AY384" s="646"/>
      <c r="AZ384" s="646"/>
      <c r="BA384" s="646"/>
      <c r="BB384" s="646"/>
      <c r="BC384" s="646"/>
      <c r="BD384" s="646"/>
      <c r="BE384" s="646"/>
      <c r="BF384" s="646"/>
      <c r="BG384" s="646"/>
      <c r="BH384" s="646"/>
      <c r="BI384" s="646"/>
      <c r="BJ384" s="646"/>
      <c r="BK384" s="646"/>
      <c r="BL384" s="646"/>
      <c r="BM384" s="646"/>
      <c r="BN384" s="646"/>
      <c r="BO384" s="646"/>
      <c r="BP384" s="646"/>
      <c r="BQ384" s="646"/>
      <c r="BR384" s="645"/>
      <c r="BS384" s="645"/>
      <c r="BT384" s="645"/>
      <c r="BU384" s="645"/>
      <c r="BV384" s="646"/>
      <c r="BW384" s="647"/>
      <c r="BX384" s="647"/>
      <c r="BY384" s="647"/>
      <c r="BZ384" s="647"/>
      <c r="CA384" s="647"/>
      <c r="CB384" s="647"/>
      <c r="CC384" s="647"/>
      <c r="CD384" s="647"/>
      <c r="CE384" s="647"/>
      <c r="CF384" s="647"/>
      <c r="CG384" s="647"/>
      <c r="CH384" s="647"/>
      <c r="CI384" s="647"/>
      <c r="FK384" s="714"/>
      <c r="FL384" s="714"/>
    </row>
    <row r="385" spans="4:168" s="640" customFormat="1" hidden="1">
      <c r="D385" s="641"/>
      <c r="G385" s="642"/>
      <c r="J385" s="642"/>
      <c r="K385" s="643"/>
      <c r="M385" s="644"/>
      <c r="N385" s="642"/>
      <c r="Q385" s="642"/>
      <c r="T385" s="642"/>
      <c r="U385" s="643"/>
      <c r="X385" s="645"/>
      <c r="Y385" s="646"/>
      <c r="Z385" s="673"/>
      <c r="AA385" s="646"/>
      <c r="AB385" s="646"/>
      <c r="AC385" s="646"/>
      <c r="AD385" s="646"/>
      <c r="AE385" s="646"/>
      <c r="AF385" s="646"/>
      <c r="AG385" s="646"/>
      <c r="AH385" s="646"/>
      <c r="AI385" s="646"/>
      <c r="AJ385" s="646"/>
      <c r="AK385" s="646"/>
      <c r="AL385" s="646"/>
      <c r="AM385" s="646"/>
      <c r="AN385" s="646"/>
      <c r="AO385" s="646"/>
      <c r="AP385" s="646"/>
      <c r="AQ385" s="646"/>
      <c r="AR385" s="646"/>
      <c r="AS385" s="646"/>
      <c r="AT385" s="646"/>
      <c r="AU385" s="646"/>
      <c r="AV385" s="646"/>
      <c r="AW385" s="646"/>
      <c r="AX385" s="646"/>
      <c r="AY385" s="646"/>
      <c r="AZ385" s="646"/>
      <c r="BA385" s="646"/>
      <c r="BB385" s="646"/>
      <c r="BC385" s="646"/>
      <c r="BD385" s="646"/>
      <c r="BE385" s="646"/>
      <c r="BF385" s="646"/>
      <c r="BG385" s="646"/>
      <c r="BH385" s="646"/>
      <c r="BI385" s="646"/>
      <c r="BJ385" s="646"/>
      <c r="BK385" s="646"/>
      <c r="BL385" s="646"/>
      <c r="BM385" s="646"/>
      <c r="BN385" s="646"/>
      <c r="BO385" s="646"/>
      <c r="BP385" s="646"/>
      <c r="BQ385" s="646"/>
      <c r="BR385" s="645"/>
      <c r="BS385" s="645"/>
      <c r="BT385" s="645"/>
      <c r="BU385" s="645"/>
      <c r="BV385" s="646"/>
      <c r="BW385" s="647"/>
      <c r="BX385" s="647"/>
      <c r="BY385" s="647"/>
      <c r="BZ385" s="647"/>
      <c r="CA385" s="647"/>
      <c r="CB385" s="647"/>
      <c r="CC385" s="647"/>
      <c r="CD385" s="647"/>
      <c r="CE385" s="647"/>
      <c r="CF385" s="647"/>
      <c r="CG385" s="647"/>
      <c r="CH385" s="647"/>
      <c r="CI385" s="647"/>
      <c r="FK385" s="714"/>
      <c r="FL385" s="714"/>
    </row>
    <row r="386" spans="4:168" s="640" customFormat="1" hidden="1">
      <c r="D386" s="641"/>
      <c r="G386" s="642"/>
      <c r="J386" s="642"/>
      <c r="K386" s="643"/>
      <c r="M386" s="644"/>
      <c r="N386" s="642"/>
      <c r="Q386" s="642"/>
      <c r="T386" s="642"/>
      <c r="U386" s="643"/>
      <c r="X386" s="645"/>
      <c r="Y386" s="646"/>
      <c r="Z386" s="673"/>
      <c r="AA386" s="646"/>
      <c r="AB386" s="646"/>
      <c r="AC386" s="646"/>
      <c r="AD386" s="646"/>
      <c r="AE386" s="646"/>
      <c r="AF386" s="646"/>
      <c r="AG386" s="646"/>
      <c r="AH386" s="646"/>
      <c r="AI386" s="646"/>
      <c r="AJ386" s="646"/>
      <c r="AK386" s="646"/>
      <c r="AL386" s="646"/>
      <c r="AM386" s="646"/>
      <c r="AN386" s="646"/>
      <c r="AO386" s="646"/>
      <c r="AP386" s="646"/>
      <c r="AQ386" s="646"/>
      <c r="AR386" s="646"/>
      <c r="AS386" s="646"/>
      <c r="AT386" s="646"/>
      <c r="AU386" s="646"/>
      <c r="AV386" s="646"/>
      <c r="AW386" s="646"/>
      <c r="AX386" s="646"/>
      <c r="AY386" s="646"/>
      <c r="AZ386" s="646"/>
      <c r="BA386" s="646"/>
      <c r="BB386" s="646"/>
      <c r="BC386" s="646"/>
      <c r="BD386" s="646"/>
      <c r="BE386" s="646"/>
      <c r="BF386" s="646"/>
      <c r="BG386" s="646"/>
      <c r="BH386" s="646"/>
      <c r="BI386" s="646"/>
      <c r="BJ386" s="646"/>
      <c r="BK386" s="646"/>
      <c r="BL386" s="646"/>
      <c r="BM386" s="646"/>
      <c r="BN386" s="646"/>
      <c r="BO386" s="646"/>
      <c r="BP386" s="646"/>
      <c r="BQ386" s="646"/>
      <c r="BR386" s="645"/>
      <c r="BS386" s="645"/>
      <c r="BT386" s="645"/>
      <c r="BU386" s="645"/>
      <c r="BV386" s="646"/>
      <c r="BW386" s="647"/>
      <c r="BX386" s="647"/>
      <c r="BY386" s="647"/>
      <c r="BZ386" s="647"/>
      <c r="CA386" s="647"/>
      <c r="CB386" s="647"/>
      <c r="CC386" s="647"/>
      <c r="CD386" s="647"/>
      <c r="CE386" s="647"/>
      <c r="CF386" s="647"/>
      <c r="CG386" s="647"/>
      <c r="CH386" s="647"/>
      <c r="CI386" s="647"/>
      <c r="FK386" s="714"/>
      <c r="FL386" s="714"/>
    </row>
    <row r="387" spans="4:168" s="640" customFormat="1" hidden="1">
      <c r="D387" s="641"/>
      <c r="G387" s="642"/>
      <c r="J387" s="642"/>
      <c r="K387" s="643"/>
      <c r="M387" s="644"/>
      <c r="N387" s="642"/>
      <c r="Q387" s="642"/>
      <c r="T387" s="642"/>
      <c r="U387" s="643"/>
      <c r="X387" s="645"/>
      <c r="Y387" s="646"/>
      <c r="Z387" s="673"/>
      <c r="AA387" s="646"/>
      <c r="AB387" s="646"/>
      <c r="AC387" s="646"/>
      <c r="AD387" s="646"/>
      <c r="AE387" s="646"/>
      <c r="AF387" s="646"/>
      <c r="AG387" s="646"/>
      <c r="AH387" s="646"/>
      <c r="AI387" s="646"/>
      <c r="AJ387" s="646"/>
      <c r="AK387" s="646"/>
      <c r="AL387" s="646"/>
      <c r="AM387" s="646"/>
      <c r="AN387" s="646"/>
      <c r="AO387" s="646"/>
      <c r="AP387" s="646"/>
      <c r="AQ387" s="646"/>
      <c r="AR387" s="646"/>
      <c r="AS387" s="646"/>
      <c r="AT387" s="646"/>
      <c r="AU387" s="646"/>
      <c r="AV387" s="646"/>
      <c r="AW387" s="646"/>
      <c r="AX387" s="646"/>
      <c r="AY387" s="646"/>
      <c r="AZ387" s="646"/>
      <c r="BA387" s="646"/>
      <c r="BB387" s="646"/>
      <c r="BC387" s="646"/>
      <c r="BD387" s="646"/>
      <c r="BE387" s="646"/>
      <c r="BF387" s="646"/>
      <c r="BG387" s="646"/>
      <c r="BH387" s="646"/>
      <c r="BI387" s="646"/>
      <c r="BJ387" s="646"/>
      <c r="BK387" s="646"/>
      <c r="BL387" s="646"/>
      <c r="BM387" s="646"/>
      <c r="BN387" s="646"/>
      <c r="BO387" s="646"/>
      <c r="BP387" s="646"/>
      <c r="BQ387" s="646"/>
      <c r="BR387" s="645"/>
      <c r="BS387" s="645"/>
      <c r="BT387" s="645"/>
      <c r="BU387" s="645"/>
      <c r="BV387" s="646"/>
      <c r="BW387" s="647"/>
      <c r="BX387" s="647"/>
      <c r="BY387" s="647"/>
      <c r="BZ387" s="647"/>
      <c r="CA387" s="647"/>
      <c r="CB387" s="647"/>
      <c r="CC387" s="647"/>
      <c r="CD387" s="647"/>
      <c r="CE387" s="647"/>
      <c r="CF387" s="647"/>
      <c r="CG387" s="647"/>
      <c r="CH387" s="647"/>
      <c r="CI387" s="647"/>
      <c r="FK387" s="714"/>
      <c r="FL387" s="714"/>
    </row>
    <row r="388" spans="4:168" s="640" customFormat="1" hidden="1">
      <c r="D388" s="641"/>
      <c r="G388" s="642"/>
      <c r="J388" s="642"/>
      <c r="K388" s="643"/>
      <c r="M388" s="644"/>
      <c r="N388" s="642"/>
      <c r="Q388" s="642"/>
      <c r="T388" s="642"/>
      <c r="U388" s="643"/>
      <c r="X388" s="645"/>
      <c r="Y388" s="646"/>
      <c r="Z388" s="673"/>
      <c r="AA388" s="646"/>
      <c r="AB388" s="646"/>
      <c r="AC388" s="646"/>
      <c r="AD388" s="646"/>
      <c r="AE388" s="646"/>
      <c r="AF388" s="646"/>
      <c r="AG388" s="646"/>
      <c r="AH388" s="646"/>
      <c r="AI388" s="646"/>
      <c r="AJ388" s="646"/>
      <c r="AK388" s="646"/>
      <c r="AL388" s="646"/>
      <c r="AM388" s="646"/>
      <c r="AN388" s="646"/>
      <c r="AO388" s="646"/>
      <c r="AP388" s="646"/>
      <c r="AQ388" s="646"/>
      <c r="AR388" s="646"/>
      <c r="AS388" s="646"/>
      <c r="AT388" s="646"/>
      <c r="AU388" s="646"/>
      <c r="AV388" s="646"/>
      <c r="AW388" s="646"/>
      <c r="AX388" s="646"/>
      <c r="AY388" s="646"/>
      <c r="AZ388" s="646"/>
      <c r="BA388" s="646"/>
      <c r="BB388" s="646"/>
      <c r="BC388" s="646"/>
      <c r="BD388" s="646"/>
      <c r="BE388" s="646"/>
      <c r="BF388" s="646"/>
      <c r="BG388" s="646"/>
      <c r="BH388" s="646"/>
      <c r="BI388" s="646"/>
      <c r="BJ388" s="646"/>
      <c r="BK388" s="646"/>
      <c r="BL388" s="646"/>
      <c r="BM388" s="646"/>
      <c r="BN388" s="646"/>
      <c r="BO388" s="646"/>
      <c r="BP388" s="646"/>
      <c r="BQ388" s="646"/>
      <c r="BR388" s="645"/>
      <c r="BS388" s="645"/>
      <c r="BT388" s="645"/>
      <c r="BU388" s="645"/>
      <c r="BV388" s="646"/>
      <c r="BW388" s="647"/>
      <c r="BX388" s="647"/>
      <c r="BY388" s="647"/>
      <c r="BZ388" s="647"/>
      <c r="CA388" s="647"/>
      <c r="CB388" s="647"/>
      <c r="CC388" s="647"/>
      <c r="CD388" s="647"/>
      <c r="CE388" s="647"/>
      <c r="CF388" s="647"/>
      <c r="CG388" s="647"/>
      <c r="CH388" s="647"/>
      <c r="CI388" s="647"/>
      <c r="FK388" s="714"/>
      <c r="FL388" s="714"/>
    </row>
    <row r="389" spans="4:168" s="640" customFormat="1" hidden="1">
      <c r="D389" s="641"/>
      <c r="G389" s="642"/>
      <c r="J389" s="642"/>
      <c r="K389" s="643"/>
      <c r="M389" s="644"/>
      <c r="N389" s="642"/>
      <c r="Q389" s="642"/>
      <c r="T389" s="642"/>
      <c r="U389" s="643"/>
      <c r="X389" s="645"/>
      <c r="Y389" s="646"/>
      <c r="Z389" s="673"/>
      <c r="AA389" s="646"/>
      <c r="AB389" s="646"/>
      <c r="AC389" s="646"/>
      <c r="AD389" s="646"/>
      <c r="AE389" s="646"/>
      <c r="AF389" s="646"/>
      <c r="AG389" s="646"/>
      <c r="AH389" s="646"/>
      <c r="AI389" s="646"/>
      <c r="AJ389" s="646"/>
      <c r="AK389" s="646"/>
      <c r="AL389" s="646"/>
      <c r="AM389" s="646"/>
      <c r="AN389" s="646"/>
      <c r="AO389" s="646"/>
      <c r="AP389" s="646"/>
      <c r="AQ389" s="646"/>
      <c r="AR389" s="646"/>
      <c r="AS389" s="646"/>
      <c r="AT389" s="646"/>
      <c r="AU389" s="646"/>
      <c r="AV389" s="646"/>
      <c r="AW389" s="646"/>
      <c r="AX389" s="646"/>
      <c r="AY389" s="646"/>
      <c r="AZ389" s="646"/>
      <c r="BA389" s="646"/>
      <c r="BB389" s="646"/>
      <c r="BC389" s="646"/>
      <c r="BD389" s="646"/>
      <c r="BE389" s="646"/>
      <c r="BF389" s="646"/>
      <c r="BG389" s="646"/>
      <c r="BH389" s="646"/>
      <c r="BI389" s="646"/>
      <c r="BJ389" s="646"/>
      <c r="BK389" s="646"/>
      <c r="BL389" s="646"/>
      <c r="BM389" s="646"/>
      <c r="BN389" s="646"/>
      <c r="BO389" s="646"/>
      <c r="BP389" s="646"/>
      <c r="BQ389" s="646"/>
      <c r="BR389" s="645"/>
      <c r="BS389" s="645"/>
      <c r="BT389" s="645"/>
      <c r="BU389" s="645"/>
      <c r="BV389" s="646"/>
      <c r="BW389" s="647"/>
      <c r="BX389" s="647"/>
      <c r="BY389" s="647"/>
      <c r="BZ389" s="647"/>
      <c r="CA389" s="647"/>
      <c r="CB389" s="647"/>
      <c r="CC389" s="647"/>
      <c r="CD389" s="647"/>
      <c r="CE389" s="647"/>
      <c r="CF389" s="647"/>
      <c r="CG389" s="647"/>
      <c r="CH389" s="647"/>
      <c r="CI389" s="647"/>
      <c r="FK389" s="714"/>
      <c r="FL389" s="714"/>
    </row>
    <row r="390" spans="4:168" s="640" customFormat="1" hidden="1">
      <c r="D390" s="641"/>
      <c r="G390" s="642"/>
      <c r="J390" s="642"/>
      <c r="K390" s="643"/>
      <c r="M390" s="644"/>
      <c r="N390" s="642"/>
      <c r="Q390" s="642"/>
      <c r="T390" s="642"/>
      <c r="U390" s="643"/>
      <c r="X390" s="645"/>
      <c r="Y390" s="646"/>
      <c r="Z390" s="673"/>
      <c r="AA390" s="646"/>
      <c r="AB390" s="646"/>
      <c r="AC390" s="646"/>
      <c r="AD390" s="646"/>
      <c r="AE390" s="646"/>
      <c r="AF390" s="646"/>
      <c r="AG390" s="646"/>
      <c r="AH390" s="646"/>
      <c r="AI390" s="646"/>
      <c r="AJ390" s="646"/>
      <c r="AK390" s="646"/>
      <c r="AL390" s="646"/>
      <c r="AM390" s="646"/>
      <c r="AN390" s="646"/>
      <c r="AO390" s="646"/>
      <c r="AP390" s="646"/>
      <c r="AQ390" s="646"/>
      <c r="AR390" s="646"/>
      <c r="AS390" s="646"/>
      <c r="AT390" s="646"/>
      <c r="AU390" s="646"/>
      <c r="AV390" s="646"/>
      <c r="AW390" s="646"/>
      <c r="AX390" s="646"/>
      <c r="AY390" s="646"/>
      <c r="AZ390" s="646"/>
      <c r="BA390" s="646"/>
      <c r="BB390" s="646"/>
      <c r="BC390" s="646"/>
      <c r="BD390" s="646"/>
      <c r="BE390" s="646"/>
      <c r="BF390" s="646"/>
      <c r="BG390" s="646"/>
      <c r="BH390" s="646"/>
      <c r="BI390" s="646"/>
      <c r="BJ390" s="646"/>
      <c r="BK390" s="646"/>
      <c r="BL390" s="646"/>
      <c r="BM390" s="646"/>
      <c r="BN390" s="646"/>
      <c r="BO390" s="646"/>
      <c r="BP390" s="646"/>
      <c r="BQ390" s="646"/>
      <c r="BR390" s="645"/>
      <c r="BS390" s="645"/>
      <c r="BT390" s="645"/>
      <c r="BU390" s="645"/>
      <c r="BV390" s="646"/>
      <c r="BW390" s="647"/>
      <c r="BX390" s="647"/>
      <c r="BY390" s="647"/>
      <c r="BZ390" s="647"/>
      <c r="CA390" s="647"/>
      <c r="CB390" s="647"/>
      <c r="CC390" s="647"/>
      <c r="CD390" s="647"/>
      <c r="CE390" s="647"/>
      <c r="CF390" s="647"/>
      <c r="CG390" s="647"/>
      <c r="CH390" s="647"/>
      <c r="CI390" s="647"/>
      <c r="FK390" s="714"/>
      <c r="FL390" s="714"/>
    </row>
    <row r="391" spans="4:168" s="640" customFormat="1" hidden="1">
      <c r="D391" s="641"/>
      <c r="G391" s="642"/>
      <c r="J391" s="642"/>
      <c r="K391" s="643"/>
      <c r="M391" s="644"/>
      <c r="N391" s="642"/>
      <c r="Q391" s="642"/>
      <c r="T391" s="642"/>
      <c r="U391" s="643"/>
      <c r="X391" s="645"/>
      <c r="Y391" s="646"/>
      <c r="Z391" s="673"/>
      <c r="AA391" s="646"/>
      <c r="AB391" s="646"/>
      <c r="AC391" s="646"/>
      <c r="AD391" s="646"/>
      <c r="AE391" s="646"/>
      <c r="AF391" s="646"/>
      <c r="AG391" s="646"/>
      <c r="AH391" s="646"/>
      <c r="AI391" s="646"/>
      <c r="AJ391" s="646"/>
      <c r="AK391" s="646"/>
      <c r="AL391" s="646"/>
      <c r="AM391" s="646"/>
      <c r="AN391" s="646"/>
      <c r="AO391" s="646"/>
      <c r="AP391" s="646"/>
      <c r="AQ391" s="646"/>
      <c r="AR391" s="646"/>
      <c r="AS391" s="646"/>
      <c r="AT391" s="646"/>
      <c r="AU391" s="646"/>
      <c r="AV391" s="646"/>
      <c r="AW391" s="646"/>
      <c r="AX391" s="646"/>
      <c r="AY391" s="646"/>
      <c r="AZ391" s="646"/>
      <c r="BA391" s="646"/>
      <c r="BB391" s="646"/>
      <c r="BC391" s="646"/>
      <c r="BD391" s="646"/>
      <c r="BE391" s="646"/>
      <c r="BF391" s="646"/>
      <c r="BG391" s="646"/>
      <c r="BH391" s="646"/>
      <c r="BI391" s="646"/>
      <c r="BJ391" s="646"/>
      <c r="BK391" s="646"/>
      <c r="BL391" s="646"/>
      <c r="BM391" s="646"/>
      <c r="BN391" s="646"/>
      <c r="BO391" s="646"/>
      <c r="BP391" s="646"/>
      <c r="BQ391" s="646"/>
      <c r="BR391" s="645"/>
      <c r="BS391" s="645"/>
      <c r="BT391" s="645"/>
      <c r="BU391" s="645"/>
      <c r="BV391" s="646"/>
      <c r="BW391" s="647"/>
      <c r="BX391" s="647"/>
      <c r="BY391" s="647"/>
      <c r="BZ391" s="647"/>
      <c r="CA391" s="647"/>
      <c r="CB391" s="647"/>
      <c r="CC391" s="647"/>
      <c r="CD391" s="647"/>
      <c r="CE391" s="647"/>
      <c r="CF391" s="647"/>
      <c r="CG391" s="647"/>
      <c r="CH391" s="647"/>
      <c r="CI391" s="647"/>
      <c r="FK391" s="714"/>
      <c r="FL391" s="714"/>
    </row>
    <row r="392" spans="4:168" s="640" customFormat="1" hidden="1">
      <c r="D392" s="641"/>
      <c r="G392" s="642"/>
      <c r="J392" s="642"/>
      <c r="K392" s="643"/>
      <c r="M392" s="644"/>
      <c r="N392" s="642"/>
      <c r="Q392" s="642"/>
      <c r="T392" s="642"/>
      <c r="U392" s="643"/>
      <c r="X392" s="645"/>
      <c r="Y392" s="646"/>
      <c r="Z392" s="673"/>
      <c r="AA392" s="646"/>
      <c r="AB392" s="646"/>
      <c r="AC392" s="646"/>
      <c r="AD392" s="646"/>
      <c r="AE392" s="646"/>
      <c r="AF392" s="646"/>
      <c r="AG392" s="646"/>
      <c r="AH392" s="646"/>
      <c r="AI392" s="646"/>
      <c r="AJ392" s="646"/>
      <c r="AK392" s="646"/>
      <c r="AL392" s="646"/>
      <c r="AM392" s="646"/>
      <c r="AN392" s="646"/>
      <c r="AO392" s="646"/>
      <c r="AP392" s="646"/>
      <c r="AQ392" s="646"/>
      <c r="AR392" s="646"/>
      <c r="AS392" s="646"/>
      <c r="AT392" s="646"/>
      <c r="AU392" s="646"/>
      <c r="AV392" s="646"/>
      <c r="AW392" s="646"/>
      <c r="AX392" s="646"/>
      <c r="AY392" s="646"/>
      <c r="AZ392" s="646"/>
      <c r="BA392" s="646"/>
      <c r="BB392" s="646"/>
      <c r="BC392" s="646"/>
      <c r="BD392" s="646"/>
      <c r="BE392" s="646"/>
      <c r="BF392" s="646"/>
      <c r="BG392" s="646"/>
      <c r="BH392" s="646"/>
      <c r="BI392" s="646"/>
      <c r="BJ392" s="646"/>
      <c r="BK392" s="646"/>
      <c r="BL392" s="646"/>
      <c r="BM392" s="646"/>
      <c r="BN392" s="646"/>
      <c r="BO392" s="646"/>
      <c r="BP392" s="646"/>
      <c r="BQ392" s="646"/>
      <c r="BR392" s="645"/>
      <c r="BS392" s="645"/>
      <c r="BT392" s="645"/>
      <c r="BU392" s="645"/>
      <c r="BV392" s="646"/>
      <c r="BW392" s="647"/>
      <c r="BX392" s="647"/>
      <c r="BY392" s="647"/>
      <c r="BZ392" s="647"/>
      <c r="CA392" s="647"/>
      <c r="CB392" s="647"/>
      <c r="CC392" s="647"/>
      <c r="CD392" s="647"/>
      <c r="CE392" s="647"/>
      <c r="CF392" s="647"/>
      <c r="CG392" s="647"/>
      <c r="CH392" s="647"/>
      <c r="CI392" s="647"/>
      <c r="FK392" s="714"/>
      <c r="FL392" s="714"/>
    </row>
    <row r="393" spans="4:168" s="640" customFormat="1" hidden="1">
      <c r="D393" s="641"/>
      <c r="G393" s="642"/>
      <c r="J393" s="642"/>
      <c r="K393" s="643"/>
      <c r="M393" s="644"/>
      <c r="N393" s="642"/>
      <c r="Q393" s="642"/>
      <c r="T393" s="642"/>
      <c r="U393" s="643"/>
      <c r="X393" s="645"/>
      <c r="Y393" s="646"/>
      <c r="Z393" s="673"/>
      <c r="AA393" s="646"/>
      <c r="AB393" s="646"/>
      <c r="AC393" s="646"/>
      <c r="AD393" s="646"/>
      <c r="AE393" s="646"/>
      <c r="AF393" s="646"/>
      <c r="AG393" s="646"/>
      <c r="AH393" s="646"/>
      <c r="AI393" s="646"/>
      <c r="AJ393" s="646"/>
      <c r="AK393" s="646"/>
      <c r="AL393" s="646"/>
      <c r="AM393" s="646"/>
      <c r="AN393" s="646"/>
      <c r="AO393" s="646"/>
      <c r="AP393" s="646"/>
      <c r="AQ393" s="646"/>
      <c r="AR393" s="646"/>
      <c r="AS393" s="646"/>
      <c r="AT393" s="646"/>
      <c r="AU393" s="646"/>
      <c r="AV393" s="646"/>
      <c r="AW393" s="646"/>
      <c r="AX393" s="646"/>
      <c r="AY393" s="646"/>
      <c r="AZ393" s="646"/>
      <c r="BA393" s="646"/>
      <c r="BB393" s="646"/>
      <c r="BC393" s="646"/>
      <c r="BD393" s="646"/>
      <c r="BE393" s="646"/>
      <c r="BF393" s="646"/>
      <c r="BG393" s="646"/>
      <c r="BH393" s="646"/>
      <c r="BI393" s="646"/>
      <c r="BJ393" s="646"/>
      <c r="BK393" s="646"/>
      <c r="BL393" s="646"/>
      <c r="BM393" s="646"/>
      <c r="BN393" s="646"/>
      <c r="BO393" s="646"/>
      <c r="BP393" s="646"/>
      <c r="BQ393" s="646"/>
      <c r="BR393" s="645"/>
      <c r="BS393" s="645"/>
      <c r="BT393" s="645"/>
      <c r="BU393" s="645"/>
      <c r="BV393" s="646"/>
      <c r="BW393" s="647"/>
      <c r="BX393" s="647"/>
      <c r="BY393" s="647"/>
      <c r="BZ393" s="647"/>
      <c r="CA393" s="647"/>
      <c r="CB393" s="647"/>
      <c r="CC393" s="647"/>
      <c r="CD393" s="647"/>
      <c r="CE393" s="647"/>
      <c r="CF393" s="647"/>
      <c r="CG393" s="647"/>
      <c r="CH393" s="647"/>
      <c r="CI393" s="647"/>
      <c r="FK393" s="714"/>
      <c r="FL393" s="714"/>
    </row>
    <row r="394" spans="4:168" s="640" customFormat="1" hidden="1">
      <c r="D394" s="641"/>
      <c r="G394" s="642"/>
      <c r="J394" s="642"/>
      <c r="K394" s="643"/>
      <c r="M394" s="644"/>
      <c r="N394" s="642"/>
      <c r="Q394" s="642"/>
      <c r="T394" s="642"/>
      <c r="U394" s="643"/>
      <c r="X394" s="645"/>
      <c r="Y394" s="646"/>
      <c r="Z394" s="673"/>
      <c r="AA394" s="646"/>
      <c r="AB394" s="646"/>
      <c r="AC394" s="646"/>
      <c r="AD394" s="646"/>
      <c r="AE394" s="646"/>
      <c r="AF394" s="646"/>
      <c r="AG394" s="646"/>
      <c r="AH394" s="646"/>
      <c r="AI394" s="646"/>
      <c r="AJ394" s="646"/>
      <c r="AK394" s="646"/>
      <c r="AL394" s="646"/>
      <c r="AM394" s="646"/>
      <c r="AN394" s="646"/>
      <c r="AO394" s="646"/>
      <c r="AP394" s="646"/>
      <c r="AQ394" s="646"/>
      <c r="AR394" s="646"/>
      <c r="AS394" s="646"/>
      <c r="AT394" s="646"/>
      <c r="AU394" s="646"/>
      <c r="AV394" s="646"/>
      <c r="AW394" s="646"/>
      <c r="AX394" s="646"/>
      <c r="AY394" s="646"/>
      <c r="AZ394" s="646"/>
      <c r="BA394" s="646"/>
      <c r="BB394" s="646"/>
      <c r="BC394" s="646"/>
      <c r="BD394" s="646"/>
      <c r="BE394" s="646"/>
      <c r="BF394" s="646"/>
      <c r="BG394" s="646"/>
      <c r="BH394" s="646"/>
      <c r="BI394" s="646"/>
      <c r="BJ394" s="646"/>
      <c r="BK394" s="646"/>
      <c r="BL394" s="646"/>
      <c r="BM394" s="646"/>
      <c r="BN394" s="646"/>
      <c r="BO394" s="646"/>
      <c r="BP394" s="646"/>
      <c r="BQ394" s="646"/>
      <c r="BR394" s="645"/>
      <c r="BS394" s="645"/>
      <c r="BT394" s="645"/>
      <c r="BU394" s="645"/>
      <c r="BV394" s="646"/>
      <c r="BW394" s="647"/>
      <c r="BX394" s="647"/>
      <c r="BY394" s="647"/>
      <c r="BZ394" s="647"/>
      <c r="CA394" s="647"/>
      <c r="CB394" s="647"/>
      <c r="CC394" s="647"/>
      <c r="CD394" s="647"/>
      <c r="CE394" s="647"/>
      <c r="CF394" s="647"/>
      <c r="CG394" s="647"/>
      <c r="CH394" s="647"/>
      <c r="CI394" s="647"/>
      <c r="FK394" s="714"/>
      <c r="FL394" s="714"/>
    </row>
    <row r="395" spans="4:168" s="640" customFormat="1" hidden="1">
      <c r="D395" s="641"/>
      <c r="G395" s="642"/>
      <c r="J395" s="642"/>
      <c r="K395" s="643"/>
      <c r="M395" s="644"/>
      <c r="N395" s="642"/>
      <c r="Q395" s="642"/>
      <c r="T395" s="642"/>
      <c r="U395" s="643"/>
      <c r="X395" s="645"/>
      <c r="Y395" s="646"/>
      <c r="Z395" s="673"/>
      <c r="AA395" s="646"/>
      <c r="AB395" s="646"/>
      <c r="AC395" s="646"/>
      <c r="AD395" s="646"/>
      <c r="AE395" s="646"/>
      <c r="AF395" s="646"/>
      <c r="AG395" s="646"/>
      <c r="AH395" s="646"/>
      <c r="AI395" s="646"/>
      <c r="AJ395" s="646"/>
      <c r="AK395" s="646"/>
      <c r="AL395" s="646"/>
      <c r="AM395" s="646"/>
      <c r="AN395" s="646"/>
      <c r="AO395" s="646"/>
      <c r="AP395" s="646"/>
      <c r="AQ395" s="646"/>
      <c r="AR395" s="646"/>
      <c r="AS395" s="646"/>
      <c r="AT395" s="646"/>
      <c r="AU395" s="646"/>
      <c r="AV395" s="646"/>
      <c r="AW395" s="646"/>
      <c r="AX395" s="646"/>
      <c r="AY395" s="646"/>
      <c r="AZ395" s="646"/>
      <c r="BA395" s="646"/>
      <c r="BB395" s="646"/>
      <c r="BC395" s="646"/>
      <c r="BD395" s="646"/>
      <c r="BE395" s="646"/>
      <c r="BF395" s="646"/>
      <c r="BG395" s="646"/>
      <c r="BH395" s="646"/>
      <c r="BI395" s="646"/>
      <c r="BJ395" s="646"/>
      <c r="BK395" s="646"/>
      <c r="BL395" s="646"/>
      <c r="BM395" s="646"/>
      <c r="BN395" s="646"/>
      <c r="BO395" s="646"/>
      <c r="BP395" s="646"/>
      <c r="BQ395" s="646"/>
      <c r="BR395" s="645"/>
      <c r="BS395" s="645"/>
      <c r="BT395" s="645"/>
      <c r="BU395" s="645"/>
      <c r="BV395" s="646"/>
      <c r="BW395" s="647"/>
      <c r="BX395" s="647"/>
      <c r="BY395" s="647"/>
      <c r="BZ395" s="647"/>
      <c r="CA395" s="647"/>
      <c r="CB395" s="647"/>
      <c r="CC395" s="647"/>
      <c r="CD395" s="647"/>
      <c r="CE395" s="647"/>
      <c r="CF395" s="647"/>
      <c r="CG395" s="647"/>
      <c r="CH395" s="647"/>
      <c r="CI395" s="647"/>
      <c r="FK395" s="714"/>
      <c r="FL395" s="714"/>
    </row>
    <row r="396" spans="4:168" s="640" customFormat="1" hidden="1">
      <c r="D396" s="641"/>
      <c r="G396" s="642"/>
      <c r="J396" s="642"/>
      <c r="K396" s="643"/>
      <c r="M396" s="644"/>
      <c r="N396" s="642"/>
      <c r="Q396" s="642"/>
      <c r="T396" s="642"/>
      <c r="U396" s="643"/>
      <c r="X396" s="645"/>
      <c r="Y396" s="646"/>
      <c r="Z396" s="673"/>
      <c r="AA396" s="646"/>
      <c r="AB396" s="646"/>
      <c r="AC396" s="646"/>
      <c r="AD396" s="646"/>
      <c r="AE396" s="646"/>
      <c r="AF396" s="646"/>
      <c r="AG396" s="646"/>
      <c r="AH396" s="646"/>
      <c r="AI396" s="646"/>
      <c r="AJ396" s="646"/>
      <c r="AK396" s="646"/>
      <c r="AL396" s="646"/>
      <c r="AM396" s="646"/>
      <c r="AN396" s="646"/>
      <c r="AO396" s="646"/>
      <c r="AP396" s="646"/>
      <c r="AQ396" s="646"/>
      <c r="AR396" s="646"/>
      <c r="AS396" s="646"/>
      <c r="AT396" s="646"/>
      <c r="AU396" s="646"/>
      <c r="AV396" s="646"/>
      <c r="AW396" s="646"/>
      <c r="AX396" s="646"/>
      <c r="AY396" s="646"/>
      <c r="AZ396" s="646"/>
      <c r="BA396" s="646"/>
      <c r="BB396" s="646"/>
      <c r="BC396" s="646"/>
      <c r="BD396" s="646"/>
      <c r="BE396" s="646"/>
      <c r="BF396" s="646"/>
      <c r="BG396" s="646"/>
      <c r="BH396" s="646"/>
      <c r="BI396" s="646"/>
      <c r="BJ396" s="646"/>
      <c r="BK396" s="646"/>
      <c r="BL396" s="646"/>
      <c r="BM396" s="646"/>
      <c r="BN396" s="646"/>
      <c r="BO396" s="646"/>
      <c r="BP396" s="646"/>
      <c r="BQ396" s="646"/>
      <c r="BR396" s="645"/>
      <c r="BS396" s="645"/>
      <c r="BT396" s="645"/>
      <c r="BU396" s="645"/>
      <c r="BV396" s="646"/>
      <c r="BW396" s="647"/>
      <c r="BX396" s="647"/>
      <c r="BY396" s="647"/>
      <c r="BZ396" s="647"/>
      <c r="CA396" s="647"/>
      <c r="CB396" s="647"/>
      <c r="CC396" s="647"/>
      <c r="CD396" s="647"/>
      <c r="CE396" s="647"/>
      <c r="CF396" s="647"/>
      <c r="CG396" s="647"/>
      <c r="CH396" s="647"/>
      <c r="CI396" s="647"/>
      <c r="FK396" s="714"/>
      <c r="FL396" s="714"/>
    </row>
    <row r="397" spans="4:168" s="640" customFormat="1" hidden="1">
      <c r="D397" s="641"/>
      <c r="G397" s="642"/>
      <c r="J397" s="642"/>
      <c r="K397" s="643"/>
      <c r="M397" s="644"/>
      <c r="N397" s="642"/>
      <c r="Q397" s="642"/>
      <c r="T397" s="642"/>
      <c r="U397" s="643"/>
      <c r="X397" s="645"/>
      <c r="Y397" s="646"/>
      <c r="Z397" s="673"/>
      <c r="AA397" s="646"/>
      <c r="AB397" s="646"/>
      <c r="AC397" s="646"/>
      <c r="AD397" s="646"/>
      <c r="AE397" s="646"/>
      <c r="AF397" s="646"/>
      <c r="AG397" s="646"/>
      <c r="AH397" s="646"/>
      <c r="AI397" s="646"/>
      <c r="AJ397" s="646"/>
      <c r="AK397" s="646"/>
      <c r="AL397" s="646"/>
      <c r="AM397" s="646"/>
      <c r="AN397" s="646"/>
      <c r="AO397" s="646"/>
      <c r="AP397" s="646"/>
      <c r="AQ397" s="646"/>
      <c r="AR397" s="646"/>
      <c r="AS397" s="646"/>
      <c r="AT397" s="646"/>
      <c r="AU397" s="646"/>
      <c r="AV397" s="646"/>
      <c r="AW397" s="646"/>
      <c r="AX397" s="646"/>
      <c r="AY397" s="646"/>
      <c r="AZ397" s="646"/>
      <c r="BA397" s="646"/>
      <c r="BB397" s="646"/>
      <c r="BC397" s="646"/>
      <c r="BD397" s="646"/>
      <c r="BE397" s="646"/>
      <c r="BF397" s="646"/>
      <c r="BG397" s="646"/>
      <c r="BH397" s="646"/>
      <c r="BI397" s="646"/>
      <c r="BJ397" s="646"/>
      <c r="BK397" s="646"/>
      <c r="BL397" s="646"/>
      <c r="BM397" s="646"/>
      <c r="BN397" s="646"/>
      <c r="BO397" s="646"/>
      <c r="BP397" s="646"/>
      <c r="BQ397" s="646"/>
      <c r="BR397" s="645"/>
      <c r="BS397" s="645"/>
      <c r="BT397" s="645"/>
      <c r="BU397" s="645"/>
      <c r="BV397" s="646"/>
      <c r="BW397" s="647"/>
      <c r="BX397" s="647"/>
      <c r="BY397" s="647"/>
      <c r="BZ397" s="647"/>
      <c r="CA397" s="647"/>
      <c r="CB397" s="647"/>
      <c r="CC397" s="647"/>
      <c r="CD397" s="647"/>
      <c r="CE397" s="647"/>
      <c r="CF397" s="647"/>
      <c r="CG397" s="647"/>
      <c r="CH397" s="647"/>
      <c r="CI397" s="647"/>
      <c r="FK397" s="714"/>
      <c r="FL397" s="714"/>
    </row>
    <row r="398" spans="4:168" s="640" customFormat="1" hidden="1">
      <c r="D398" s="641"/>
      <c r="G398" s="642"/>
      <c r="J398" s="642"/>
      <c r="K398" s="643"/>
      <c r="M398" s="644"/>
      <c r="N398" s="642"/>
      <c r="Q398" s="642"/>
      <c r="T398" s="642"/>
      <c r="U398" s="643"/>
      <c r="X398" s="645"/>
      <c r="Y398" s="646"/>
      <c r="Z398" s="673"/>
      <c r="AA398" s="646"/>
      <c r="AB398" s="646"/>
      <c r="AC398" s="646"/>
      <c r="AD398" s="646"/>
      <c r="AE398" s="646"/>
      <c r="AF398" s="646"/>
      <c r="AG398" s="646"/>
      <c r="AH398" s="646"/>
      <c r="AI398" s="646"/>
      <c r="AJ398" s="646"/>
      <c r="AK398" s="646"/>
      <c r="AL398" s="646"/>
      <c r="AM398" s="646"/>
      <c r="AN398" s="646"/>
      <c r="AO398" s="646"/>
      <c r="AP398" s="646"/>
      <c r="AQ398" s="646"/>
      <c r="AR398" s="646"/>
      <c r="AS398" s="646"/>
      <c r="AT398" s="646"/>
      <c r="AU398" s="646"/>
      <c r="AV398" s="646"/>
      <c r="AW398" s="646"/>
      <c r="AX398" s="646"/>
      <c r="AY398" s="646"/>
      <c r="AZ398" s="646"/>
      <c r="BA398" s="646"/>
      <c r="BB398" s="646"/>
      <c r="BC398" s="646"/>
      <c r="BD398" s="646"/>
      <c r="BE398" s="646"/>
      <c r="BF398" s="646"/>
      <c r="BG398" s="646"/>
      <c r="BH398" s="646"/>
      <c r="BI398" s="646"/>
      <c r="BJ398" s="646"/>
      <c r="BK398" s="646"/>
      <c r="BL398" s="646"/>
      <c r="BM398" s="646"/>
      <c r="BN398" s="646"/>
      <c r="BO398" s="646"/>
      <c r="BP398" s="646"/>
      <c r="BQ398" s="646"/>
      <c r="BR398" s="645"/>
      <c r="BS398" s="645"/>
      <c r="BT398" s="645"/>
      <c r="BU398" s="645"/>
      <c r="BV398" s="646"/>
      <c r="BW398" s="647"/>
      <c r="BX398" s="647"/>
      <c r="BY398" s="647"/>
      <c r="BZ398" s="647"/>
      <c r="CA398" s="647"/>
      <c r="CB398" s="647"/>
      <c r="CC398" s="647"/>
      <c r="CD398" s="647"/>
      <c r="CE398" s="647"/>
      <c r="CF398" s="647"/>
      <c r="CG398" s="647"/>
      <c r="CH398" s="647"/>
      <c r="CI398" s="647"/>
      <c r="FK398" s="714"/>
      <c r="FL398" s="714"/>
    </row>
    <row r="399" spans="4:168" s="640" customFormat="1" hidden="1">
      <c r="D399" s="641"/>
      <c r="G399" s="642"/>
      <c r="J399" s="642"/>
      <c r="K399" s="643"/>
      <c r="M399" s="644"/>
      <c r="N399" s="642"/>
      <c r="Q399" s="642"/>
      <c r="T399" s="642"/>
      <c r="U399" s="643"/>
      <c r="X399" s="645"/>
      <c r="Y399" s="646"/>
      <c r="Z399" s="673"/>
      <c r="AA399" s="646"/>
      <c r="AB399" s="646"/>
      <c r="AC399" s="646"/>
      <c r="AD399" s="646"/>
      <c r="AE399" s="646"/>
      <c r="AF399" s="646"/>
      <c r="AG399" s="646"/>
      <c r="AH399" s="646"/>
      <c r="AI399" s="646"/>
      <c r="AJ399" s="646"/>
      <c r="AK399" s="646"/>
      <c r="AL399" s="646"/>
      <c r="AM399" s="646"/>
      <c r="AN399" s="646"/>
      <c r="AO399" s="646"/>
      <c r="AP399" s="646"/>
      <c r="AQ399" s="646"/>
      <c r="AR399" s="646"/>
      <c r="AS399" s="646"/>
      <c r="AT399" s="646"/>
      <c r="AU399" s="646"/>
      <c r="AV399" s="646"/>
      <c r="AW399" s="646"/>
      <c r="AX399" s="646"/>
      <c r="AY399" s="646"/>
      <c r="AZ399" s="646"/>
      <c r="BA399" s="646"/>
      <c r="BB399" s="646"/>
      <c r="BC399" s="646"/>
      <c r="BD399" s="646"/>
      <c r="BE399" s="646"/>
      <c r="BF399" s="646"/>
      <c r="BG399" s="646"/>
      <c r="BH399" s="646"/>
      <c r="BI399" s="646"/>
      <c r="BJ399" s="646"/>
      <c r="BK399" s="646"/>
      <c r="BL399" s="646"/>
      <c r="BM399" s="646"/>
      <c r="BN399" s="646"/>
      <c r="BO399" s="646"/>
      <c r="BP399" s="646"/>
      <c r="BQ399" s="646"/>
      <c r="BR399" s="645"/>
      <c r="BS399" s="645"/>
      <c r="BT399" s="645"/>
      <c r="BU399" s="645"/>
      <c r="BV399" s="646"/>
      <c r="BW399" s="647"/>
      <c r="BX399" s="647"/>
      <c r="BY399" s="647"/>
      <c r="BZ399" s="647"/>
      <c r="CA399" s="647"/>
      <c r="CB399" s="647"/>
      <c r="CC399" s="647"/>
      <c r="CD399" s="647"/>
      <c r="CE399" s="647"/>
      <c r="CF399" s="647"/>
      <c r="CG399" s="647"/>
      <c r="CH399" s="647"/>
      <c r="CI399" s="647"/>
      <c r="FK399" s="714"/>
      <c r="FL399" s="714"/>
    </row>
    <row r="400" spans="4:168" s="640" customFormat="1" hidden="1">
      <c r="D400" s="641"/>
      <c r="G400" s="642"/>
      <c r="J400" s="642"/>
      <c r="K400" s="643"/>
      <c r="M400" s="644"/>
      <c r="N400" s="642"/>
      <c r="Q400" s="642"/>
      <c r="T400" s="642"/>
      <c r="U400" s="643"/>
      <c r="X400" s="645"/>
      <c r="Y400" s="646"/>
      <c r="Z400" s="673"/>
      <c r="AA400" s="646"/>
      <c r="AB400" s="646"/>
      <c r="AC400" s="646"/>
      <c r="AD400" s="646"/>
      <c r="AE400" s="646"/>
      <c r="AF400" s="646"/>
      <c r="AG400" s="646"/>
      <c r="AH400" s="646"/>
      <c r="AI400" s="646"/>
      <c r="AJ400" s="646"/>
      <c r="AK400" s="646"/>
      <c r="AL400" s="646"/>
      <c r="AM400" s="646"/>
      <c r="AN400" s="646"/>
      <c r="AO400" s="646"/>
      <c r="AP400" s="646"/>
      <c r="AQ400" s="646"/>
      <c r="AR400" s="646"/>
      <c r="AS400" s="646"/>
      <c r="AT400" s="646"/>
      <c r="AU400" s="646"/>
      <c r="AV400" s="646"/>
      <c r="AW400" s="646"/>
      <c r="AX400" s="646"/>
      <c r="AY400" s="646"/>
      <c r="AZ400" s="646"/>
      <c r="BA400" s="646"/>
      <c r="BB400" s="646"/>
      <c r="BC400" s="646"/>
      <c r="BD400" s="646"/>
      <c r="BE400" s="646"/>
      <c r="BF400" s="646"/>
      <c r="BG400" s="646"/>
      <c r="BH400" s="646"/>
      <c r="BI400" s="646"/>
      <c r="BJ400" s="646"/>
      <c r="BK400" s="646"/>
      <c r="BL400" s="646"/>
      <c r="BM400" s="646"/>
      <c r="BN400" s="646"/>
      <c r="BO400" s="646"/>
      <c r="BP400" s="646"/>
      <c r="BQ400" s="646"/>
      <c r="BR400" s="645"/>
      <c r="BS400" s="645"/>
      <c r="BT400" s="645"/>
      <c r="BU400" s="645"/>
      <c r="BV400" s="646"/>
      <c r="BW400" s="647"/>
      <c r="BX400" s="647"/>
      <c r="BY400" s="647"/>
      <c r="BZ400" s="647"/>
      <c r="CA400" s="647"/>
      <c r="CB400" s="647"/>
      <c r="CC400" s="647"/>
      <c r="CD400" s="647"/>
      <c r="CE400" s="647"/>
      <c r="CF400" s="647"/>
      <c r="CG400" s="647"/>
      <c r="CH400" s="647"/>
      <c r="CI400" s="647"/>
      <c r="FK400" s="714"/>
      <c r="FL400" s="714"/>
    </row>
    <row r="401" spans="4:168" s="640" customFormat="1" hidden="1">
      <c r="D401" s="641"/>
      <c r="G401" s="642"/>
      <c r="J401" s="642"/>
      <c r="K401" s="643"/>
      <c r="M401" s="644"/>
      <c r="N401" s="642"/>
      <c r="Q401" s="642"/>
      <c r="T401" s="642"/>
      <c r="U401" s="643"/>
      <c r="X401" s="645"/>
      <c r="Y401" s="646"/>
      <c r="Z401" s="673"/>
      <c r="AA401" s="646"/>
      <c r="AB401" s="646"/>
      <c r="AC401" s="646"/>
      <c r="AD401" s="646"/>
      <c r="AE401" s="646"/>
      <c r="AF401" s="646"/>
      <c r="AG401" s="646"/>
      <c r="AH401" s="646"/>
      <c r="AI401" s="646"/>
      <c r="AJ401" s="646"/>
      <c r="AK401" s="646"/>
      <c r="AL401" s="646"/>
      <c r="AM401" s="646"/>
      <c r="AN401" s="646"/>
      <c r="AO401" s="646"/>
      <c r="AP401" s="646"/>
      <c r="AQ401" s="646"/>
      <c r="AR401" s="646"/>
      <c r="AS401" s="646"/>
      <c r="AT401" s="646"/>
      <c r="AU401" s="646"/>
      <c r="AV401" s="646"/>
      <c r="AW401" s="646"/>
      <c r="AX401" s="646"/>
      <c r="AY401" s="646"/>
      <c r="AZ401" s="646"/>
      <c r="BA401" s="646"/>
      <c r="BB401" s="646"/>
      <c r="BC401" s="646"/>
      <c r="BD401" s="646"/>
      <c r="BE401" s="646"/>
      <c r="BF401" s="646"/>
      <c r="BG401" s="646"/>
      <c r="BH401" s="646"/>
      <c r="BI401" s="646"/>
      <c r="BJ401" s="646"/>
      <c r="BK401" s="646"/>
      <c r="BL401" s="646"/>
      <c r="BM401" s="646"/>
      <c r="BN401" s="646"/>
      <c r="BO401" s="646"/>
      <c r="BP401" s="646"/>
      <c r="BQ401" s="646"/>
      <c r="BR401" s="645"/>
      <c r="BS401" s="645"/>
      <c r="BT401" s="645"/>
      <c r="BU401" s="645"/>
      <c r="BV401" s="646"/>
      <c r="BW401" s="647"/>
      <c r="BX401" s="647"/>
      <c r="BY401" s="647"/>
      <c r="BZ401" s="647"/>
      <c r="CA401" s="647"/>
      <c r="CB401" s="647"/>
      <c r="CC401" s="647"/>
      <c r="CD401" s="647"/>
      <c r="CE401" s="647"/>
      <c r="CF401" s="647"/>
      <c r="CG401" s="647"/>
      <c r="CH401" s="647"/>
      <c r="CI401" s="647"/>
      <c r="FK401" s="714"/>
      <c r="FL401" s="714"/>
    </row>
    <row r="402" spans="4:168" s="640" customFormat="1" hidden="1">
      <c r="D402" s="641"/>
      <c r="G402" s="642"/>
      <c r="J402" s="642"/>
      <c r="K402" s="643"/>
      <c r="M402" s="644"/>
      <c r="N402" s="642"/>
      <c r="Q402" s="642"/>
      <c r="T402" s="642"/>
      <c r="U402" s="643"/>
      <c r="X402" s="645"/>
      <c r="Y402" s="646"/>
      <c r="Z402" s="673"/>
      <c r="AA402" s="646"/>
      <c r="AB402" s="646"/>
      <c r="AC402" s="646"/>
      <c r="AD402" s="646"/>
      <c r="AE402" s="646"/>
      <c r="AF402" s="646"/>
      <c r="AG402" s="646"/>
      <c r="AH402" s="646"/>
      <c r="AI402" s="646"/>
      <c r="AJ402" s="646"/>
      <c r="AK402" s="646"/>
      <c r="AL402" s="646"/>
      <c r="AM402" s="646"/>
      <c r="AN402" s="646"/>
      <c r="AO402" s="646"/>
      <c r="AP402" s="646"/>
      <c r="AQ402" s="646"/>
      <c r="AR402" s="646"/>
      <c r="AS402" s="646"/>
      <c r="AT402" s="646"/>
      <c r="AU402" s="646"/>
      <c r="AV402" s="646"/>
      <c r="AW402" s="646"/>
      <c r="AX402" s="646"/>
      <c r="AY402" s="646"/>
      <c r="AZ402" s="646"/>
      <c r="BA402" s="646"/>
      <c r="BB402" s="646"/>
      <c r="BC402" s="646"/>
      <c r="BD402" s="646"/>
      <c r="BE402" s="646"/>
      <c r="BF402" s="646"/>
      <c r="BG402" s="646"/>
      <c r="BH402" s="646"/>
      <c r="BI402" s="646"/>
      <c r="BJ402" s="646"/>
      <c r="BK402" s="646"/>
      <c r="BL402" s="646"/>
      <c r="BM402" s="646"/>
      <c r="BN402" s="646"/>
      <c r="BO402" s="646"/>
      <c r="BP402" s="646"/>
      <c r="BQ402" s="646"/>
      <c r="BR402" s="645"/>
      <c r="BS402" s="645"/>
      <c r="BT402" s="645"/>
      <c r="BU402" s="645"/>
      <c r="BV402" s="646"/>
      <c r="BW402" s="647"/>
      <c r="BX402" s="647"/>
      <c r="BY402" s="647"/>
      <c r="BZ402" s="647"/>
      <c r="CA402" s="647"/>
      <c r="CB402" s="647"/>
      <c r="CC402" s="647"/>
      <c r="CD402" s="647"/>
      <c r="CE402" s="647"/>
      <c r="CF402" s="647"/>
      <c r="CG402" s="647"/>
      <c r="CH402" s="647"/>
      <c r="CI402" s="647"/>
      <c r="FK402" s="714"/>
      <c r="FL402" s="714"/>
    </row>
    <row r="403" spans="4:168" s="640" customFormat="1" hidden="1">
      <c r="D403" s="641"/>
      <c r="G403" s="642"/>
      <c r="J403" s="642"/>
      <c r="K403" s="643"/>
      <c r="M403" s="644"/>
      <c r="N403" s="642"/>
      <c r="Q403" s="642"/>
      <c r="T403" s="642"/>
      <c r="U403" s="643"/>
      <c r="X403" s="645"/>
      <c r="Y403" s="646"/>
      <c r="Z403" s="673"/>
      <c r="AA403" s="646"/>
      <c r="AB403" s="646"/>
      <c r="AC403" s="646"/>
      <c r="AD403" s="646"/>
      <c r="AE403" s="646"/>
      <c r="AF403" s="646"/>
      <c r="AG403" s="646"/>
      <c r="AH403" s="646"/>
      <c r="AI403" s="646"/>
      <c r="AJ403" s="646"/>
      <c r="AK403" s="646"/>
      <c r="AL403" s="646"/>
      <c r="AM403" s="646"/>
      <c r="AN403" s="646"/>
      <c r="AO403" s="646"/>
      <c r="AP403" s="646"/>
      <c r="AQ403" s="646"/>
      <c r="AR403" s="646"/>
      <c r="AS403" s="646"/>
      <c r="AT403" s="646"/>
      <c r="AU403" s="646"/>
      <c r="AV403" s="646"/>
      <c r="AW403" s="646"/>
      <c r="AX403" s="646"/>
      <c r="AY403" s="646"/>
      <c r="AZ403" s="646"/>
      <c r="BA403" s="646"/>
      <c r="BB403" s="646"/>
      <c r="BC403" s="646"/>
      <c r="BD403" s="646"/>
      <c r="BE403" s="646"/>
      <c r="BF403" s="646"/>
      <c r="BG403" s="646"/>
      <c r="BH403" s="646"/>
      <c r="BI403" s="646"/>
      <c r="BJ403" s="646"/>
      <c r="BK403" s="646"/>
      <c r="BL403" s="646"/>
      <c r="BM403" s="646"/>
      <c r="BN403" s="646"/>
      <c r="BO403" s="646"/>
      <c r="BP403" s="646"/>
      <c r="BQ403" s="646"/>
      <c r="BR403" s="645"/>
      <c r="BS403" s="645"/>
      <c r="BT403" s="645"/>
      <c r="BU403" s="645"/>
      <c r="BV403" s="646"/>
      <c r="BW403" s="647"/>
      <c r="BX403" s="647"/>
      <c r="BY403" s="647"/>
      <c r="BZ403" s="647"/>
      <c r="CA403" s="647"/>
      <c r="CB403" s="647"/>
      <c r="CC403" s="647"/>
      <c r="CD403" s="647"/>
      <c r="CE403" s="647"/>
      <c r="CF403" s="647"/>
      <c r="CG403" s="647"/>
      <c r="CH403" s="647"/>
      <c r="CI403" s="647"/>
      <c r="FK403" s="714"/>
      <c r="FL403" s="714"/>
    </row>
    <row r="404" spans="4:168" s="640" customFormat="1" hidden="1">
      <c r="D404" s="641"/>
      <c r="G404" s="642"/>
      <c r="J404" s="642"/>
      <c r="K404" s="643"/>
      <c r="M404" s="644"/>
      <c r="N404" s="642"/>
      <c r="Q404" s="642"/>
      <c r="T404" s="642"/>
      <c r="U404" s="643"/>
      <c r="X404" s="645"/>
      <c r="Y404" s="646"/>
      <c r="Z404" s="673"/>
      <c r="AA404" s="646"/>
      <c r="AB404" s="646"/>
      <c r="AC404" s="646"/>
      <c r="AD404" s="646"/>
      <c r="AE404" s="646"/>
      <c r="AF404" s="646"/>
      <c r="AG404" s="646"/>
      <c r="AH404" s="646"/>
      <c r="AI404" s="646"/>
      <c r="AJ404" s="646"/>
      <c r="AK404" s="646"/>
      <c r="AL404" s="646"/>
      <c r="AM404" s="646"/>
      <c r="AN404" s="646"/>
      <c r="AO404" s="646"/>
      <c r="AP404" s="646"/>
      <c r="AQ404" s="646"/>
      <c r="AR404" s="646"/>
      <c r="AS404" s="646"/>
      <c r="AT404" s="646"/>
      <c r="AU404" s="646"/>
      <c r="AV404" s="646"/>
      <c r="AW404" s="646"/>
      <c r="AX404" s="646"/>
      <c r="AY404" s="646"/>
      <c r="AZ404" s="646"/>
      <c r="BA404" s="646"/>
      <c r="BB404" s="646"/>
      <c r="BC404" s="646"/>
      <c r="BD404" s="646"/>
      <c r="BE404" s="646"/>
      <c r="BF404" s="646"/>
      <c r="BG404" s="646"/>
      <c r="BH404" s="646"/>
      <c r="BI404" s="646"/>
      <c r="BJ404" s="646"/>
      <c r="BK404" s="646"/>
      <c r="BL404" s="646"/>
      <c r="BM404" s="646"/>
      <c r="BN404" s="646"/>
      <c r="BO404" s="646"/>
      <c r="BP404" s="646"/>
      <c r="BQ404" s="646"/>
      <c r="BR404" s="645"/>
      <c r="BS404" s="645"/>
      <c r="BT404" s="645"/>
      <c r="BU404" s="645"/>
      <c r="BV404" s="646"/>
      <c r="BW404" s="647"/>
      <c r="BX404" s="647"/>
      <c r="BY404" s="647"/>
      <c r="BZ404" s="647"/>
      <c r="CA404" s="647"/>
      <c r="CB404" s="647"/>
      <c r="CC404" s="647"/>
      <c r="CD404" s="647"/>
      <c r="CE404" s="647"/>
      <c r="CF404" s="647"/>
      <c r="CG404" s="647"/>
      <c r="CH404" s="647"/>
      <c r="CI404" s="647"/>
      <c r="FK404" s="714"/>
      <c r="FL404" s="714"/>
    </row>
    <row r="405" spans="4:168" s="640" customFormat="1" hidden="1">
      <c r="D405" s="641"/>
      <c r="G405" s="642"/>
      <c r="J405" s="642"/>
      <c r="K405" s="643"/>
      <c r="M405" s="644"/>
      <c r="N405" s="642"/>
      <c r="Q405" s="642"/>
      <c r="T405" s="642"/>
      <c r="U405" s="643"/>
      <c r="X405" s="645"/>
      <c r="Y405" s="646"/>
      <c r="Z405" s="673"/>
      <c r="AA405" s="646"/>
      <c r="AB405" s="646"/>
      <c r="AC405" s="646"/>
      <c r="AD405" s="646"/>
      <c r="AE405" s="646"/>
      <c r="AF405" s="646"/>
      <c r="AG405" s="646"/>
      <c r="AH405" s="646"/>
      <c r="AI405" s="646"/>
      <c r="AJ405" s="646"/>
      <c r="AK405" s="646"/>
      <c r="AL405" s="646"/>
      <c r="AM405" s="646"/>
      <c r="AN405" s="646"/>
      <c r="AO405" s="646"/>
      <c r="AP405" s="646"/>
      <c r="AQ405" s="646"/>
      <c r="AR405" s="646"/>
      <c r="AS405" s="646"/>
      <c r="AT405" s="646"/>
      <c r="AU405" s="646"/>
      <c r="AV405" s="646"/>
      <c r="AW405" s="646"/>
      <c r="AX405" s="646"/>
      <c r="AY405" s="646"/>
      <c r="AZ405" s="646"/>
      <c r="BA405" s="646"/>
      <c r="BB405" s="646"/>
      <c r="BC405" s="646"/>
      <c r="BD405" s="646"/>
      <c r="BE405" s="646"/>
      <c r="BF405" s="646"/>
      <c r="BG405" s="646"/>
      <c r="BH405" s="646"/>
      <c r="BI405" s="646"/>
      <c r="BJ405" s="646"/>
      <c r="BK405" s="646"/>
      <c r="BL405" s="646"/>
      <c r="BM405" s="646"/>
      <c r="BN405" s="646"/>
      <c r="BO405" s="646"/>
      <c r="BP405" s="646"/>
      <c r="BQ405" s="646"/>
      <c r="BR405" s="645"/>
      <c r="BS405" s="645"/>
      <c r="BT405" s="645"/>
      <c r="BU405" s="645"/>
      <c r="BV405" s="646"/>
      <c r="BW405" s="647"/>
      <c r="BX405" s="647"/>
      <c r="BY405" s="647"/>
      <c r="BZ405" s="647"/>
      <c r="CA405" s="647"/>
      <c r="CB405" s="647"/>
      <c r="CC405" s="647"/>
      <c r="CD405" s="647"/>
      <c r="CE405" s="647"/>
      <c r="CF405" s="647"/>
      <c r="CG405" s="647"/>
      <c r="CH405" s="647"/>
      <c r="CI405" s="647"/>
      <c r="FK405" s="714"/>
      <c r="FL405" s="714"/>
    </row>
    <row r="406" spans="4:168" s="640" customFormat="1" hidden="1">
      <c r="D406" s="641"/>
      <c r="G406" s="642"/>
      <c r="J406" s="642"/>
      <c r="K406" s="643"/>
      <c r="M406" s="644"/>
      <c r="N406" s="642"/>
      <c r="Q406" s="642"/>
      <c r="T406" s="642"/>
      <c r="U406" s="643"/>
      <c r="X406" s="645"/>
      <c r="Y406" s="646"/>
      <c r="Z406" s="673"/>
      <c r="AA406" s="646"/>
      <c r="AB406" s="646"/>
      <c r="AC406" s="646"/>
      <c r="AD406" s="646"/>
      <c r="AE406" s="646"/>
      <c r="AF406" s="646"/>
      <c r="AG406" s="646"/>
      <c r="AH406" s="646"/>
      <c r="AI406" s="646"/>
      <c r="AJ406" s="646"/>
      <c r="AK406" s="646"/>
      <c r="AL406" s="646"/>
      <c r="AM406" s="646"/>
      <c r="AN406" s="646"/>
      <c r="AO406" s="646"/>
      <c r="AP406" s="646"/>
      <c r="AQ406" s="646"/>
      <c r="AR406" s="646"/>
      <c r="AS406" s="646"/>
      <c r="AT406" s="646"/>
      <c r="AU406" s="646"/>
      <c r="AV406" s="646"/>
      <c r="AW406" s="646"/>
      <c r="AX406" s="646"/>
      <c r="AY406" s="646"/>
      <c r="AZ406" s="646"/>
      <c r="BA406" s="646"/>
      <c r="BB406" s="646"/>
      <c r="BC406" s="646"/>
      <c r="BD406" s="646"/>
      <c r="BE406" s="646"/>
      <c r="BF406" s="646"/>
      <c r="BG406" s="646"/>
      <c r="BH406" s="646"/>
      <c r="BI406" s="646"/>
      <c r="BJ406" s="646"/>
      <c r="BK406" s="646"/>
      <c r="BL406" s="646"/>
      <c r="BM406" s="646"/>
      <c r="BN406" s="646"/>
      <c r="BO406" s="646"/>
      <c r="BP406" s="646"/>
      <c r="BQ406" s="646"/>
      <c r="BR406" s="645"/>
      <c r="BS406" s="645"/>
      <c r="BT406" s="645"/>
      <c r="BU406" s="645"/>
      <c r="BV406" s="646"/>
      <c r="BW406" s="647"/>
      <c r="BX406" s="647"/>
      <c r="BY406" s="647"/>
      <c r="BZ406" s="647"/>
      <c r="CA406" s="647"/>
      <c r="CB406" s="647"/>
      <c r="CC406" s="647"/>
      <c r="CD406" s="647"/>
      <c r="CE406" s="647"/>
      <c r="CF406" s="647"/>
      <c r="CG406" s="647"/>
      <c r="CH406" s="647"/>
      <c r="CI406" s="647"/>
      <c r="FK406" s="714"/>
      <c r="FL406" s="714"/>
    </row>
    <row r="407" spans="4:168" s="640" customFormat="1" hidden="1">
      <c r="D407" s="641"/>
      <c r="G407" s="642"/>
      <c r="J407" s="642"/>
      <c r="K407" s="643"/>
      <c r="M407" s="644"/>
      <c r="N407" s="642"/>
      <c r="Q407" s="642"/>
      <c r="T407" s="642"/>
      <c r="U407" s="643"/>
      <c r="X407" s="645"/>
      <c r="Y407" s="646"/>
      <c r="Z407" s="673"/>
      <c r="AA407" s="646"/>
      <c r="AB407" s="646"/>
      <c r="AC407" s="646"/>
      <c r="AD407" s="646"/>
      <c r="AE407" s="646"/>
      <c r="AF407" s="646"/>
      <c r="AG407" s="646"/>
      <c r="AH407" s="646"/>
      <c r="AI407" s="646"/>
      <c r="AJ407" s="646"/>
      <c r="AK407" s="646"/>
      <c r="AL407" s="646"/>
      <c r="AM407" s="646"/>
      <c r="AN407" s="646"/>
      <c r="AO407" s="646"/>
      <c r="AP407" s="646"/>
      <c r="AQ407" s="646"/>
      <c r="AR407" s="646"/>
      <c r="AS407" s="646"/>
      <c r="AT407" s="646"/>
      <c r="AU407" s="646"/>
      <c r="AV407" s="646"/>
      <c r="AW407" s="646"/>
      <c r="AX407" s="646"/>
      <c r="AY407" s="646"/>
      <c r="AZ407" s="646"/>
      <c r="BA407" s="646"/>
      <c r="BB407" s="646"/>
      <c r="BC407" s="646"/>
      <c r="BD407" s="646"/>
      <c r="BE407" s="646"/>
      <c r="BF407" s="646"/>
      <c r="BG407" s="646"/>
      <c r="BH407" s="646"/>
      <c r="BI407" s="646"/>
      <c r="BJ407" s="646"/>
      <c r="BK407" s="646"/>
      <c r="BL407" s="646"/>
      <c r="BM407" s="646"/>
      <c r="BN407" s="646"/>
      <c r="BO407" s="646"/>
      <c r="BP407" s="646"/>
      <c r="BQ407" s="646"/>
      <c r="BR407" s="645"/>
      <c r="BS407" s="645"/>
      <c r="BT407" s="645"/>
      <c r="BU407" s="645"/>
      <c r="BV407" s="646"/>
      <c r="BW407" s="647"/>
      <c r="BX407" s="647"/>
      <c r="BY407" s="647"/>
      <c r="BZ407" s="647"/>
      <c r="CA407" s="647"/>
      <c r="CB407" s="647"/>
      <c r="CC407" s="647"/>
      <c r="CD407" s="647"/>
      <c r="CE407" s="647"/>
      <c r="CF407" s="647"/>
      <c r="CG407" s="647"/>
      <c r="CH407" s="647"/>
      <c r="CI407" s="647"/>
      <c r="FK407" s="714"/>
      <c r="FL407" s="714"/>
    </row>
    <row r="408" spans="4:168" s="640" customFormat="1" hidden="1">
      <c r="D408" s="641"/>
      <c r="G408" s="642"/>
      <c r="J408" s="642"/>
      <c r="K408" s="643"/>
      <c r="M408" s="644"/>
      <c r="N408" s="642"/>
      <c r="Q408" s="642"/>
      <c r="T408" s="642"/>
      <c r="U408" s="643"/>
      <c r="X408" s="645"/>
      <c r="Y408" s="646"/>
      <c r="Z408" s="673"/>
      <c r="AA408" s="646"/>
      <c r="AB408" s="646"/>
      <c r="AC408" s="646"/>
      <c r="AD408" s="646"/>
      <c r="AE408" s="646"/>
      <c r="AF408" s="646"/>
      <c r="AG408" s="646"/>
      <c r="AH408" s="646"/>
      <c r="AI408" s="646"/>
      <c r="AJ408" s="646"/>
      <c r="AK408" s="646"/>
      <c r="AL408" s="646"/>
      <c r="AM408" s="646"/>
      <c r="AN408" s="646"/>
      <c r="AO408" s="646"/>
      <c r="AP408" s="646"/>
      <c r="AQ408" s="646"/>
      <c r="AR408" s="646"/>
      <c r="AS408" s="646"/>
      <c r="AT408" s="646"/>
      <c r="AU408" s="646"/>
      <c r="AV408" s="646"/>
      <c r="AW408" s="646"/>
      <c r="AX408" s="646"/>
      <c r="AY408" s="646"/>
      <c r="AZ408" s="646"/>
      <c r="BA408" s="646"/>
      <c r="BB408" s="646"/>
      <c r="BC408" s="646"/>
      <c r="BD408" s="646"/>
      <c r="BE408" s="646"/>
      <c r="BF408" s="646"/>
      <c r="BG408" s="646"/>
      <c r="BH408" s="646"/>
      <c r="BI408" s="646"/>
      <c r="BJ408" s="646"/>
      <c r="BK408" s="646"/>
      <c r="BL408" s="646"/>
      <c r="BM408" s="646"/>
      <c r="BN408" s="646"/>
      <c r="BO408" s="646"/>
      <c r="BP408" s="646"/>
      <c r="BQ408" s="646"/>
      <c r="BR408" s="645"/>
      <c r="BS408" s="645"/>
      <c r="BT408" s="645"/>
      <c r="BU408" s="645"/>
      <c r="BV408" s="646"/>
      <c r="BW408" s="647"/>
      <c r="BX408" s="647"/>
      <c r="BY408" s="647"/>
      <c r="BZ408" s="647"/>
      <c r="CA408" s="647"/>
      <c r="CB408" s="647"/>
      <c r="CC408" s="647"/>
      <c r="CD408" s="647"/>
      <c r="CE408" s="647"/>
      <c r="CF408" s="647"/>
      <c r="CG408" s="647"/>
      <c r="CH408" s="647"/>
      <c r="CI408" s="647"/>
      <c r="FK408" s="714"/>
      <c r="FL408" s="714"/>
    </row>
    <row r="409" spans="4:168" s="640" customFormat="1" hidden="1">
      <c r="D409" s="641"/>
      <c r="G409" s="642"/>
      <c r="J409" s="642"/>
      <c r="K409" s="643"/>
      <c r="M409" s="644"/>
      <c r="N409" s="642"/>
      <c r="Q409" s="642"/>
      <c r="T409" s="642"/>
      <c r="U409" s="643"/>
      <c r="X409" s="645"/>
      <c r="Y409" s="646"/>
      <c r="Z409" s="673"/>
      <c r="AA409" s="646"/>
      <c r="AB409" s="646"/>
      <c r="AC409" s="646"/>
      <c r="AD409" s="646"/>
      <c r="AE409" s="646"/>
      <c r="AF409" s="646"/>
      <c r="AG409" s="646"/>
      <c r="AH409" s="646"/>
      <c r="AI409" s="646"/>
      <c r="AJ409" s="646"/>
      <c r="AK409" s="646"/>
      <c r="AL409" s="646"/>
      <c r="AM409" s="646"/>
      <c r="AN409" s="646"/>
      <c r="AO409" s="646"/>
      <c r="AP409" s="646"/>
      <c r="AQ409" s="646"/>
      <c r="AR409" s="646"/>
      <c r="AS409" s="646"/>
      <c r="AT409" s="646"/>
      <c r="AU409" s="646"/>
      <c r="AV409" s="646"/>
      <c r="AW409" s="646"/>
      <c r="AX409" s="646"/>
      <c r="AY409" s="646"/>
      <c r="AZ409" s="646"/>
      <c r="BA409" s="646"/>
      <c r="BB409" s="646"/>
      <c r="BC409" s="646"/>
      <c r="BD409" s="646"/>
      <c r="BE409" s="646"/>
      <c r="BF409" s="646"/>
      <c r="BG409" s="646"/>
      <c r="BH409" s="646"/>
      <c r="BI409" s="646"/>
      <c r="BJ409" s="646"/>
      <c r="BK409" s="646"/>
      <c r="BL409" s="646"/>
      <c r="BM409" s="646"/>
      <c r="BN409" s="646"/>
      <c r="BO409" s="646"/>
      <c r="BP409" s="646"/>
      <c r="BQ409" s="646"/>
      <c r="BR409" s="645"/>
      <c r="BS409" s="645"/>
      <c r="BT409" s="645"/>
      <c r="BU409" s="645"/>
      <c r="BV409" s="646"/>
      <c r="BW409" s="647"/>
      <c r="BX409" s="647"/>
      <c r="BY409" s="647"/>
      <c r="BZ409" s="647"/>
      <c r="CA409" s="647"/>
      <c r="CB409" s="647"/>
      <c r="CC409" s="647"/>
      <c r="CD409" s="647"/>
      <c r="CE409" s="647"/>
      <c r="CF409" s="647"/>
      <c r="CG409" s="647"/>
      <c r="CH409" s="647"/>
      <c r="CI409" s="647"/>
      <c r="FK409" s="714"/>
      <c r="FL409" s="714"/>
    </row>
    <row r="410" spans="4:168" s="640" customFormat="1" hidden="1">
      <c r="D410" s="641"/>
      <c r="G410" s="642"/>
      <c r="J410" s="642"/>
      <c r="K410" s="643"/>
      <c r="M410" s="644"/>
      <c r="N410" s="642"/>
      <c r="Q410" s="642"/>
      <c r="T410" s="642"/>
      <c r="U410" s="643"/>
      <c r="X410" s="645"/>
      <c r="Y410" s="646"/>
      <c r="Z410" s="673"/>
      <c r="AA410" s="646"/>
      <c r="AB410" s="646"/>
      <c r="AC410" s="646"/>
      <c r="AD410" s="646"/>
      <c r="AE410" s="646"/>
      <c r="AF410" s="646"/>
      <c r="AG410" s="646"/>
      <c r="AH410" s="646"/>
      <c r="AI410" s="646"/>
      <c r="AJ410" s="646"/>
      <c r="AK410" s="646"/>
      <c r="AL410" s="646"/>
      <c r="AM410" s="646"/>
      <c r="AN410" s="646"/>
      <c r="AO410" s="646"/>
      <c r="AP410" s="646"/>
      <c r="AQ410" s="646"/>
      <c r="AR410" s="646"/>
      <c r="AS410" s="646"/>
      <c r="AT410" s="646"/>
      <c r="AU410" s="646"/>
      <c r="AV410" s="646"/>
      <c r="AW410" s="646"/>
      <c r="AX410" s="646"/>
      <c r="AY410" s="646"/>
      <c r="AZ410" s="646"/>
      <c r="BA410" s="646"/>
      <c r="BB410" s="646"/>
      <c r="BC410" s="646"/>
      <c r="BD410" s="646"/>
      <c r="BE410" s="646"/>
      <c r="BF410" s="646"/>
      <c r="BG410" s="646"/>
      <c r="BH410" s="646"/>
      <c r="BI410" s="646"/>
      <c r="BJ410" s="646"/>
      <c r="BK410" s="646"/>
      <c r="BL410" s="646"/>
      <c r="BM410" s="646"/>
      <c r="BN410" s="646"/>
      <c r="BO410" s="646"/>
      <c r="BP410" s="646"/>
      <c r="BQ410" s="646"/>
      <c r="BR410" s="645"/>
      <c r="BS410" s="645"/>
      <c r="BT410" s="645"/>
      <c r="BU410" s="645"/>
      <c r="BV410" s="646"/>
      <c r="BW410" s="647"/>
      <c r="BX410" s="647"/>
      <c r="BY410" s="647"/>
      <c r="BZ410" s="647"/>
      <c r="CA410" s="647"/>
      <c r="CB410" s="647"/>
      <c r="CC410" s="647"/>
      <c r="CD410" s="647"/>
      <c r="CE410" s="647"/>
      <c r="CF410" s="647"/>
      <c r="CG410" s="647"/>
      <c r="CH410" s="647"/>
      <c r="CI410" s="647"/>
      <c r="FK410" s="714"/>
      <c r="FL410" s="714"/>
    </row>
    <row r="411" spans="4:168" s="640" customFormat="1" hidden="1">
      <c r="D411" s="641"/>
      <c r="G411" s="642"/>
      <c r="J411" s="642"/>
      <c r="K411" s="643"/>
      <c r="M411" s="644"/>
      <c r="N411" s="642"/>
      <c r="Q411" s="642"/>
      <c r="T411" s="642"/>
      <c r="U411" s="643"/>
      <c r="X411" s="645"/>
      <c r="Y411" s="646"/>
      <c r="Z411" s="673"/>
      <c r="AA411" s="646"/>
      <c r="AB411" s="646"/>
      <c r="AC411" s="646"/>
      <c r="AD411" s="646"/>
      <c r="AE411" s="646"/>
      <c r="AF411" s="646"/>
      <c r="AG411" s="646"/>
      <c r="AH411" s="646"/>
      <c r="AI411" s="646"/>
      <c r="AJ411" s="646"/>
      <c r="AK411" s="646"/>
      <c r="AL411" s="646"/>
      <c r="AM411" s="646"/>
      <c r="AN411" s="646"/>
      <c r="AO411" s="646"/>
      <c r="AP411" s="646"/>
      <c r="AQ411" s="646"/>
      <c r="AR411" s="646"/>
      <c r="AS411" s="646"/>
      <c r="AT411" s="646"/>
      <c r="AU411" s="646"/>
      <c r="AV411" s="646"/>
      <c r="AW411" s="646"/>
      <c r="AX411" s="646"/>
      <c r="AY411" s="646"/>
      <c r="AZ411" s="646"/>
      <c r="BA411" s="646"/>
      <c r="BB411" s="646"/>
      <c r="BC411" s="646"/>
      <c r="BD411" s="646"/>
      <c r="BE411" s="646"/>
      <c r="BF411" s="646"/>
      <c r="BG411" s="646"/>
      <c r="BH411" s="646"/>
      <c r="BI411" s="646"/>
      <c r="BJ411" s="646"/>
      <c r="BK411" s="646"/>
      <c r="BL411" s="646"/>
      <c r="BM411" s="646"/>
      <c r="BN411" s="646"/>
      <c r="BO411" s="646"/>
      <c r="BP411" s="646"/>
      <c r="BQ411" s="646"/>
      <c r="BR411" s="645"/>
      <c r="BS411" s="645"/>
      <c r="BT411" s="645"/>
      <c r="BU411" s="645"/>
      <c r="BV411" s="646"/>
      <c r="BW411" s="647"/>
      <c r="BX411" s="647"/>
      <c r="BY411" s="647"/>
      <c r="BZ411" s="647"/>
      <c r="CA411" s="647"/>
      <c r="CB411" s="647"/>
      <c r="CC411" s="647"/>
      <c r="CD411" s="647"/>
      <c r="CE411" s="647"/>
      <c r="CF411" s="647"/>
      <c r="CG411" s="647"/>
      <c r="CH411" s="647"/>
      <c r="CI411" s="647"/>
      <c r="FK411" s="714"/>
      <c r="FL411" s="714"/>
    </row>
    <row r="412" spans="4:168" s="640" customFormat="1" hidden="1">
      <c r="D412" s="641"/>
      <c r="G412" s="642"/>
      <c r="J412" s="642"/>
      <c r="K412" s="643"/>
      <c r="M412" s="644"/>
      <c r="N412" s="642"/>
      <c r="Q412" s="642"/>
      <c r="T412" s="642"/>
      <c r="U412" s="643"/>
      <c r="X412" s="645"/>
      <c r="Y412" s="646"/>
      <c r="Z412" s="673"/>
      <c r="AA412" s="646"/>
      <c r="AB412" s="646"/>
      <c r="AC412" s="646"/>
      <c r="AD412" s="646"/>
      <c r="AE412" s="646"/>
      <c r="AF412" s="646"/>
      <c r="AG412" s="646"/>
      <c r="AH412" s="646"/>
      <c r="AI412" s="646"/>
      <c r="AJ412" s="646"/>
      <c r="AK412" s="646"/>
      <c r="AL412" s="646"/>
      <c r="AM412" s="646"/>
      <c r="AN412" s="646"/>
      <c r="AO412" s="646"/>
      <c r="AP412" s="646"/>
      <c r="AQ412" s="646"/>
      <c r="AR412" s="646"/>
      <c r="AS412" s="646"/>
      <c r="AT412" s="646"/>
      <c r="AU412" s="646"/>
      <c r="AV412" s="646"/>
      <c r="AW412" s="646"/>
      <c r="AX412" s="646"/>
      <c r="AY412" s="646"/>
      <c r="AZ412" s="646"/>
      <c r="BA412" s="646"/>
      <c r="BB412" s="646"/>
      <c r="BC412" s="646"/>
      <c r="BD412" s="646"/>
      <c r="BE412" s="646"/>
      <c r="BF412" s="646"/>
      <c r="BG412" s="646"/>
      <c r="BH412" s="646"/>
      <c r="BI412" s="646"/>
      <c r="BJ412" s="646"/>
      <c r="BK412" s="646"/>
      <c r="BL412" s="646"/>
      <c r="BM412" s="646"/>
      <c r="BN412" s="646"/>
      <c r="BO412" s="646"/>
      <c r="BP412" s="646"/>
      <c r="BQ412" s="646"/>
      <c r="BR412" s="645"/>
      <c r="BS412" s="645"/>
      <c r="BT412" s="645"/>
      <c r="BU412" s="645"/>
      <c r="BV412" s="646"/>
      <c r="BW412" s="647"/>
      <c r="BX412" s="647"/>
      <c r="BY412" s="647"/>
      <c r="BZ412" s="647"/>
      <c r="CA412" s="647"/>
      <c r="CB412" s="647"/>
      <c r="CC412" s="647"/>
      <c r="CD412" s="647"/>
      <c r="CE412" s="647"/>
      <c r="CF412" s="647"/>
      <c r="CG412" s="647"/>
      <c r="CH412" s="647"/>
      <c r="CI412" s="647"/>
      <c r="FK412" s="714"/>
      <c r="FL412" s="714"/>
    </row>
    <row r="413" spans="4:168" s="640" customFormat="1" hidden="1">
      <c r="D413" s="641"/>
      <c r="G413" s="642"/>
      <c r="J413" s="642"/>
      <c r="K413" s="643"/>
      <c r="M413" s="644"/>
      <c r="N413" s="642"/>
      <c r="Q413" s="642"/>
      <c r="T413" s="642"/>
      <c r="U413" s="643"/>
      <c r="X413" s="645"/>
      <c r="Y413" s="646"/>
      <c r="Z413" s="673"/>
      <c r="AA413" s="646"/>
      <c r="AB413" s="646"/>
      <c r="AC413" s="646"/>
      <c r="AD413" s="646"/>
      <c r="AE413" s="646"/>
      <c r="AF413" s="646"/>
      <c r="AG413" s="646"/>
      <c r="AH413" s="646"/>
      <c r="AI413" s="646"/>
      <c r="AJ413" s="646"/>
      <c r="AK413" s="646"/>
      <c r="AL413" s="646"/>
      <c r="AM413" s="646"/>
      <c r="AN413" s="646"/>
      <c r="AO413" s="646"/>
      <c r="AP413" s="646"/>
      <c r="AQ413" s="646"/>
      <c r="AR413" s="646"/>
      <c r="AS413" s="646"/>
      <c r="AT413" s="646"/>
      <c r="AU413" s="646"/>
      <c r="AV413" s="646"/>
      <c r="AW413" s="646"/>
      <c r="AX413" s="646"/>
      <c r="AY413" s="646"/>
      <c r="AZ413" s="646"/>
      <c r="BA413" s="646"/>
      <c r="BB413" s="646"/>
      <c r="BC413" s="646"/>
      <c r="BD413" s="646"/>
      <c r="BE413" s="646"/>
      <c r="BF413" s="646"/>
      <c r="BG413" s="646"/>
      <c r="BH413" s="646"/>
      <c r="BI413" s="646"/>
      <c r="BJ413" s="646"/>
      <c r="BK413" s="646"/>
      <c r="BL413" s="646"/>
      <c r="BM413" s="646"/>
      <c r="BN413" s="646"/>
      <c r="BO413" s="646"/>
      <c r="BP413" s="646"/>
      <c r="BQ413" s="646"/>
      <c r="BR413" s="645"/>
      <c r="BS413" s="645"/>
      <c r="BT413" s="645"/>
      <c r="BU413" s="645"/>
      <c r="BV413" s="646"/>
      <c r="BW413" s="647"/>
      <c r="BX413" s="647"/>
      <c r="BY413" s="647"/>
      <c r="BZ413" s="647"/>
      <c r="CA413" s="647"/>
      <c r="CB413" s="647"/>
      <c r="CC413" s="647"/>
      <c r="CD413" s="647"/>
      <c r="CE413" s="647"/>
      <c r="CF413" s="647"/>
      <c r="CG413" s="647"/>
      <c r="CH413" s="647"/>
      <c r="CI413" s="647"/>
      <c r="FK413" s="714"/>
      <c r="FL413" s="714"/>
    </row>
    <row r="414" spans="4:168" s="640" customFormat="1" hidden="1">
      <c r="D414" s="641"/>
      <c r="G414" s="642"/>
      <c r="J414" s="642"/>
      <c r="K414" s="643"/>
      <c r="M414" s="644"/>
      <c r="N414" s="642"/>
      <c r="Q414" s="642"/>
      <c r="T414" s="642"/>
      <c r="U414" s="643"/>
      <c r="X414" s="645"/>
      <c r="Y414" s="646"/>
      <c r="Z414" s="673"/>
      <c r="AA414" s="646"/>
      <c r="AB414" s="646"/>
      <c r="AC414" s="646"/>
      <c r="AD414" s="646"/>
      <c r="AE414" s="646"/>
      <c r="AF414" s="646"/>
      <c r="AG414" s="646"/>
      <c r="AH414" s="646"/>
      <c r="AI414" s="646"/>
      <c r="AJ414" s="646"/>
      <c r="AK414" s="646"/>
      <c r="AL414" s="646"/>
      <c r="AM414" s="646"/>
      <c r="AN414" s="646"/>
      <c r="AO414" s="646"/>
      <c r="AP414" s="646"/>
      <c r="AQ414" s="646"/>
      <c r="AR414" s="646"/>
      <c r="AS414" s="646"/>
      <c r="AT414" s="646"/>
      <c r="AU414" s="646"/>
      <c r="AV414" s="646"/>
      <c r="AW414" s="646"/>
      <c r="AX414" s="646"/>
      <c r="AY414" s="646"/>
      <c r="AZ414" s="646"/>
      <c r="BA414" s="646"/>
      <c r="BB414" s="646"/>
      <c r="BC414" s="646"/>
      <c r="BD414" s="646"/>
      <c r="BE414" s="646"/>
      <c r="BF414" s="646"/>
      <c r="BG414" s="646"/>
      <c r="BH414" s="646"/>
      <c r="BI414" s="646"/>
      <c r="BJ414" s="646"/>
      <c r="BK414" s="646"/>
      <c r="BL414" s="646"/>
      <c r="BM414" s="646"/>
      <c r="BN414" s="646"/>
      <c r="BO414" s="646"/>
      <c r="BP414" s="646"/>
      <c r="BQ414" s="646"/>
      <c r="BR414" s="645"/>
      <c r="BS414" s="645"/>
      <c r="BT414" s="645"/>
      <c r="BU414" s="645"/>
      <c r="BV414" s="646"/>
      <c r="BW414" s="647"/>
      <c r="BX414" s="647"/>
      <c r="BY414" s="647"/>
      <c r="BZ414" s="647"/>
      <c r="CA414" s="647"/>
      <c r="CB414" s="647"/>
      <c r="CC414" s="647"/>
      <c r="CD414" s="647"/>
      <c r="CE414" s="647"/>
      <c r="CF414" s="647"/>
      <c r="CG414" s="647"/>
      <c r="CH414" s="647"/>
      <c r="CI414" s="647"/>
      <c r="FK414" s="714"/>
      <c r="FL414" s="714"/>
    </row>
    <row r="415" spans="4:168" s="640" customFormat="1" hidden="1">
      <c r="D415" s="641"/>
      <c r="G415" s="642"/>
      <c r="J415" s="642"/>
      <c r="K415" s="643"/>
      <c r="M415" s="644"/>
      <c r="N415" s="642"/>
      <c r="Q415" s="642"/>
      <c r="T415" s="642"/>
      <c r="U415" s="643"/>
      <c r="X415" s="645"/>
      <c r="Y415" s="646"/>
      <c r="Z415" s="673"/>
      <c r="AA415" s="646"/>
      <c r="AB415" s="646"/>
      <c r="AC415" s="646"/>
      <c r="AD415" s="646"/>
      <c r="AE415" s="646"/>
      <c r="AF415" s="646"/>
      <c r="AG415" s="646"/>
      <c r="AH415" s="646"/>
      <c r="AI415" s="646"/>
      <c r="AJ415" s="646"/>
      <c r="AK415" s="646"/>
      <c r="AL415" s="646"/>
      <c r="AM415" s="646"/>
      <c r="AN415" s="646"/>
      <c r="AO415" s="646"/>
      <c r="AP415" s="646"/>
      <c r="AQ415" s="646"/>
      <c r="AR415" s="646"/>
      <c r="AS415" s="646"/>
      <c r="AT415" s="646"/>
      <c r="AU415" s="646"/>
      <c r="AV415" s="646"/>
      <c r="AW415" s="646"/>
      <c r="AX415" s="646"/>
      <c r="AY415" s="646"/>
      <c r="AZ415" s="646"/>
      <c r="BA415" s="646"/>
      <c r="BB415" s="646"/>
      <c r="BC415" s="646"/>
      <c r="BD415" s="646"/>
      <c r="BE415" s="646"/>
      <c r="BF415" s="646"/>
      <c r="BG415" s="646"/>
      <c r="BH415" s="646"/>
      <c r="BI415" s="646"/>
      <c r="BJ415" s="646"/>
      <c r="BK415" s="646"/>
      <c r="BL415" s="646"/>
      <c r="BM415" s="646"/>
      <c r="BN415" s="646"/>
      <c r="BO415" s="646"/>
      <c r="BP415" s="646"/>
      <c r="BQ415" s="646"/>
      <c r="BR415" s="645"/>
      <c r="BS415" s="645"/>
      <c r="BT415" s="645"/>
      <c r="BU415" s="645"/>
      <c r="BV415" s="646"/>
      <c r="BW415" s="647"/>
      <c r="BX415" s="647"/>
      <c r="BY415" s="647"/>
      <c r="BZ415" s="647"/>
      <c r="CA415" s="647"/>
      <c r="CB415" s="647"/>
      <c r="CC415" s="647"/>
      <c r="CD415" s="647"/>
      <c r="CE415" s="647"/>
      <c r="CF415" s="647"/>
      <c r="CG415" s="647"/>
      <c r="CH415" s="647"/>
      <c r="CI415" s="647"/>
      <c r="FK415" s="714"/>
      <c r="FL415" s="714"/>
    </row>
    <row r="416" spans="4:168" s="640" customFormat="1" hidden="1">
      <c r="D416" s="641"/>
      <c r="G416" s="642"/>
      <c r="J416" s="642"/>
      <c r="K416" s="643"/>
      <c r="M416" s="644"/>
      <c r="N416" s="642"/>
      <c r="Q416" s="642"/>
      <c r="T416" s="642"/>
      <c r="U416" s="643"/>
      <c r="X416" s="645"/>
      <c r="Y416" s="646"/>
      <c r="Z416" s="673"/>
      <c r="AA416" s="646"/>
      <c r="AB416" s="646"/>
      <c r="AC416" s="646"/>
      <c r="AD416" s="646"/>
      <c r="AE416" s="646"/>
      <c r="AF416" s="646"/>
      <c r="AG416" s="646"/>
      <c r="AH416" s="646"/>
      <c r="AI416" s="646"/>
      <c r="AJ416" s="646"/>
      <c r="AK416" s="646"/>
      <c r="AL416" s="646"/>
      <c r="AM416" s="646"/>
      <c r="AN416" s="646"/>
      <c r="AO416" s="646"/>
      <c r="AP416" s="646"/>
      <c r="AQ416" s="646"/>
      <c r="AR416" s="646"/>
      <c r="AS416" s="646"/>
      <c r="AT416" s="646"/>
      <c r="AU416" s="646"/>
      <c r="AV416" s="646"/>
      <c r="AW416" s="646"/>
      <c r="AX416" s="646"/>
      <c r="AY416" s="646"/>
      <c r="AZ416" s="646"/>
      <c r="BA416" s="646"/>
      <c r="BB416" s="646"/>
      <c r="BC416" s="646"/>
      <c r="BD416" s="646"/>
      <c r="BE416" s="646"/>
      <c r="BF416" s="646"/>
      <c r="BG416" s="646"/>
      <c r="BH416" s="646"/>
      <c r="BI416" s="646"/>
      <c r="BJ416" s="646"/>
      <c r="BK416" s="646"/>
      <c r="BL416" s="646"/>
      <c r="BM416" s="646"/>
      <c r="BN416" s="646"/>
      <c r="BO416" s="646"/>
      <c r="BP416" s="646"/>
      <c r="BQ416" s="646"/>
      <c r="BR416" s="645"/>
      <c r="BS416" s="645"/>
      <c r="BT416" s="645"/>
      <c r="BU416" s="645"/>
      <c r="BV416" s="646"/>
      <c r="BW416" s="647"/>
      <c r="BX416" s="647"/>
      <c r="BY416" s="647"/>
      <c r="BZ416" s="647"/>
      <c r="CA416" s="647"/>
      <c r="CB416" s="647"/>
      <c r="CC416" s="647"/>
      <c r="CD416" s="647"/>
      <c r="CE416" s="647"/>
      <c r="CF416" s="647"/>
      <c r="CG416" s="647"/>
      <c r="CH416" s="647"/>
      <c r="CI416" s="647"/>
      <c r="FK416" s="714"/>
      <c r="FL416" s="714"/>
    </row>
    <row r="417" spans="4:168" s="640" customFormat="1" hidden="1">
      <c r="D417" s="641"/>
      <c r="G417" s="642"/>
      <c r="J417" s="642"/>
      <c r="K417" s="643"/>
      <c r="M417" s="644"/>
      <c r="N417" s="642"/>
      <c r="Q417" s="642"/>
      <c r="T417" s="642"/>
      <c r="U417" s="643"/>
      <c r="X417" s="645"/>
      <c r="Y417" s="646"/>
      <c r="Z417" s="673"/>
      <c r="AA417" s="646"/>
      <c r="AB417" s="646"/>
      <c r="AC417" s="646"/>
      <c r="AD417" s="646"/>
      <c r="AE417" s="646"/>
      <c r="AF417" s="646"/>
      <c r="AG417" s="646"/>
      <c r="AH417" s="646"/>
      <c r="AI417" s="646"/>
      <c r="AJ417" s="646"/>
      <c r="AK417" s="646"/>
      <c r="AL417" s="646"/>
      <c r="AM417" s="646"/>
      <c r="AN417" s="646"/>
      <c r="AO417" s="646"/>
      <c r="AP417" s="646"/>
      <c r="AQ417" s="646"/>
      <c r="AR417" s="646"/>
      <c r="AS417" s="646"/>
      <c r="AT417" s="646"/>
      <c r="AU417" s="646"/>
      <c r="AV417" s="646"/>
      <c r="AW417" s="646"/>
      <c r="AX417" s="646"/>
      <c r="AY417" s="646"/>
      <c r="AZ417" s="646"/>
      <c r="BA417" s="646"/>
      <c r="BB417" s="646"/>
      <c r="BC417" s="646"/>
      <c r="BD417" s="646"/>
      <c r="BE417" s="646"/>
      <c r="BF417" s="646"/>
      <c r="BG417" s="646"/>
      <c r="BH417" s="646"/>
      <c r="BI417" s="646"/>
      <c r="BJ417" s="646"/>
      <c r="BK417" s="646"/>
      <c r="BL417" s="646"/>
      <c r="BM417" s="646"/>
      <c r="BN417" s="646"/>
      <c r="BO417" s="646"/>
      <c r="BP417" s="646"/>
      <c r="BQ417" s="646"/>
      <c r="BR417" s="645"/>
      <c r="BS417" s="645"/>
      <c r="BT417" s="645"/>
      <c r="BU417" s="645"/>
      <c r="BV417" s="646"/>
      <c r="BW417" s="647"/>
      <c r="BX417" s="647"/>
      <c r="BY417" s="647"/>
      <c r="BZ417" s="647"/>
      <c r="CA417" s="647"/>
      <c r="CB417" s="647"/>
      <c r="CC417" s="647"/>
      <c r="CD417" s="647"/>
      <c r="CE417" s="647"/>
      <c r="CF417" s="647"/>
      <c r="CG417" s="647"/>
      <c r="CH417" s="647"/>
      <c r="CI417" s="647"/>
      <c r="FK417" s="714"/>
      <c r="FL417" s="714"/>
    </row>
    <row r="418" spans="4:168" s="640" customFormat="1" hidden="1">
      <c r="D418" s="641"/>
      <c r="G418" s="642"/>
      <c r="J418" s="642"/>
      <c r="K418" s="643"/>
      <c r="M418" s="644"/>
      <c r="N418" s="642"/>
      <c r="Q418" s="642"/>
      <c r="T418" s="642"/>
      <c r="U418" s="643"/>
      <c r="X418" s="645"/>
      <c r="Y418" s="646"/>
      <c r="Z418" s="673"/>
      <c r="AA418" s="646"/>
      <c r="AB418" s="646"/>
      <c r="AC418" s="646"/>
      <c r="AD418" s="646"/>
      <c r="AE418" s="646"/>
      <c r="AF418" s="646"/>
      <c r="AG418" s="646"/>
      <c r="AH418" s="646"/>
      <c r="AI418" s="646"/>
      <c r="AJ418" s="646"/>
      <c r="AK418" s="646"/>
      <c r="AL418" s="646"/>
      <c r="AM418" s="646"/>
      <c r="AN418" s="646"/>
      <c r="AO418" s="646"/>
      <c r="AP418" s="646"/>
      <c r="AQ418" s="646"/>
      <c r="AR418" s="646"/>
      <c r="AS418" s="646"/>
      <c r="AT418" s="646"/>
      <c r="AU418" s="646"/>
      <c r="AV418" s="646"/>
      <c r="AW418" s="646"/>
      <c r="AX418" s="646"/>
      <c r="AY418" s="646"/>
      <c r="AZ418" s="646"/>
      <c r="BA418" s="646"/>
      <c r="BB418" s="646"/>
      <c r="BC418" s="646"/>
      <c r="BD418" s="646"/>
      <c r="BE418" s="646"/>
      <c r="BF418" s="646"/>
      <c r="BG418" s="646"/>
      <c r="BH418" s="646"/>
      <c r="BI418" s="646"/>
      <c r="BJ418" s="646"/>
      <c r="BK418" s="646"/>
      <c r="BL418" s="646"/>
      <c r="BM418" s="646"/>
      <c r="BN418" s="646"/>
      <c r="BO418" s="646"/>
      <c r="BP418" s="646"/>
      <c r="BQ418" s="646"/>
      <c r="BR418" s="645"/>
      <c r="BS418" s="645"/>
      <c r="BT418" s="645"/>
      <c r="BU418" s="645"/>
      <c r="BV418" s="646"/>
      <c r="BW418" s="647"/>
      <c r="BX418" s="647"/>
      <c r="BY418" s="647"/>
      <c r="BZ418" s="647"/>
      <c r="CA418" s="647"/>
      <c r="CB418" s="647"/>
      <c r="CC418" s="647"/>
      <c r="CD418" s="647"/>
      <c r="CE418" s="647"/>
      <c r="CF418" s="647"/>
      <c r="CG418" s="647"/>
      <c r="CH418" s="647"/>
      <c r="CI418" s="647"/>
      <c r="FK418" s="714"/>
      <c r="FL418" s="714"/>
    </row>
    <row r="419" spans="4:168" s="640" customFormat="1" hidden="1">
      <c r="D419" s="641"/>
      <c r="G419" s="642"/>
      <c r="J419" s="642"/>
      <c r="K419" s="643"/>
      <c r="M419" s="644"/>
      <c r="N419" s="642"/>
      <c r="Q419" s="642"/>
      <c r="T419" s="642"/>
      <c r="U419" s="643"/>
      <c r="X419" s="645"/>
      <c r="Y419" s="646"/>
      <c r="Z419" s="673"/>
      <c r="AA419" s="646"/>
      <c r="AB419" s="646"/>
      <c r="AC419" s="646"/>
      <c r="AD419" s="646"/>
      <c r="AE419" s="646"/>
      <c r="AF419" s="646"/>
      <c r="AG419" s="646"/>
      <c r="AH419" s="646"/>
      <c r="AI419" s="646"/>
      <c r="AJ419" s="646"/>
      <c r="AK419" s="646"/>
      <c r="AL419" s="646"/>
      <c r="AM419" s="646"/>
      <c r="AN419" s="646"/>
      <c r="AO419" s="646"/>
      <c r="AP419" s="646"/>
      <c r="AQ419" s="646"/>
      <c r="AR419" s="646"/>
      <c r="AS419" s="646"/>
      <c r="AT419" s="646"/>
      <c r="AU419" s="646"/>
      <c r="AV419" s="646"/>
      <c r="AW419" s="646"/>
      <c r="AX419" s="646"/>
      <c r="AY419" s="646"/>
      <c r="AZ419" s="646"/>
      <c r="BA419" s="646"/>
      <c r="BB419" s="646"/>
      <c r="BC419" s="646"/>
      <c r="BD419" s="646"/>
      <c r="BE419" s="646"/>
      <c r="BF419" s="646"/>
      <c r="BG419" s="646"/>
      <c r="BH419" s="646"/>
      <c r="BI419" s="646"/>
      <c r="BJ419" s="646"/>
      <c r="BK419" s="646"/>
      <c r="BL419" s="646"/>
      <c r="BM419" s="646"/>
      <c r="BN419" s="646"/>
      <c r="BO419" s="646"/>
      <c r="BP419" s="646"/>
      <c r="BQ419" s="646"/>
      <c r="BR419" s="645"/>
      <c r="BS419" s="645"/>
      <c r="BT419" s="645"/>
      <c r="BU419" s="645"/>
      <c r="BV419" s="646"/>
      <c r="BW419" s="647"/>
      <c r="BX419" s="647"/>
      <c r="BY419" s="647"/>
      <c r="BZ419" s="647"/>
      <c r="CA419" s="647"/>
      <c r="CB419" s="647"/>
      <c r="CC419" s="647"/>
      <c r="CD419" s="647"/>
      <c r="CE419" s="647"/>
      <c r="CF419" s="647"/>
      <c r="CG419" s="647"/>
      <c r="CH419" s="647"/>
      <c r="CI419" s="647"/>
      <c r="FK419" s="714"/>
      <c r="FL419" s="714"/>
    </row>
    <row r="420" spans="4:168" s="640" customFormat="1" hidden="1">
      <c r="D420" s="641"/>
      <c r="G420" s="642"/>
      <c r="J420" s="642"/>
      <c r="K420" s="643"/>
      <c r="M420" s="644"/>
      <c r="N420" s="642"/>
      <c r="Q420" s="642"/>
      <c r="T420" s="642"/>
      <c r="U420" s="643"/>
      <c r="X420" s="645"/>
      <c r="Y420" s="646"/>
      <c r="Z420" s="673"/>
      <c r="AA420" s="646"/>
      <c r="AB420" s="646"/>
      <c r="AC420" s="646"/>
      <c r="AD420" s="646"/>
      <c r="AE420" s="646"/>
      <c r="AF420" s="646"/>
      <c r="AG420" s="646"/>
      <c r="AH420" s="646"/>
      <c r="AI420" s="646"/>
      <c r="AJ420" s="646"/>
      <c r="AK420" s="646"/>
      <c r="AL420" s="646"/>
      <c r="AM420" s="646"/>
      <c r="AN420" s="646"/>
      <c r="AO420" s="646"/>
      <c r="AP420" s="646"/>
      <c r="AQ420" s="646"/>
      <c r="AR420" s="646"/>
      <c r="AS420" s="646"/>
      <c r="AT420" s="646"/>
      <c r="AU420" s="646"/>
      <c r="AV420" s="646"/>
      <c r="AW420" s="646"/>
      <c r="AX420" s="646"/>
      <c r="AY420" s="646"/>
      <c r="AZ420" s="646"/>
      <c r="BA420" s="646"/>
      <c r="BB420" s="646"/>
      <c r="BC420" s="646"/>
      <c r="BD420" s="646"/>
      <c r="BE420" s="646"/>
      <c r="BF420" s="646"/>
      <c r="BG420" s="646"/>
      <c r="BH420" s="646"/>
      <c r="BI420" s="646"/>
      <c r="BJ420" s="646"/>
      <c r="BK420" s="646"/>
      <c r="BL420" s="646"/>
      <c r="BM420" s="646"/>
      <c r="BN420" s="646"/>
      <c r="BO420" s="646"/>
      <c r="BP420" s="646"/>
      <c r="BQ420" s="646"/>
      <c r="BR420" s="645"/>
      <c r="BS420" s="645"/>
      <c r="BT420" s="645"/>
      <c r="BU420" s="645"/>
      <c r="BV420" s="646"/>
      <c r="BW420" s="647"/>
      <c r="BX420" s="647"/>
      <c r="BY420" s="647"/>
      <c r="BZ420" s="647"/>
      <c r="CA420" s="647"/>
      <c r="CB420" s="647"/>
      <c r="CC420" s="647"/>
      <c r="CD420" s="647"/>
      <c r="CE420" s="647"/>
      <c r="CF420" s="647"/>
      <c r="CG420" s="647"/>
      <c r="CH420" s="647"/>
      <c r="CI420" s="647"/>
      <c r="FK420" s="714"/>
      <c r="FL420" s="714"/>
    </row>
    <row r="421" spans="4:168" s="640" customFormat="1" hidden="1">
      <c r="D421" s="641"/>
      <c r="G421" s="642"/>
      <c r="J421" s="642"/>
      <c r="K421" s="643"/>
      <c r="M421" s="644"/>
      <c r="N421" s="642"/>
      <c r="Q421" s="642"/>
      <c r="T421" s="642"/>
      <c r="U421" s="643"/>
      <c r="X421" s="645"/>
      <c r="Y421" s="646"/>
      <c r="Z421" s="673"/>
      <c r="AA421" s="646"/>
      <c r="AB421" s="646"/>
      <c r="AC421" s="646"/>
      <c r="AD421" s="646"/>
      <c r="AE421" s="646"/>
      <c r="AF421" s="646"/>
      <c r="AG421" s="646"/>
      <c r="AH421" s="646"/>
      <c r="AI421" s="646"/>
      <c r="AJ421" s="646"/>
      <c r="AK421" s="646"/>
      <c r="AL421" s="646"/>
      <c r="AM421" s="646"/>
      <c r="AN421" s="646"/>
      <c r="AO421" s="646"/>
      <c r="AP421" s="646"/>
      <c r="AQ421" s="646"/>
      <c r="AR421" s="646"/>
      <c r="AS421" s="646"/>
      <c r="AT421" s="646"/>
      <c r="AU421" s="646"/>
      <c r="AV421" s="646"/>
      <c r="AW421" s="646"/>
      <c r="AX421" s="646"/>
      <c r="AY421" s="646"/>
      <c r="AZ421" s="646"/>
      <c r="BA421" s="646"/>
      <c r="BB421" s="646"/>
      <c r="BC421" s="646"/>
      <c r="BD421" s="646"/>
      <c r="BE421" s="646"/>
      <c r="BF421" s="646"/>
      <c r="BG421" s="646"/>
      <c r="BH421" s="646"/>
      <c r="BI421" s="646"/>
      <c r="BJ421" s="646"/>
      <c r="BK421" s="646"/>
      <c r="BL421" s="646"/>
      <c r="BM421" s="646"/>
      <c r="BN421" s="646"/>
      <c r="BO421" s="646"/>
      <c r="BP421" s="646"/>
      <c r="BQ421" s="646"/>
      <c r="BR421" s="645"/>
      <c r="BS421" s="645"/>
      <c r="BT421" s="645"/>
      <c r="BU421" s="645"/>
      <c r="BV421" s="646"/>
      <c r="BW421" s="647"/>
      <c r="BX421" s="647"/>
      <c r="BY421" s="647"/>
      <c r="BZ421" s="647"/>
      <c r="CA421" s="647"/>
      <c r="CB421" s="647"/>
      <c r="CC421" s="647"/>
      <c r="CD421" s="647"/>
      <c r="CE421" s="647"/>
      <c r="CF421" s="647"/>
      <c r="CG421" s="647"/>
      <c r="CH421" s="647"/>
      <c r="CI421" s="647"/>
      <c r="FK421" s="714"/>
      <c r="FL421" s="714"/>
    </row>
    <row r="422" spans="4:168" s="640" customFormat="1" hidden="1">
      <c r="D422" s="641"/>
      <c r="G422" s="642"/>
      <c r="J422" s="642"/>
      <c r="K422" s="643"/>
      <c r="M422" s="644"/>
      <c r="N422" s="642"/>
      <c r="Q422" s="642"/>
      <c r="T422" s="642"/>
      <c r="U422" s="643"/>
      <c r="X422" s="645"/>
      <c r="Y422" s="646"/>
      <c r="Z422" s="673"/>
      <c r="AA422" s="646"/>
      <c r="AB422" s="646"/>
      <c r="AC422" s="646"/>
      <c r="AD422" s="646"/>
      <c r="AE422" s="646"/>
      <c r="AF422" s="646"/>
      <c r="AG422" s="646"/>
      <c r="AH422" s="646"/>
      <c r="AI422" s="646"/>
      <c r="AJ422" s="646"/>
      <c r="AK422" s="646"/>
      <c r="AL422" s="646"/>
      <c r="AM422" s="646"/>
      <c r="AN422" s="646"/>
      <c r="AO422" s="646"/>
      <c r="AP422" s="646"/>
      <c r="AQ422" s="646"/>
      <c r="AR422" s="646"/>
      <c r="AS422" s="646"/>
      <c r="AT422" s="646"/>
      <c r="AU422" s="646"/>
      <c r="AV422" s="646"/>
      <c r="AW422" s="646"/>
      <c r="AX422" s="646"/>
      <c r="AY422" s="646"/>
      <c r="AZ422" s="646"/>
      <c r="BA422" s="646"/>
      <c r="BB422" s="646"/>
      <c r="BC422" s="646"/>
      <c r="BD422" s="646"/>
      <c r="BE422" s="646"/>
      <c r="BF422" s="646"/>
      <c r="BG422" s="646"/>
      <c r="BH422" s="646"/>
      <c r="BI422" s="646"/>
      <c r="BJ422" s="646"/>
      <c r="BK422" s="646"/>
      <c r="BL422" s="646"/>
      <c r="BM422" s="646"/>
      <c r="BN422" s="646"/>
      <c r="BO422" s="646"/>
      <c r="BP422" s="646"/>
      <c r="BQ422" s="646"/>
      <c r="BR422" s="645"/>
      <c r="BS422" s="645"/>
      <c r="BT422" s="645"/>
      <c r="BU422" s="645"/>
      <c r="BV422" s="646"/>
      <c r="BW422" s="647"/>
      <c r="BX422" s="647"/>
      <c r="BY422" s="647"/>
      <c r="BZ422" s="647"/>
      <c r="CA422" s="647"/>
      <c r="CB422" s="647"/>
      <c r="CC422" s="647"/>
      <c r="CD422" s="647"/>
      <c r="CE422" s="647"/>
      <c r="CF422" s="647"/>
      <c r="CG422" s="647"/>
      <c r="CH422" s="647"/>
      <c r="CI422" s="647"/>
      <c r="FK422" s="714"/>
      <c r="FL422" s="714"/>
    </row>
    <row r="423" spans="4:168" s="640" customFormat="1" hidden="1">
      <c r="D423" s="641"/>
      <c r="G423" s="642"/>
      <c r="J423" s="642"/>
      <c r="K423" s="643"/>
      <c r="M423" s="644"/>
      <c r="N423" s="642"/>
      <c r="Q423" s="642"/>
      <c r="T423" s="642"/>
      <c r="U423" s="643"/>
      <c r="X423" s="645"/>
      <c r="Y423" s="646"/>
      <c r="Z423" s="673"/>
      <c r="AA423" s="646"/>
      <c r="AB423" s="646"/>
      <c r="AC423" s="646"/>
      <c r="AD423" s="646"/>
      <c r="AE423" s="646"/>
      <c r="AF423" s="646"/>
      <c r="AG423" s="646"/>
      <c r="AH423" s="646"/>
      <c r="AI423" s="646"/>
      <c r="AJ423" s="646"/>
      <c r="AK423" s="646"/>
      <c r="AL423" s="646"/>
      <c r="AM423" s="646"/>
      <c r="AN423" s="646"/>
      <c r="AO423" s="646"/>
      <c r="AP423" s="646"/>
      <c r="AQ423" s="646"/>
      <c r="AR423" s="646"/>
      <c r="AS423" s="646"/>
      <c r="AT423" s="646"/>
      <c r="AU423" s="646"/>
      <c r="AV423" s="646"/>
      <c r="AW423" s="646"/>
      <c r="AX423" s="646"/>
      <c r="AY423" s="646"/>
      <c r="AZ423" s="646"/>
      <c r="BA423" s="646"/>
      <c r="BB423" s="646"/>
      <c r="BC423" s="646"/>
      <c r="BD423" s="646"/>
      <c r="BE423" s="646"/>
      <c r="BF423" s="646"/>
      <c r="BG423" s="646"/>
      <c r="BH423" s="646"/>
      <c r="BI423" s="646"/>
      <c r="BJ423" s="646"/>
      <c r="BK423" s="646"/>
      <c r="BL423" s="646"/>
      <c r="BM423" s="646"/>
      <c r="BN423" s="646"/>
      <c r="BO423" s="646"/>
      <c r="BP423" s="646"/>
      <c r="BQ423" s="646"/>
      <c r="BR423" s="645"/>
      <c r="BS423" s="645"/>
      <c r="BT423" s="645"/>
      <c r="BU423" s="645"/>
      <c r="BV423" s="646"/>
      <c r="BW423" s="647"/>
      <c r="BX423" s="647"/>
      <c r="BY423" s="647"/>
      <c r="BZ423" s="647"/>
      <c r="CA423" s="647"/>
      <c r="CB423" s="647"/>
      <c r="CC423" s="647"/>
      <c r="CD423" s="647"/>
      <c r="CE423" s="647"/>
      <c r="CF423" s="647"/>
      <c r="CG423" s="647"/>
      <c r="CH423" s="647"/>
      <c r="CI423" s="647"/>
      <c r="FK423" s="714"/>
      <c r="FL423" s="714"/>
    </row>
    <row r="424" spans="4:168" s="640" customFormat="1" hidden="1">
      <c r="D424" s="641"/>
      <c r="G424" s="642"/>
      <c r="J424" s="642"/>
      <c r="K424" s="643"/>
      <c r="M424" s="644"/>
      <c r="N424" s="642"/>
      <c r="Q424" s="642"/>
      <c r="T424" s="642"/>
      <c r="U424" s="643"/>
      <c r="X424" s="645"/>
      <c r="Y424" s="646"/>
      <c r="Z424" s="673"/>
      <c r="AA424" s="646"/>
      <c r="AB424" s="646"/>
      <c r="AC424" s="646"/>
      <c r="AD424" s="646"/>
      <c r="AE424" s="646"/>
      <c r="AF424" s="646"/>
      <c r="AG424" s="646"/>
      <c r="AH424" s="646"/>
      <c r="AI424" s="646"/>
      <c r="AJ424" s="646"/>
      <c r="AK424" s="646"/>
      <c r="AL424" s="646"/>
      <c r="AM424" s="646"/>
      <c r="AN424" s="646"/>
      <c r="AO424" s="646"/>
      <c r="AP424" s="646"/>
      <c r="AQ424" s="646"/>
      <c r="AR424" s="646"/>
      <c r="AS424" s="646"/>
      <c r="AT424" s="646"/>
      <c r="AU424" s="646"/>
      <c r="AV424" s="646"/>
      <c r="AW424" s="646"/>
      <c r="AX424" s="646"/>
      <c r="AY424" s="646"/>
      <c r="AZ424" s="646"/>
      <c r="BA424" s="646"/>
      <c r="BB424" s="646"/>
      <c r="BC424" s="646"/>
      <c r="BD424" s="646"/>
      <c r="BE424" s="646"/>
      <c r="BF424" s="646"/>
      <c r="BG424" s="646"/>
      <c r="BH424" s="646"/>
      <c r="BI424" s="646"/>
      <c r="BJ424" s="646"/>
      <c r="BK424" s="646"/>
      <c r="BL424" s="646"/>
      <c r="BM424" s="646"/>
      <c r="BN424" s="646"/>
      <c r="BO424" s="646"/>
      <c r="BP424" s="646"/>
      <c r="BQ424" s="646"/>
      <c r="BR424" s="645"/>
      <c r="BS424" s="645"/>
      <c r="BT424" s="645"/>
      <c r="BU424" s="645"/>
      <c r="BV424" s="646"/>
      <c r="BW424" s="647"/>
      <c r="BX424" s="647"/>
      <c r="BY424" s="647"/>
      <c r="BZ424" s="647"/>
      <c r="CA424" s="647"/>
      <c r="CB424" s="647"/>
      <c r="CC424" s="647"/>
      <c r="CD424" s="647"/>
      <c r="CE424" s="647"/>
      <c r="CF424" s="647"/>
      <c r="CG424" s="647"/>
      <c r="CH424" s="647"/>
      <c r="CI424" s="647"/>
      <c r="FK424" s="714"/>
      <c r="FL424" s="714"/>
    </row>
    <row r="425" spans="4:168" s="640" customFormat="1" hidden="1">
      <c r="D425" s="641"/>
      <c r="G425" s="642"/>
      <c r="J425" s="642"/>
      <c r="K425" s="643"/>
      <c r="M425" s="644"/>
      <c r="N425" s="642"/>
      <c r="Q425" s="642"/>
      <c r="T425" s="642"/>
      <c r="U425" s="643"/>
      <c r="X425" s="645"/>
      <c r="Y425" s="646"/>
      <c r="Z425" s="673"/>
      <c r="AA425" s="646"/>
      <c r="AB425" s="646"/>
      <c r="AC425" s="646"/>
      <c r="AD425" s="646"/>
      <c r="AE425" s="646"/>
      <c r="AF425" s="646"/>
      <c r="AG425" s="646"/>
      <c r="AH425" s="646"/>
      <c r="AI425" s="646"/>
      <c r="AJ425" s="646"/>
      <c r="AK425" s="646"/>
      <c r="AL425" s="646"/>
      <c r="AM425" s="646"/>
      <c r="AN425" s="646"/>
      <c r="AO425" s="646"/>
      <c r="AP425" s="646"/>
      <c r="AQ425" s="646"/>
      <c r="AR425" s="646"/>
      <c r="AS425" s="646"/>
      <c r="AT425" s="646"/>
      <c r="AU425" s="646"/>
      <c r="AV425" s="646"/>
      <c r="AW425" s="646"/>
      <c r="AX425" s="646"/>
      <c r="AY425" s="646"/>
      <c r="AZ425" s="646"/>
      <c r="BA425" s="646"/>
      <c r="BB425" s="646"/>
      <c r="BC425" s="646"/>
      <c r="BD425" s="646"/>
      <c r="BE425" s="646"/>
      <c r="BF425" s="646"/>
      <c r="BG425" s="646"/>
      <c r="BH425" s="646"/>
      <c r="BI425" s="646"/>
      <c r="BJ425" s="646"/>
      <c r="BK425" s="646"/>
      <c r="BL425" s="646"/>
      <c r="BM425" s="646"/>
      <c r="BN425" s="646"/>
      <c r="BO425" s="646"/>
      <c r="BP425" s="646"/>
      <c r="BQ425" s="646"/>
      <c r="BR425" s="645"/>
      <c r="BS425" s="645"/>
      <c r="BT425" s="645"/>
      <c r="BU425" s="645"/>
      <c r="BV425" s="646"/>
      <c r="BW425" s="647"/>
      <c r="BX425" s="647"/>
      <c r="BY425" s="647"/>
      <c r="BZ425" s="647"/>
      <c r="CA425" s="647"/>
      <c r="CB425" s="647"/>
      <c r="CC425" s="647"/>
      <c r="CD425" s="647"/>
      <c r="CE425" s="647"/>
      <c r="CF425" s="647"/>
      <c r="CG425" s="647"/>
      <c r="CH425" s="647"/>
      <c r="CI425" s="647"/>
      <c r="FK425" s="714"/>
      <c r="FL425" s="714"/>
    </row>
    <row r="426" spans="4:168" s="640" customFormat="1" hidden="1">
      <c r="D426" s="641"/>
      <c r="G426" s="642"/>
      <c r="J426" s="642"/>
      <c r="K426" s="643"/>
      <c r="M426" s="644"/>
      <c r="N426" s="642"/>
      <c r="Q426" s="642"/>
      <c r="T426" s="642"/>
      <c r="U426" s="643"/>
      <c r="X426" s="645"/>
      <c r="Y426" s="646"/>
      <c r="Z426" s="673"/>
      <c r="AA426" s="646"/>
      <c r="AB426" s="646"/>
      <c r="AC426" s="646"/>
      <c r="AD426" s="646"/>
      <c r="AE426" s="646"/>
      <c r="AF426" s="646"/>
      <c r="AG426" s="646"/>
      <c r="AH426" s="646"/>
      <c r="AI426" s="646"/>
      <c r="AJ426" s="646"/>
      <c r="AK426" s="646"/>
      <c r="AL426" s="646"/>
      <c r="AM426" s="646"/>
      <c r="AN426" s="646"/>
      <c r="AO426" s="646"/>
      <c r="AP426" s="646"/>
      <c r="AQ426" s="646"/>
      <c r="AR426" s="646"/>
      <c r="AS426" s="646"/>
      <c r="AT426" s="646"/>
      <c r="AU426" s="646"/>
      <c r="AV426" s="646"/>
      <c r="AW426" s="646"/>
      <c r="AX426" s="646"/>
      <c r="AY426" s="646"/>
      <c r="AZ426" s="646"/>
      <c r="BA426" s="646"/>
      <c r="BB426" s="646"/>
      <c r="BC426" s="646"/>
      <c r="BD426" s="646"/>
      <c r="BE426" s="646"/>
      <c r="BF426" s="646"/>
      <c r="BG426" s="646"/>
      <c r="BH426" s="646"/>
      <c r="BI426" s="646"/>
      <c r="BJ426" s="646"/>
      <c r="BK426" s="646"/>
      <c r="BL426" s="646"/>
      <c r="BM426" s="646"/>
      <c r="BN426" s="646"/>
      <c r="BO426" s="646"/>
      <c r="BP426" s="646"/>
      <c r="BQ426" s="646"/>
      <c r="BR426" s="645"/>
      <c r="BS426" s="645"/>
      <c r="BT426" s="645"/>
      <c r="BU426" s="645"/>
      <c r="BV426" s="646"/>
      <c r="BW426" s="647"/>
      <c r="BX426" s="647"/>
      <c r="BY426" s="647"/>
      <c r="BZ426" s="647"/>
      <c r="CA426" s="647"/>
      <c r="CB426" s="647"/>
      <c r="CC426" s="647"/>
      <c r="CD426" s="647"/>
      <c r="CE426" s="647"/>
      <c r="CF426" s="647"/>
      <c r="CG426" s="647"/>
      <c r="CH426" s="647"/>
      <c r="CI426" s="647"/>
      <c r="FK426" s="714"/>
      <c r="FL426" s="714"/>
    </row>
    <row r="427" spans="4:168" s="640" customFormat="1" hidden="1">
      <c r="D427" s="641"/>
      <c r="G427" s="642"/>
      <c r="J427" s="642"/>
      <c r="K427" s="643"/>
      <c r="M427" s="644"/>
      <c r="N427" s="642"/>
      <c r="Q427" s="642"/>
      <c r="T427" s="642"/>
      <c r="U427" s="643"/>
      <c r="X427" s="645"/>
      <c r="Y427" s="646"/>
      <c r="Z427" s="673"/>
      <c r="AA427" s="646"/>
      <c r="AB427" s="646"/>
      <c r="AC427" s="646"/>
      <c r="AD427" s="646"/>
      <c r="AE427" s="646"/>
      <c r="AF427" s="646"/>
      <c r="AG427" s="646"/>
      <c r="AH427" s="646"/>
      <c r="AI427" s="646"/>
      <c r="AJ427" s="646"/>
      <c r="AK427" s="646"/>
      <c r="AL427" s="646"/>
      <c r="AM427" s="646"/>
      <c r="AN427" s="646"/>
      <c r="AO427" s="646"/>
      <c r="AP427" s="646"/>
      <c r="AQ427" s="646"/>
      <c r="AR427" s="646"/>
      <c r="AS427" s="646"/>
      <c r="AT427" s="646"/>
      <c r="AU427" s="646"/>
      <c r="AV427" s="646"/>
      <c r="AW427" s="646"/>
      <c r="AX427" s="646"/>
      <c r="AY427" s="646"/>
      <c r="AZ427" s="646"/>
      <c r="BA427" s="646"/>
      <c r="BB427" s="646"/>
      <c r="BC427" s="646"/>
      <c r="BD427" s="646"/>
      <c r="BE427" s="646"/>
      <c r="BF427" s="646"/>
      <c r="BG427" s="646"/>
      <c r="BH427" s="646"/>
      <c r="BI427" s="646"/>
      <c r="BJ427" s="646"/>
      <c r="BK427" s="646"/>
      <c r="BL427" s="646"/>
      <c r="BM427" s="646"/>
      <c r="BN427" s="646"/>
      <c r="BO427" s="646"/>
      <c r="BP427" s="646"/>
      <c r="BQ427" s="646"/>
      <c r="BR427" s="645"/>
      <c r="BS427" s="645"/>
      <c r="BT427" s="645"/>
      <c r="BU427" s="645"/>
      <c r="BV427" s="646"/>
      <c r="BW427" s="647"/>
      <c r="BX427" s="647"/>
      <c r="BY427" s="647"/>
      <c r="BZ427" s="647"/>
      <c r="CA427" s="647"/>
      <c r="CB427" s="647"/>
      <c r="CC427" s="647"/>
      <c r="CD427" s="647"/>
      <c r="CE427" s="647"/>
      <c r="CF427" s="647"/>
      <c r="CG427" s="647"/>
      <c r="CH427" s="647"/>
      <c r="CI427" s="647"/>
      <c r="FK427" s="714"/>
      <c r="FL427" s="714"/>
    </row>
    <row r="428" spans="4:168" s="640" customFormat="1" hidden="1">
      <c r="D428" s="641"/>
      <c r="G428" s="642"/>
      <c r="J428" s="642"/>
      <c r="K428" s="643"/>
      <c r="M428" s="644"/>
      <c r="N428" s="642"/>
      <c r="Q428" s="642"/>
      <c r="T428" s="642"/>
      <c r="U428" s="643"/>
      <c r="X428" s="645"/>
      <c r="Y428" s="646"/>
      <c r="Z428" s="673"/>
      <c r="AA428" s="646"/>
      <c r="AB428" s="646"/>
      <c r="AC428" s="646"/>
      <c r="AD428" s="646"/>
      <c r="AE428" s="646"/>
      <c r="AF428" s="646"/>
      <c r="AG428" s="646"/>
      <c r="AH428" s="646"/>
      <c r="AI428" s="646"/>
      <c r="AJ428" s="646"/>
      <c r="AK428" s="646"/>
      <c r="AL428" s="646"/>
      <c r="AM428" s="646"/>
      <c r="AN428" s="646"/>
      <c r="AO428" s="646"/>
      <c r="AP428" s="646"/>
      <c r="AQ428" s="646"/>
      <c r="AR428" s="646"/>
      <c r="AS428" s="646"/>
      <c r="AT428" s="646"/>
      <c r="AU428" s="646"/>
      <c r="AV428" s="646"/>
      <c r="AW428" s="646"/>
      <c r="AX428" s="646"/>
      <c r="AY428" s="646"/>
      <c r="AZ428" s="646"/>
      <c r="BA428" s="646"/>
      <c r="BB428" s="646"/>
      <c r="BC428" s="646"/>
      <c r="BD428" s="646"/>
      <c r="BE428" s="646"/>
      <c r="BF428" s="646"/>
      <c r="BG428" s="646"/>
      <c r="BH428" s="646"/>
      <c r="BI428" s="646"/>
      <c r="BJ428" s="646"/>
      <c r="BK428" s="646"/>
      <c r="BL428" s="646"/>
      <c r="BM428" s="646"/>
      <c r="BN428" s="646"/>
      <c r="BO428" s="646"/>
      <c r="BP428" s="646"/>
      <c r="BQ428" s="646"/>
      <c r="BR428" s="645"/>
      <c r="BS428" s="645"/>
      <c r="BT428" s="645"/>
      <c r="BU428" s="645"/>
      <c r="BV428" s="646"/>
      <c r="BW428" s="647"/>
      <c r="BX428" s="647"/>
      <c r="BY428" s="647"/>
      <c r="BZ428" s="647"/>
      <c r="CA428" s="647"/>
      <c r="CB428" s="647"/>
      <c r="CC428" s="647"/>
      <c r="CD428" s="647"/>
      <c r="CE428" s="647"/>
      <c r="CF428" s="647"/>
      <c r="CG428" s="647"/>
      <c r="CH428" s="647"/>
      <c r="CI428" s="647"/>
      <c r="FK428" s="714"/>
      <c r="FL428" s="714"/>
    </row>
    <row r="429" spans="4:168" s="640" customFormat="1" hidden="1">
      <c r="D429" s="641"/>
      <c r="G429" s="642"/>
      <c r="J429" s="642"/>
      <c r="K429" s="643"/>
      <c r="M429" s="644"/>
      <c r="N429" s="642"/>
      <c r="Q429" s="642"/>
      <c r="T429" s="642"/>
      <c r="U429" s="643"/>
      <c r="X429" s="645"/>
      <c r="Y429" s="646"/>
      <c r="Z429" s="673"/>
      <c r="AA429" s="646"/>
      <c r="AB429" s="646"/>
      <c r="AC429" s="646"/>
      <c r="AD429" s="646"/>
      <c r="AE429" s="646"/>
      <c r="AF429" s="646"/>
      <c r="AG429" s="646"/>
      <c r="AH429" s="646"/>
      <c r="AI429" s="646"/>
      <c r="AJ429" s="646"/>
      <c r="AK429" s="646"/>
      <c r="AL429" s="646"/>
      <c r="AM429" s="646"/>
      <c r="AN429" s="646"/>
      <c r="AO429" s="646"/>
      <c r="AP429" s="646"/>
      <c r="AQ429" s="646"/>
      <c r="AR429" s="646"/>
      <c r="AS429" s="646"/>
      <c r="AT429" s="646"/>
      <c r="AU429" s="646"/>
      <c r="AV429" s="646"/>
      <c r="AW429" s="646"/>
      <c r="AX429" s="646"/>
      <c r="AY429" s="646"/>
      <c r="AZ429" s="646"/>
      <c r="BA429" s="646"/>
      <c r="BB429" s="646"/>
      <c r="BC429" s="646"/>
      <c r="BD429" s="646"/>
      <c r="BE429" s="646"/>
      <c r="BF429" s="646"/>
      <c r="BG429" s="646"/>
      <c r="BH429" s="646"/>
      <c r="BI429" s="646"/>
      <c r="BJ429" s="646"/>
      <c r="BK429" s="646"/>
      <c r="BL429" s="646"/>
      <c r="BM429" s="646"/>
      <c r="BN429" s="646"/>
      <c r="BO429" s="646"/>
      <c r="BP429" s="646"/>
      <c r="BQ429" s="646"/>
      <c r="BR429" s="645"/>
      <c r="BS429" s="645"/>
      <c r="BT429" s="645"/>
      <c r="BU429" s="645"/>
      <c r="BV429" s="646"/>
      <c r="BW429" s="647"/>
      <c r="BX429" s="647"/>
      <c r="BY429" s="647"/>
      <c r="BZ429" s="647"/>
      <c r="CA429" s="647"/>
      <c r="CB429" s="647"/>
      <c r="CC429" s="647"/>
      <c r="CD429" s="647"/>
      <c r="CE429" s="647"/>
      <c r="CF429" s="647"/>
      <c r="CG429" s="647"/>
      <c r="CH429" s="647"/>
      <c r="CI429" s="647"/>
      <c r="FK429" s="714"/>
      <c r="FL429" s="714"/>
    </row>
    <row r="430" spans="4:168" s="640" customFormat="1" hidden="1">
      <c r="D430" s="641"/>
      <c r="G430" s="642"/>
      <c r="J430" s="642"/>
      <c r="K430" s="643"/>
      <c r="M430" s="644"/>
      <c r="N430" s="642"/>
      <c r="Q430" s="642"/>
      <c r="T430" s="642"/>
      <c r="U430" s="643"/>
      <c r="X430" s="645"/>
      <c r="Y430" s="646"/>
      <c r="Z430" s="673"/>
      <c r="AA430" s="646"/>
      <c r="AB430" s="646"/>
      <c r="AC430" s="646"/>
      <c r="AD430" s="646"/>
      <c r="AE430" s="646"/>
      <c r="AF430" s="646"/>
      <c r="AG430" s="646"/>
      <c r="AH430" s="646"/>
      <c r="AI430" s="646"/>
      <c r="AJ430" s="646"/>
      <c r="AK430" s="646"/>
      <c r="AL430" s="646"/>
      <c r="AM430" s="646"/>
      <c r="AN430" s="646"/>
      <c r="AO430" s="646"/>
      <c r="AP430" s="646"/>
      <c r="AQ430" s="646"/>
      <c r="AR430" s="646"/>
      <c r="AS430" s="646"/>
      <c r="AT430" s="646"/>
      <c r="AU430" s="646"/>
      <c r="AV430" s="646"/>
      <c r="AW430" s="646"/>
      <c r="AX430" s="646"/>
      <c r="AY430" s="646"/>
      <c r="AZ430" s="646"/>
      <c r="BA430" s="646"/>
      <c r="BB430" s="646"/>
      <c r="BC430" s="646"/>
      <c r="BD430" s="646"/>
      <c r="BE430" s="646"/>
      <c r="BF430" s="646"/>
      <c r="BG430" s="646"/>
      <c r="BH430" s="646"/>
      <c r="BI430" s="646"/>
      <c r="BJ430" s="646"/>
      <c r="BK430" s="646"/>
      <c r="BL430" s="646"/>
      <c r="BM430" s="646"/>
      <c r="BN430" s="646"/>
      <c r="BO430" s="646"/>
      <c r="BP430" s="646"/>
      <c r="BQ430" s="646"/>
      <c r="BR430" s="645"/>
      <c r="BS430" s="645"/>
      <c r="BT430" s="645"/>
      <c r="BU430" s="645"/>
      <c r="BV430" s="646"/>
      <c r="BW430" s="647"/>
      <c r="BX430" s="647"/>
      <c r="BY430" s="647"/>
      <c r="BZ430" s="647"/>
      <c r="CA430" s="647"/>
      <c r="CB430" s="647"/>
      <c r="CC430" s="647"/>
      <c r="CD430" s="647"/>
      <c r="CE430" s="647"/>
      <c r="CF430" s="647"/>
      <c r="CG430" s="647"/>
      <c r="CH430" s="647"/>
      <c r="CI430" s="647"/>
      <c r="FK430" s="714"/>
      <c r="FL430" s="714"/>
    </row>
    <row r="431" spans="4:168" s="640" customFormat="1" hidden="1">
      <c r="D431" s="641"/>
      <c r="G431" s="642"/>
      <c r="J431" s="642"/>
      <c r="K431" s="643"/>
      <c r="M431" s="644"/>
      <c r="N431" s="642"/>
      <c r="Q431" s="642"/>
      <c r="T431" s="642"/>
      <c r="U431" s="643"/>
      <c r="X431" s="645"/>
      <c r="Y431" s="646"/>
      <c r="Z431" s="673"/>
      <c r="AA431" s="646"/>
      <c r="AB431" s="646"/>
      <c r="AC431" s="646"/>
      <c r="AD431" s="646"/>
      <c r="AE431" s="646"/>
      <c r="AF431" s="646"/>
      <c r="AG431" s="646"/>
      <c r="AH431" s="646"/>
      <c r="AI431" s="646"/>
      <c r="AJ431" s="646"/>
      <c r="AK431" s="646"/>
      <c r="AL431" s="646"/>
      <c r="AM431" s="646"/>
      <c r="AN431" s="646"/>
      <c r="AO431" s="646"/>
      <c r="AP431" s="646"/>
      <c r="AQ431" s="646"/>
      <c r="AR431" s="646"/>
      <c r="AS431" s="646"/>
      <c r="AT431" s="646"/>
      <c r="AU431" s="646"/>
      <c r="AV431" s="646"/>
      <c r="AW431" s="646"/>
      <c r="AX431" s="646"/>
      <c r="AY431" s="646"/>
      <c r="AZ431" s="646"/>
      <c r="BA431" s="646"/>
      <c r="BB431" s="646"/>
      <c r="BC431" s="646"/>
      <c r="BD431" s="646"/>
      <c r="BE431" s="646"/>
      <c r="BF431" s="646"/>
      <c r="BG431" s="646"/>
      <c r="BH431" s="646"/>
      <c r="BI431" s="646"/>
      <c r="BJ431" s="646"/>
      <c r="BK431" s="646"/>
      <c r="BL431" s="646"/>
      <c r="BM431" s="646"/>
      <c r="BN431" s="646"/>
      <c r="BO431" s="646"/>
      <c r="BP431" s="646"/>
      <c r="BQ431" s="646"/>
      <c r="BR431" s="645"/>
      <c r="BS431" s="645"/>
      <c r="BT431" s="645"/>
      <c r="BU431" s="645"/>
      <c r="BV431" s="646"/>
      <c r="BW431" s="647"/>
      <c r="BX431" s="647"/>
      <c r="BY431" s="647"/>
      <c r="BZ431" s="647"/>
      <c r="CA431" s="647"/>
      <c r="CB431" s="647"/>
      <c r="CC431" s="647"/>
      <c r="CD431" s="647"/>
      <c r="CE431" s="647"/>
      <c r="CF431" s="647"/>
      <c r="CG431" s="647"/>
      <c r="CH431" s="647"/>
      <c r="CI431" s="647"/>
      <c r="FK431" s="714"/>
      <c r="FL431" s="714"/>
    </row>
    <row r="432" spans="4:168" s="640" customFormat="1" hidden="1">
      <c r="D432" s="641"/>
      <c r="G432" s="642"/>
      <c r="J432" s="642"/>
      <c r="K432" s="643"/>
      <c r="M432" s="644"/>
      <c r="N432" s="642"/>
      <c r="Q432" s="642"/>
      <c r="T432" s="642"/>
      <c r="U432" s="643"/>
      <c r="X432" s="645"/>
      <c r="Y432" s="646"/>
      <c r="Z432" s="673"/>
      <c r="AA432" s="646"/>
      <c r="AB432" s="646"/>
      <c r="AC432" s="646"/>
      <c r="AD432" s="646"/>
      <c r="AE432" s="646"/>
      <c r="AF432" s="646"/>
      <c r="AG432" s="646"/>
      <c r="AH432" s="646"/>
      <c r="AI432" s="646"/>
      <c r="AJ432" s="646"/>
      <c r="AK432" s="646"/>
      <c r="AL432" s="646"/>
      <c r="AM432" s="646"/>
      <c r="AN432" s="646"/>
      <c r="AO432" s="646"/>
      <c r="AP432" s="646"/>
      <c r="AQ432" s="646"/>
      <c r="AR432" s="646"/>
      <c r="AS432" s="646"/>
      <c r="AT432" s="646"/>
      <c r="AU432" s="646"/>
      <c r="AV432" s="646"/>
      <c r="AW432" s="646"/>
      <c r="AX432" s="646"/>
      <c r="AY432" s="646"/>
      <c r="AZ432" s="646"/>
      <c r="BA432" s="646"/>
      <c r="BB432" s="646"/>
      <c r="BC432" s="646"/>
      <c r="BD432" s="646"/>
      <c r="BE432" s="646"/>
      <c r="BF432" s="646"/>
      <c r="BG432" s="646"/>
      <c r="BH432" s="646"/>
      <c r="BI432" s="646"/>
      <c r="BJ432" s="646"/>
      <c r="BK432" s="646"/>
      <c r="BL432" s="646"/>
      <c r="BM432" s="646"/>
      <c r="BN432" s="646"/>
      <c r="BO432" s="646"/>
      <c r="BP432" s="646"/>
      <c r="BQ432" s="646"/>
      <c r="BR432" s="645"/>
      <c r="BS432" s="645"/>
      <c r="BT432" s="645"/>
      <c r="BU432" s="645"/>
      <c r="BV432" s="646"/>
      <c r="BW432" s="647"/>
      <c r="BX432" s="647"/>
      <c r="BY432" s="647"/>
      <c r="BZ432" s="647"/>
      <c r="CA432" s="647"/>
      <c r="CB432" s="647"/>
      <c r="CC432" s="647"/>
      <c r="CD432" s="647"/>
      <c r="CE432" s="647"/>
      <c r="CF432" s="647"/>
      <c r="CG432" s="647"/>
      <c r="CH432" s="647"/>
      <c r="CI432" s="647"/>
      <c r="FK432" s="714"/>
      <c r="FL432" s="714"/>
    </row>
    <row r="433" spans="4:168" s="640" customFormat="1" hidden="1">
      <c r="D433" s="641"/>
      <c r="G433" s="642"/>
      <c r="J433" s="642"/>
      <c r="K433" s="643"/>
      <c r="M433" s="644"/>
      <c r="N433" s="642"/>
      <c r="Q433" s="642"/>
      <c r="T433" s="642"/>
      <c r="U433" s="643"/>
      <c r="X433" s="645"/>
      <c r="Y433" s="646"/>
      <c r="Z433" s="673"/>
      <c r="AA433" s="646"/>
      <c r="AB433" s="646"/>
      <c r="AC433" s="646"/>
      <c r="AD433" s="646"/>
      <c r="AE433" s="646"/>
      <c r="AF433" s="646"/>
      <c r="AG433" s="646"/>
      <c r="AH433" s="646"/>
      <c r="AI433" s="646"/>
      <c r="AJ433" s="646"/>
      <c r="AK433" s="646"/>
      <c r="AL433" s="646"/>
      <c r="AM433" s="646"/>
      <c r="AN433" s="646"/>
      <c r="AO433" s="646"/>
      <c r="AP433" s="646"/>
      <c r="AQ433" s="646"/>
      <c r="AR433" s="646"/>
      <c r="AS433" s="646"/>
      <c r="AT433" s="646"/>
      <c r="AU433" s="646"/>
      <c r="AV433" s="646"/>
      <c r="AW433" s="646"/>
      <c r="AX433" s="646"/>
      <c r="AY433" s="646"/>
      <c r="AZ433" s="646"/>
      <c r="BA433" s="646"/>
      <c r="BB433" s="646"/>
      <c r="BC433" s="646"/>
      <c r="BD433" s="646"/>
      <c r="BE433" s="646"/>
      <c r="BF433" s="646"/>
      <c r="BG433" s="646"/>
      <c r="BH433" s="646"/>
      <c r="BI433" s="646"/>
      <c r="BJ433" s="646"/>
      <c r="BK433" s="646"/>
      <c r="BL433" s="646"/>
      <c r="BM433" s="646"/>
      <c r="BN433" s="646"/>
      <c r="BO433" s="646"/>
      <c r="BP433" s="646"/>
      <c r="BQ433" s="646"/>
      <c r="BR433" s="645"/>
      <c r="BS433" s="645"/>
      <c r="BT433" s="645"/>
      <c r="BU433" s="645"/>
      <c r="BV433" s="646"/>
      <c r="BW433" s="647"/>
      <c r="BX433" s="647"/>
      <c r="BY433" s="647"/>
      <c r="BZ433" s="647"/>
      <c r="CA433" s="647"/>
      <c r="CB433" s="647"/>
      <c r="CC433" s="647"/>
      <c r="CD433" s="647"/>
      <c r="CE433" s="647"/>
      <c r="CF433" s="647"/>
      <c r="CG433" s="647"/>
      <c r="CH433" s="647"/>
      <c r="CI433" s="647"/>
      <c r="FK433" s="714"/>
      <c r="FL433" s="714"/>
    </row>
    <row r="434" spans="4:168" s="640" customFormat="1" hidden="1">
      <c r="D434" s="641"/>
      <c r="G434" s="642"/>
      <c r="J434" s="642"/>
      <c r="K434" s="643"/>
      <c r="M434" s="644"/>
      <c r="N434" s="642"/>
      <c r="Q434" s="642"/>
      <c r="T434" s="642"/>
      <c r="U434" s="643"/>
      <c r="X434" s="645"/>
      <c r="Y434" s="646"/>
      <c r="Z434" s="673"/>
      <c r="AA434" s="646"/>
      <c r="AB434" s="646"/>
      <c r="AC434" s="646"/>
      <c r="AD434" s="646"/>
      <c r="AE434" s="646"/>
      <c r="AF434" s="646"/>
      <c r="AG434" s="646"/>
      <c r="AH434" s="646"/>
      <c r="AI434" s="646"/>
      <c r="AJ434" s="646"/>
      <c r="AK434" s="646"/>
      <c r="AL434" s="646"/>
      <c r="AM434" s="646"/>
      <c r="AN434" s="646"/>
      <c r="AO434" s="646"/>
      <c r="AP434" s="646"/>
      <c r="AQ434" s="646"/>
      <c r="AR434" s="646"/>
      <c r="AS434" s="646"/>
      <c r="AT434" s="646"/>
      <c r="AU434" s="646"/>
      <c r="AV434" s="646"/>
      <c r="AW434" s="646"/>
      <c r="AX434" s="646"/>
      <c r="AY434" s="646"/>
      <c r="AZ434" s="646"/>
      <c r="BA434" s="646"/>
      <c r="BB434" s="646"/>
      <c r="BC434" s="646"/>
      <c r="BD434" s="646"/>
      <c r="BE434" s="646"/>
      <c r="BF434" s="646"/>
      <c r="BG434" s="646"/>
      <c r="BH434" s="646"/>
      <c r="BI434" s="646"/>
      <c r="BJ434" s="646"/>
      <c r="BK434" s="646"/>
      <c r="BL434" s="646"/>
      <c r="BM434" s="646"/>
      <c r="BN434" s="646"/>
      <c r="BO434" s="646"/>
      <c r="BP434" s="646"/>
      <c r="BQ434" s="646"/>
      <c r="BR434" s="645"/>
      <c r="BS434" s="645"/>
      <c r="BT434" s="645"/>
      <c r="BU434" s="645"/>
      <c r="BV434" s="646"/>
      <c r="BW434" s="647"/>
      <c r="BX434" s="647"/>
      <c r="BY434" s="647"/>
      <c r="BZ434" s="647"/>
      <c r="CA434" s="647"/>
      <c r="CB434" s="647"/>
      <c r="CC434" s="647"/>
      <c r="CD434" s="647"/>
      <c r="CE434" s="647"/>
      <c r="CF434" s="647"/>
      <c r="CG434" s="647"/>
      <c r="CH434" s="647"/>
      <c r="CI434" s="647"/>
      <c r="FK434" s="714"/>
      <c r="FL434" s="714"/>
    </row>
    <row r="435" spans="4:168" s="640" customFormat="1" hidden="1">
      <c r="D435" s="641"/>
      <c r="G435" s="642"/>
      <c r="J435" s="642"/>
      <c r="K435" s="643"/>
      <c r="M435" s="644"/>
      <c r="N435" s="642"/>
      <c r="Q435" s="642"/>
      <c r="T435" s="642"/>
      <c r="U435" s="643"/>
      <c r="X435" s="645"/>
      <c r="Y435" s="646"/>
      <c r="Z435" s="673"/>
      <c r="AA435" s="646"/>
      <c r="AB435" s="646"/>
      <c r="AC435" s="646"/>
      <c r="AD435" s="646"/>
      <c r="AE435" s="646"/>
      <c r="AF435" s="646"/>
      <c r="AG435" s="646"/>
      <c r="AH435" s="646"/>
      <c r="AI435" s="646"/>
      <c r="AJ435" s="646"/>
      <c r="AK435" s="646"/>
      <c r="AL435" s="646"/>
      <c r="AM435" s="646"/>
      <c r="AN435" s="646"/>
      <c r="AO435" s="646"/>
      <c r="AP435" s="646"/>
      <c r="AQ435" s="646"/>
      <c r="AR435" s="646"/>
      <c r="AS435" s="646"/>
      <c r="AT435" s="646"/>
      <c r="AU435" s="646"/>
      <c r="AV435" s="646"/>
      <c r="AW435" s="646"/>
      <c r="AX435" s="646"/>
      <c r="AY435" s="646"/>
      <c r="AZ435" s="646"/>
      <c r="BA435" s="646"/>
      <c r="BB435" s="646"/>
      <c r="BC435" s="646"/>
      <c r="BD435" s="646"/>
      <c r="BE435" s="646"/>
      <c r="BF435" s="646"/>
      <c r="BG435" s="646"/>
      <c r="BH435" s="646"/>
      <c r="BI435" s="646"/>
      <c r="BJ435" s="646"/>
      <c r="BK435" s="646"/>
      <c r="BL435" s="646"/>
      <c r="BM435" s="646"/>
      <c r="BN435" s="646"/>
      <c r="BO435" s="646"/>
      <c r="BP435" s="646"/>
      <c r="BQ435" s="646"/>
      <c r="BR435" s="645"/>
      <c r="BS435" s="645"/>
      <c r="BT435" s="645"/>
      <c r="BU435" s="645"/>
      <c r="BV435" s="646"/>
      <c r="BW435" s="647"/>
      <c r="BX435" s="647"/>
      <c r="BY435" s="647"/>
      <c r="BZ435" s="647"/>
      <c r="CA435" s="647"/>
      <c r="CB435" s="647"/>
      <c r="CC435" s="647"/>
      <c r="CD435" s="647"/>
      <c r="CE435" s="647"/>
      <c r="CF435" s="647"/>
      <c r="CG435" s="647"/>
      <c r="CH435" s="647"/>
      <c r="CI435" s="647"/>
      <c r="FK435" s="714"/>
      <c r="FL435" s="714"/>
    </row>
    <row r="436" spans="4:168" s="640" customFormat="1" hidden="1">
      <c r="D436" s="641"/>
      <c r="G436" s="642"/>
      <c r="J436" s="642"/>
      <c r="K436" s="643"/>
      <c r="M436" s="644"/>
      <c r="N436" s="642"/>
      <c r="Q436" s="642"/>
      <c r="T436" s="642"/>
      <c r="U436" s="643"/>
      <c r="X436" s="645"/>
      <c r="Y436" s="646"/>
      <c r="Z436" s="673"/>
      <c r="AA436" s="646"/>
      <c r="AB436" s="646"/>
      <c r="AC436" s="646"/>
      <c r="AD436" s="646"/>
      <c r="AE436" s="646"/>
      <c r="AF436" s="646"/>
      <c r="AG436" s="646"/>
      <c r="AH436" s="646"/>
      <c r="AI436" s="646"/>
      <c r="AJ436" s="646"/>
      <c r="AK436" s="646"/>
      <c r="AL436" s="646"/>
      <c r="AM436" s="646"/>
      <c r="AN436" s="646"/>
      <c r="AO436" s="646"/>
      <c r="AP436" s="646"/>
      <c r="AQ436" s="646"/>
      <c r="AR436" s="646"/>
      <c r="AS436" s="646"/>
      <c r="AT436" s="646"/>
      <c r="AU436" s="646"/>
      <c r="AV436" s="646"/>
      <c r="AW436" s="646"/>
      <c r="AX436" s="646"/>
      <c r="AY436" s="646"/>
      <c r="AZ436" s="646"/>
      <c r="BA436" s="646"/>
      <c r="BB436" s="646"/>
      <c r="BC436" s="646"/>
      <c r="BD436" s="646"/>
      <c r="BE436" s="646"/>
      <c r="BF436" s="646"/>
      <c r="BG436" s="646"/>
      <c r="BH436" s="646"/>
      <c r="BI436" s="646"/>
      <c r="BJ436" s="646"/>
      <c r="BK436" s="646"/>
      <c r="BL436" s="646"/>
      <c r="BM436" s="646"/>
      <c r="BN436" s="646"/>
      <c r="BO436" s="646"/>
      <c r="BP436" s="646"/>
      <c r="BQ436" s="646"/>
      <c r="BR436" s="645"/>
      <c r="BS436" s="645"/>
      <c r="BT436" s="645"/>
      <c r="BU436" s="645"/>
      <c r="BV436" s="646"/>
      <c r="BW436" s="647"/>
      <c r="BX436" s="647"/>
      <c r="BY436" s="647"/>
      <c r="BZ436" s="647"/>
      <c r="CA436" s="647"/>
      <c r="CB436" s="647"/>
      <c r="CC436" s="647"/>
      <c r="CD436" s="647"/>
      <c r="CE436" s="647"/>
      <c r="CF436" s="647"/>
      <c r="CG436" s="647"/>
      <c r="CH436" s="647"/>
      <c r="CI436" s="647"/>
      <c r="FK436" s="714"/>
      <c r="FL436" s="714"/>
    </row>
    <row r="437" spans="4:168" s="640" customFormat="1" hidden="1">
      <c r="D437" s="641"/>
      <c r="G437" s="642"/>
      <c r="J437" s="642"/>
      <c r="K437" s="643"/>
      <c r="M437" s="644"/>
      <c r="N437" s="642"/>
      <c r="Q437" s="642"/>
      <c r="T437" s="642"/>
      <c r="U437" s="643"/>
      <c r="X437" s="645"/>
      <c r="Y437" s="646"/>
      <c r="Z437" s="673"/>
      <c r="AA437" s="646"/>
      <c r="AB437" s="646"/>
      <c r="AC437" s="646"/>
      <c r="AD437" s="646"/>
      <c r="AE437" s="646"/>
      <c r="AF437" s="646"/>
      <c r="AG437" s="646"/>
      <c r="AH437" s="646"/>
      <c r="AI437" s="646"/>
      <c r="AJ437" s="646"/>
      <c r="AK437" s="646"/>
      <c r="AL437" s="646"/>
      <c r="AM437" s="646"/>
      <c r="AN437" s="646"/>
      <c r="AO437" s="646"/>
      <c r="AP437" s="646"/>
      <c r="AQ437" s="646"/>
      <c r="AR437" s="646"/>
      <c r="AS437" s="646"/>
      <c r="AT437" s="646"/>
      <c r="AU437" s="646"/>
      <c r="AV437" s="646"/>
      <c r="AW437" s="646"/>
      <c r="AX437" s="646"/>
      <c r="AY437" s="646"/>
      <c r="AZ437" s="646"/>
      <c r="BA437" s="646"/>
      <c r="BB437" s="646"/>
      <c r="BC437" s="646"/>
      <c r="BD437" s="646"/>
      <c r="BE437" s="646"/>
      <c r="BF437" s="646"/>
      <c r="BG437" s="646"/>
      <c r="BH437" s="646"/>
      <c r="BI437" s="646"/>
      <c r="BJ437" s="646"/>
      <c r="BK437" s="646"/>
      <c r="BL437" s="646"/>
      <c r="BM437" s="646"/>
      <c r="BN437" s="646"/>
      <c r="BO437" s="646"/>
      <c r="BP437" s="646"/>
      <c r="BQ437" s="646"/>
      <c r="BR437" s="645"/>
      <c r="BS437" s="645"/>
      <c r="BT437" s="645"/>
      <c r="BU437" s="645"/>
      <c r="BV437" s="646"/>
      <c r="BW437" s="647"/>
      <c r="BX437" s="647"/>
      <c r="BY437" s="647"/>
      <c r="BZ437" s="647"/>
      <c r="CA437" s="647"/>
      <c r="CB437" s="647"/>
      <c r="CC437" s="647"/>
      <c r="CD437" s="647"/>
      <c r="CE437" s="647"/>
      <c r="CF437" s="647"/>
      <c r="CG437" s="647"/>
      <c r="CH437" s="647"/>
      <c r="CI437" s="647"/>
      <c r="FK437" s="714"/>
      <c r="FL437" s="714"/>
    </row>
    <row r="438" spans="4:168" s="640" customFormat="1" hidden="1">
      <c r="D438" s="641"/>
      <c r="G438" s="642"/>
      <c r="J438" s="642"/>
      <c r="K438" s="643"/>
      <c r="M438" s="644"/>
      <c r="N438" s="642"/>
      <c r="Q438" s="642"/>
      <c r="T438" s="642"/>
      <c r="U438" s="643"/>
      <c r="X438" s="645"/>
      <c r="Y438" s="646"/>
      <c r="Z438" s="673"/>
      <c r="AA438" s="646"/>
      <c r="AB438" s="646"/>
      <c r="AC438" s="646"/>
      <c r="AD438" s="646"/>
      <c r="AE438" s="646"/>
      <c r="AF438" s="646"/>
      <c r="AG438" s="646"/>
      <c r="AH438" s="646"/>
      <c r="AI438" s="646"/>
      <c r="AJ438" s="646"/>
      <c r="AK438" s="646"/>
      <c r="AL438" s="646"/>
      <c r="AM438" s="646"/>
      <c r="AN438" s="646"/>
      <c r="AO438" s="646"/>
      <c r="AP438" s="646"/>
      <c r="AQ438" s="646"/>
      <c r="AR438" s="646"/>
      <c r="AS438" s="646"/>
      <c r="AT438" s="646"/>
      <c r="AU438" s="646"/>
      <c r="AV438" s="646"/>
      <c r="AW438" s="646"/>
      <c r="AX438" s="646"/>
      <c r="AY438" s="646"/>
      <c r="AZ438" s="646"/>
      <c r="BA438" s="646"/>
      <c r="BB438" s="646"/>
      <c r="BC438" s="646"/>
      <c r="BD438" s="646"/>
      <c r="BE438" s="646"/>
      <c r="BF438" s="646"/>
      <c r="BG438" s="646"/>
      <c r="BH438" s="646"/>
      <c r="BI438" s="646"/>
      <c r="BJ438" s="646"/>
      <c r="BK438" s="646"/>
      <c r="BL438" s="646"/>
      <c r="BM438" s="646"/>
      <c r="BN438" s="646"/>
      <c r="BO438" s="646"/>
      <c r="BP438" s="646"/>
      <c r="BQ438" s="646"/>
      <c r="BR438" s="645"/>
      <c r="BS438" s="645"/>
      <c r="BT438" s="645"/>
      <c r="BU438" s="645"/>
      <c r="BV438" s="646"/>
      <c r="BW438" s="647"/>
      <c r="BX438" s="647"/>
      <c r="BY438" s="647"/>
      <c r="BZ438" s="647"/>
      <c r="CA438" s="647"/>
      <c r="CB438" s="647"/>
      <c r="CC438" s="647"/>
      <c r="CD438" s="647"/>
      <c r="CE438" s="647"/>
      <c r="CF438" s="647"/>
      <c r="CG438" s="647"/>
      <c r="CH438" s="647"/>
      <c r="CI438" s="647"/>
      <c r="FK438" s="714"/>
      <c r="FL438" s="714"/>
    </row>
    <row r="439" spans="4:168" s="640" customFormat="1" hidden="1">
      <c r="D439" s="641"/>
      <c r="G439" s="642"/>
      <c r="J439" s="642"/>
      <c r="K439" s="643"/>
      <c r="M439" s="644"/>
      <c r="N439" s="642"/>
      <c r="Q439" s="642"/>
      <c r="T439" s="642"/>
      <c r="U439" s="643"/>
      <c r="X439" s="645"/>
      <c r="Y439" s="646"/>
      <c r="Z439" s="673"/>
      <c r="AA439" s="646"/>
      <c r="AB439" s="646"/>
      <c r="AC439" s="646"/>
      <c r="AD439" s="646"/>
      <c r="AE439" s="646"/>
      <c r="AF439" s="646"/>
      <c r="AG439" s="646"/>
      <c r="AH439" s="646"/>
      <c r="AI439" s="646"/>
      <c r="AJ439" s="646"/>
      <c r="AK439" s="646"/>
      <c r="AL439" s="646"/>
      <c r="AM439" s="646"/>
      <c r="AN439" s="646"/>
      <c r="AO439" s="646"/>
      <c r="AP439" s="646"/>
      <c r="AQ439" s="646"/>
      <c r="AR439" s="646"/>
      <c r="AS439" s="646"/>
      <c r="AT439" s="646"/>
      <c r="AU439" s="646"/>
      <c r="AV439" s="646"/>
      <c r="AW439" s="646"/>
      <c r="AX439" s="646"/>
      <c r="AY439" s="646"/>
      <c r="AZ439" s="646"/>
      <c r="BA439" s="646"/>
      <c r="BB439" s="646"/>
      <c r="BC439" s="646"/>
      <c r="BD439" s="646"/>
      <c r="BE439" s="646"/>
      <c r="BF439" s="646"/>
      <c r="BG439" s="646"/>
      <c r="BH439" s="646"/>
      <c r="BI439" s="646"/>
      <c r="BJ439" s="646"/>
      <c r="BK439" s="646"/>
      <c r="BL439" s="646"/>
      <c r="BM439" s="646"/>
      <c r="BN439" s="646"/>
      <c r="BO439" s="646"/>
      <c r="BP439" s="646"/>
      <c r="BQ439" s="646"/>
      <c r="BR439" s="645"/>
      <c r="BS439" s="645"/>
      <c r="BT439" s="645"/>
      <c r="BU439" s="645"/>
      <c r="BV439" s="646"/>
      <c r="BW439" s="647"/>
      <c r="BX439" s="647"/>
      <c r="BY439" s="647"/>
      <c r="BZ439" s="647"/>
      <c r="CA439" s="647"/>
      <c r="CB439" s="647"/>
      <c r="CC439" s="647"/>
      <c r="CD439" s="647"/>
      <c r="CE439" s="647"/>
      <c r="CF439" s="647"/>
      <c r="CG439" s="647"/>
      <c r="CH439" s="647"/>
      <c r="CI439" s="647"/>
      <c r="FK439" s="714"/>
      <c r="FL439" s="714"/>
    </row>
    <row r="440" spans="4:168" s="640" customFormat="1" hidden="1">
      <c r="D440" s="641"/>
      <c r="G440" s="642"/>
      <c r="J440" s="642"/>
      <c r="K440" s="643"/>
      <c r="M440" s="644"/>
      <c r="N440" s="642"/>
      <c r="Q440" s="642"/>
      <c r="T440" s="642"/>
      <c r="U440" s="643"/>
      <c r="X440" s="645"/>
      <c r="Y440" s="646"/>
      <c r="Z440" s="673"/>
      <c r="AA440" s="646"/>
      <c r="AB440" s="646"/>
      <c r="AC440" s="646"/>
      <c r="AD440" s="646"/>
      <c r="AE440" s="646"/>
      <c r="AF440" s="646"/>
      <c r="AG440" s="646"/>
      <c r="AH440" s="646"/>
      <c r="AI440" s="646"/>
      <c r="AJ440" s="646"/>
      <c r="AK440" s="646"/>
      <c r="AL440" s="646"/>
      <c r="AM440" s="646"/>
      <c r="AN440" s="646"/>
      <c r="AO440" s="646"/>
      <c r="AP440" s="646"/>
      <c r="AQ440" s="646"/>
      <c r="AR440" s="646"/>
      <c r="AS440" s="646"/>
      <c r="AT440" s="646"/>
      <c r="AU440" s="646"/>
      <c r="AV440" s="646"/>
      <c r="AW440" s="646"/>
      <c r="AX440" s="646"/>
      <c r="AY440" s="646"/>
      <c r="AZ440" s="646"/>
      <c r="BA440" s="646"/>
      <c r="BB440" s="646"/>
      <c r="BC440" s="646"/>
      <c r="BD440" s="646"/>
      <c r="BE440" s="646"/>
      <c r="BF440" s="646"/>
      <c r="BG440" s="646"/>
      <c r="BH440" s="646"/>
      <c r="BI440" s="646"/>
      <c r="BJ440" s="646"/>
      <c r="BK440" s="646"/>
      <c r="BL440" s="646"/>
      <c r="BM440" s="646"/>
      <c r="BN440" s="646"/>
      <c r="BO440" s="646"/>
      <c r="BP440" s="646"/>
      <c r="BQ440" s="646"/>
      <c r="BR440" s="645"/>
      <c r="BS440" s="645"/>
      <c r="BT440" s="645"/>
      <c r="BU440" s="645"/>
      <c r="BV440" s="646"/>
      <c r="BW440" s="647"/>
      <c r="BX440" s="647"/>
      <c r="BY440" s="647"/>
      <c r="BZ440" s="647"/>
      <c r="CA440" s="647"/>
      <c r="CB440" s="647"/>
      <c r="CC440" s="647"/>
      <c r="CD440" s="647"/>
      <c r="CE440" s="647"/>
      <c r="CF440" s="647"/>
      <c r="CG440" s="647"/>
      <c r="CH440" s="647"/>
      <c r="CI440" s="647"/>
      <c r="FK440" s="714"/>
      <c r="FL440" s="714"/>
    </row>
    <row r="441" spans="4:168" s="640" customFormat="1" hidden="1">
      <c r="D441" s="641"/>
      <c r="G441" s="642"/>
      <c r="J441" s="642"/>
      <c r="K441" s="643"/>
      <c r="M441" s="644"/>
      <c r="N441" s="642"/>
      <c r="Q441" s="642"/>
      <c r="T441" s="642"/>
      <c r="U441" s="643"/>
      <c r="X441" s="645"/>
      <c r="Y441" s="646"/>
      <c r="Z441" s="673"/>
      <c r="AA441" s="646"/>
      <c r="AB441" s="646"/>
      <c r="AC441" s="646"/>
      <c r="AD441" s="646"/>
      <c r="AE441" s="646"/>
      <c r="AF441" s="646"/>
      <c r="AG441" s="646"/>
      <c r="AH441" s="646"/>
      <c r="AI441" s="646"/>
      <c r="AJ441" s="646"/>
      <c r="AK441" s="646"/>
      <c r="AL441" s="646"/>
      <c r="AM441" s="646"/>
      <c r="AN441" s="646"/>
      <c r="AO441" s="646"/>
      <c r="AP441" s="646"/>
      <c r="AQ441" s="646"/>
      <c r="AR441" s="646"/>
      <c r="AS441" s="646"/>
      <c r="AT441" s="646"/>
      <c r="AU441" s="646"/>
      <c r="AV441" s="646"/>
      <c r="AW441" s="646"/>
      <c r="AX441" s="646"/>
      <c r="AY441" s="646"/>
      <c r="AZ441" s="646"/>
      <c r="BA441" s="646"/>
      <c r="BB441" s="646"/>
      <c r="BC441" s="646"/>
      <c r="BD441" s="646"/>
      <c r="BE441" s="646"/>
      <c r="BF441" s="646"/>
      <c r="BG441" s="646"/>
      <c r="BH441" s="646"/>
      <c r="BI441" s="646"/>
      <c r="BJ441" s="646"/>
      <c r="BK441" s="646"/>
      <c r="BL441" s="646"/>
      <c r="BM441" s="646"/>
      <c r="BN441" s="646"/>
      <c r="BO441" s="646"/>
      <c r="BP441" s="646"/>
      <c r="BQ441" s="646"/>
      <c r="BR441" s="645"/>
      <c r="BS441" s="645"/>
      <c r="BT441" s="645"/>
      <c r="BU441" s="645"/>
      <c r="BV441" s="646"/>
      <c r="BW441" s="647"/>
      <c r="BX441" s="647"/>
      <c r="BY441" s="647"/>
      <c r="BZ441" s="647"/>
      <c r="CA441" s="647"/>
      <c r="CB441" s="647"/>
      <c r="CC441" s="647"/>
      <c r="CD441" s="647"/>
      <c r="CE441" s="647"/>
      <c r="CF441" s="647"/>
      <c r="CG441" s="647"/>
      <c r="CH441" s="647"/>
      <c r="CI441" s="647"/>
      <c r="FK441" s="714"/>
      <c r="FL441" s="714"/>
    </row>
    <row r="442" spans="4:168" s="640" customFormat="1" hidden="1">
      <c r="D442" s="641"/>
      <c r="G442" s="642"/>
      <c r="J442" s="642"/>
      <c r="K442" s="643"/>
      <c r="M442" s="644"/>
      <c r="N442" s="642"/>
      <c r="Q442" s="642"/>
      <c r="T442" s="642"/>
      <c r="U442" s="643"/>
      <c r="X442" s="645"/>
      <c r="Y442" s="646"/>
      <c r="Z442" s="673"/>
      <c r="AA442" s="646"/>
      <c r="AB442" s="646"/>
      <c r="AC442" s="646"/>
      <c r="AD442" s="646"/>
      <c r="AE442" s="646"/>
      <c r="AF442" s="646"/>
      <c r="AG442" s="646"/>
      <c r="AH442" s="646"/>
      <c r="AI442" s="646"/>
      <c r="AJ442" s="646"/>
      <c r="AK442" s="646"/>
      <c r="AL442" s="646"/>
      <c r="AM442" s="646"/>
      <c r="AN442" s="646"/>
      <c r="AO442" s="646"/>
      <c r="AP442" s="646"/>
      <c r="AQ442" s="646"/>
      <c r="AR442" s="646"/>
      <c r="AS442" s="646"/>
      <c r="AT442" s="646"/>
      <c r="AU442" s="646"/>
      <c r="AV442" s="646"/>
      <c r="AW442" s="646"/>
      <c r="AX442" s="646"/>
      <c r="AY442" s="646"/>
      <c r="AZ442" s="646"/>
      <c r="BA442" s="646"/>
      <c r="BB442" s="646"/>
      <c r="BC442" s="646"/>
      <c r="BD442" s="646"/>
      <c r="BE442" s="646"/>
      <c r="BF442" s="646"/>
      <c r="BG442" s="646"/>
      <c r="BH442" s="646"/>
      <c r="BI442" s="646"/>
      <c r="BJ442" s="646"/>
      <c r="BK442" s="646"/>
      <c r="BL442" s="646"/>
      <c r="BM442" s="646"/>
      <c r="BN442" s="646"/>
      <c r="BO442" s="646"/>
      <c r="BP442" s="646"/>
      <c r="BQ442" s="646"/>
      <c r="BR442" s="645"/>
      <c r="BS442" s="645"/>
      <c r="BT442" s="645"/>
      <c r="BU442" s="645"/>
      <c r="BV442" s="646"/>
      <c r="BW442" s="647"/>
      <c r="BX442" s="647"/>
      <c r="BY442" s="647"/>
      <c r="BZ442" s="647"/>
      <c r="CA442" s="647"/>
      <c r="CB442" s="647"/>
      <c r="CC442" s="647"/>
      <c r="CD442" s="647"/>
      <c r="CE442" s="647"/>
      <c r="CF442" s="647"/>
      <c r="CG442" s="647"/>
      <c r="CH442" s="647"/>
      <c r="CI442" s="647"/>
      <c r="FK442" s="714"/>
      <c r="FL442" s="714"/>
    </row>
    <row r="443" spans="4:168" s="640" customFormat="1" hidden="1">
      <c r="D443" s="641"/>
      <c r="G443" s="642"/>
      <c r="J443" s="642"/>
      <c r="K443" s="643"/>
      <c r="M443" s="644"/>
      <c r="N443" s="642"/>
      <c r="Q443" s="642"/>
      <c r="T443" s="642"/>
      <c r="U443" s="643"/>
      <c r="X443" s="645"/>
      <c r="Y443" s="646"/>
      <c r="Z443" s="673"/>
      <c r="AA443" s="646"/>
      <c r="AB443" s="646"/>
      <c r="AC443" s="646"/>
      <c r="AD443" s="646"/>
      <c r="AE443" s="646"/>
      <c r="AF443" s="646"/>
      <c r="AG443" s="646"/>
      <c r="AH443" s="646"/>
      <c r="AI443" s="646"/>
      <c r="AJ443" s="646"/>
      <c r="AK443" s="646"/>
      <c r="AL443" s="646"/>
      <c r="AM443" s="646"/>
      <c r="AN443" s="646"/>
      <c r="AO443" s="646"/>
      <c r="AP443" s="646"/>
      <c r="AQ443" s="646"/>
      <c r="AR443" s="646"/>
      <c r="AS443" s="646"/>
      <c r="AT443" s="646"/>
      <c r="AU443" s="646"/>
      <c r="AV443" s="646"/>
      <c r="AW443" s="646"/>
      <c r="AX443" s="646"/>
      <c r="AY443" s="646"/>
      <c r="AZ443" s="646"/>
      <c r="BA443" s="646"/>
      <c r="BB443" s="646"/>
      <c r="BC443" s="646"/>
      <c r="BD443" s="646"/>
      <c r="BE443" s="646"/>
      <c r="BF443" s="646"/>
      <c r="BG443" s="646"/>
      <c r="BH443" s="646"/>
      <c r="BI443" s="646"/>
      <c r="BJ443" s="646"/>
      <c r="BK443" s="646"/>
      <c r="BL443" s="646"/>
      <c r="BM443" s="646"/>
      <c r="BN443" s="646"/>
      <c r="BO443" s="646"/>
      <c r="BP443" s="646"/>
      <c r="BQ443" s="646"/>
      <c r="BR443" s="645"/>
      <c r="BS443" s="645"/>
      <c r="BT443" s="645"/>
      <c r="BU443" s="645"/>
      <c r="BV443" s="646"/>
      <c r="BW443" s="647"/>
      <c r="BX443" s="647"/>
      <c r="BY443" s="647"/>
      <c r="BZ443" s="647"/>
      <c r="CA443" s="647"/>
      <c r="CB443" s="647"/>
      <c r="CC443" s="647"/>
      <c r="CD443" s="647"/>
      <c r="CE443" s="647"/>
      <c r="CF443" s="647"/>
      <c r="CG443" s="647"/>
      <c r="CH443" s="647"/>
      <c r="CI443" s="647"/>
      <c r="FK443" s="714"/>
      <c r="FL443" s="714"/>
    </row>
    <row r="444" spans="4:168" s="640" customFormat="1" hidden="1">
      <c r="D444" s="641"/>
      <c r="G444" s="642"/>
      <c r="J444" s="642"/>
      <c r="K444" s="643"/>
      <c r="M444" s="644"/>
      <c r="N444" s="642"/>
      <c r="Q444" s="642"/>
      <c r="T444" s="642"/>
      <c r="U444" s="643"/>
      <c r="X444" s="645"/>
      <c r="Y444" s="646"/>
      <c r="Z444" s="673"/>
      <c r="AA444" s="646"/>
      <c r="AB444" s="646"/>
      <c r="AC444" s="646"/>
      <c r="AD444" s="646"/>
      <c r="AE444" s="646"/>
      <c r="AF444" s="646"/>
      <c r="AG444" s="646"/>
      <c r="AH444" s="646"/>
      <c r="AI444" s="646"/>
      <c r="AJ444" s="646"/>
      <c r="AK444" s="646"/>
      <c r="AL444" s="646"/>
      <c r="AM444" s="646"/>
      <c r="AN444" s="646"/>
      <c r="AO444" s="646"/>
      <c r="AP444" s="646"/>
      <c r="AQ444" s="646"/>
      <c r="AR444" s="646"/>
      <c r="AS444" s="646"/>
      <c r="AT444" s="646"/>
      <c r="AU444" s="646"/>
      <c r="AV444" s="646"/>
      <c r="AW444" s="646"/>
      <c r="AX444" s="646"/>
      <c r="AY444" s="646"/>
      <c r="AZ444" s="646"/>
      <c r="BA444" s="646"/>
      <c r="BB444" s="646"/>
      <c r="BC444" s="646"/>
      <c r="BD444" s="646"/>
      <c r="BE444" s="646"/>
      <c r="BF444" s="646"/>
      <c r="BG444" s="646"/>
      <c r="BH444" s="646"/>
      <c r="BI444" s="646"/>
      <c r="BJ444" s="646"/>
      <c r="BK444" s="646"/>
      <c r="BL444" s="646"/>
      <c r="BM444" s="646"/>
      <c r="BN444" s="646"/>
      <c r="BO444" s="646"/>
      <c r="BP444" s="646"/>
      <c r="BQ444" s="646"/>
      <c r="BR444" s="645"/>
      <c r="BS444" s="645"/>
      <c r="BT444" s="645"/>
      <c r="BU444" s="645"/>
      <c r="BV444" s="646"/>
      <c r="BW444" s="647"/>
      <c r="BX444" s="647"/>
      <c r="BY444" s="647"/>
      <c r="BZ444" s="647"/>
      <c r="CA444" s="647"/>
      <c r="CB444" s="647"/>
      <c r="CC444" s="647"/>
      <c r="CD444" s="647"/>
      <c r="CE444" s="647"/>
      <c r="CF444" s="647"/>
      <c r="CG444" s="647"/>
      <c r="CH444" s="647"/>
      <c r="CI444" s="647"/>
      <c r="FK444" s="714"/>
      <c r="FL444" s="714"/>
    </row>
    <row r="445" spans="4:168" s="640" customFormat="1" hidden="1">
      <c r="D445" s="641"/>
      <c r="G445" s="642"/>
      <c r="J445" s="642"/>
      <c r="K445" s="643"/>
      <c r="M445" s="644"/>
      <c r="N445" s="642"/>
      <c r="Q445" s="642"/>
      <c r="T445" s="642"/>
      <c r="U445" s="643"/>
      <c r="X445" s="645"/>
      <c r="Y445" s="646"/>
      <c r="Z445" s="673"/>
      <c r="AA445" s="646"/>
      <c r="AB445" s="646"/>
      <c r="AC445" s="646"/>
      <c r="AD445" s="646"/>
      <c r="AE445" s="646"/>
      <c r="AF445" s="646"/>
      <c r="AG445" s="646"/>
      <c r="AH445" s="646"/>
      <c r="AI445" s="646"/>
      <c r="AJ445" s="646"/>
      <c r="AK445" s="646"/>
      <c r="AL445" s="646"/>
      <c r="AM445" s="646"/>
      <c r="AN445" s="646"/>
      <c r="AO445" s="646"/>
      <c r="AP445" s="646"/>
      <c r="AQ445" s="646"/>
      <c r="AR445" s="646"/>
      <c r="AS445" s="646"/>
      <c r="AT445" s="646"/>
      <c r="AU445" s="646"/>
      <c r="AV445" s="646"/>
      <c r="AW445" s="646"/>
      <c r="AX445" s="646"/>
      <c r="AY445" s="646"/>
      <c r="AZ445" s="646"/>
      <c r="BA445" s="646"/>
      <c r="BB445" s="646"/>
      <c r="BC445" s="646"/>
      <c r="BD445" s="646"/>
      <c r="BE445" s="646"/>
      <c r="BF445" s="646"/>
      <c r="BG445" s="646"/>
      <c r="BH445" s="646"/>
      <c r="BI445" s="646"/>
      <c r="BJ445" s="646"/>
      <c r="BK445" s="646"/>
      <c r="BL445" s="646"/>
      <c r="BM445" s="646"/>
      <c r="BN445" s="646"/>
      <c r="BO445" s="646"/>
      <c r="BP445" s="646"/>
      <c r="BQ445" s="646"/>
      <c r="BR445" s="645"/>
      <c r="BS445" s="645"/>
      <c r="BT445" s="645"/>
      <c r="BU445" s="645"/>
      <c r="BV445" s="646"/>
      <c r="BW445" s="647"/>
      <c r="BX445" s="647"/>
      <c r="BY445" s="647"/>
      <c r="BZ445" s="647"/>
      <c r="CA445" s="647"/>
      <c r="CB445" s="647"/>
      <c r="CC445" s="647"/>
      <c r="CD445" s="647"/>
      <c r="CE445" s="647"/>
      <c r="CF445" s="647"/>
      <c r="CG445" s="647"/>
      <c r="CH445" s="647"/>
      <c r="CI445" s="647"/>
      <c r="FK445" s="714"/>
      <c r="FL445" s="714"/>
    </row>
    <row r="446" spans="4:168" s="640" customFormat="1" hidden="1">
      <c r="D446" s="641"/>
      <c r="G446" s="642"/>
      <c r="J446" s="642"/>
      <c r="K446" s="643"/>
      <c r="M446" s="644"/>
      <c r="N446" s="642"/>
      <c r="Q446" s="642"/>
      <c r="T446" s="642"/>
      <c r="U446" s="643"/>
      <c r="X446" s="645"/>
      <c r="Y446" s="646"/>
      <c r="Z446" s="673"/>
      <c r="AA446" s="646"/>
      <c r="AB446" s="646"/>
      <c r="AC446" s="646"/>
      <c r="AD446" s="646"/>
      <c r="AE446" s="646"/>
      <c r="AF446" s="646"/>
      <c r="AG446" s="646"/>
      <c r="AH446" s="646"/>
      <c r="AI446" s="646"/>
      <c r="AJ446" s="646"/>
      <c r="AK446" s="646"/>
      <c r="AL446" s="646"/>
      <c r="AM446" s="646"/>
      <c r="AN446" s="646"/>
      <c r="AO446" s="646"/>
      <c r="AP446" s="646"/>
      <c r="AQ446" s="646"/>
      <c r="AR446" s="646"/>
      <c r="AS446" s="646"/>
      <c r="AT446" s="646"/>
      <c r="AU446" s="646"/>
      <c r="AV446" s="646"/>
      <c r="AW446" s="646"/>
      <c r="AX446" s="646"/>
      <c r="AY446" s="646"/>
      <c r="AZ446" s="646"/>
      <c r="BA446" s="646"/>
      <c r="BB446" s="646"/>
      <c r="BC446" s="646"/>
      <c r="BD446" s="646"/>
      <c r="BE446" s="646"/>
      <c r="BF446" s="646"/>
      <c r="BG446" s="646"/>
      <c r="BH446" s="646"/>
      <c r="BI446" s="646"/>
      <c r="BJ446" s="646"/>
      <c r="BK446" s="646"/>
      <c r="BL446" s="646"/>
      <c r="BM446" s="646"/>
      <c r="BN446" s="646"/>
      <c r="BO446" s="646"/>
      <c r="BP446" s="646"/>
      <c r="BQ446" s="646"/>
      <c r="BR446" s="645"/>
      <c r="BS446" s="645"/>
      <c r="BT446" s="645"/>
      <c r="BU446" s="645"/>
      <c r="BV446" s="646"/>
      <c r="BW446" s="647"/>
      <c r="BX446" s="647"/>
      <c r="BY446" s="647"/>
      <c r="BZ446" s="647"/>
      <c r="CA446" s="647"/>
      <c r="CB446" s="647"/>
      <c r="CC446" s="647"/>
      <c r="CD446" s="647"/>
      <c r="CE446" s="647"/>
      <c r="CF446" s="647"/>
      <c r="CG446" s="647"/>
      <c r="CH446" s="647"/>
      <c r="CI446" s="647"/>
      <c r="FK446" s="714"/>
      <c r="FL446" s="714"/>
    </row>
    <row r="447" spans="4:168" s="640" customFormat="1" hidden="1">
      <c r="D447" s="641"/>
      <c r="G447" s="642"/>
      <c r="J447" s="642"/>
      <c r="K447" s="643"/>
      <c r="M447" s="644"/>
      <c r="N447" s="642"/>
      <c r="Q447" s="642"/>
      <c r="T447" s="642"/>
      <c r="U447" s="643"/>
      <c r="X447" s="645"/>
      <c r="Y447" s="646"/>
      <c r="Z447" s="673"/>
      <c r="AA447" s="646"/>
      <c r="AB447" s="646"/>
      <c r="AC447" s="646"/>
      <c r="AD447" s="646"/>
      <c r="AE447" s="646"/>
      <c r="AF447" s="646"/>
      <c r="AG447" s="646"/>
      <c r="AH447" s="646"/>
      <c r="AI447" s="646"/>
      <c r="AJ447" s="646"/>
      <c r="AK447" s="646"/>
      <c r="AL447" s="646"/>
      <c r="AM447" s="646"/>
      <c r="AN447" s="646"/>
      <c r="AO447" s="646"/>
      <c r="AP447" s="646"/>
      <c r="AQ447" s="646"/>
      <c r="AR447" s="646"/>
      <c r="AS447" s="646"/>
      <c r="AT447" s="646"/>
      <c r="AU447" s="646"/>
      <c r="AV447" s="646"/>
      <c r="AW447" s="646"/>
      <c r="AX447" s="646"/>
      <c r="AY447" s="646"/>
      <c r="AZ447" s="646"/>
      <c r="BA447" s="646"/>
      <c r="BB447" s="646"/>
      <c r="BC447" s="646"/>
      <c r="BD447" s="646"/>
      <c r="BE447" s="646"/>
      <c r="BF447" s="646"/>
      <c r="BG447" s="646"/>
      <c r="BH447" s="646"/>
      <c r="BI447" s="646"/>
      <c r="BJ447" s="646"/>
      <c r="BK447" s="646"/>
      <c r="BL447" s="646"/>
      <c r="BM447" s="646"/>
      <c r="BN447" s="646"/>
      <c r="BO447" s="646"/>
      <c r="BP447" s="646"/>
      <c r="BQ447" s="646"/>
      <c r="BR447" s="645"/>
      <c r="BS447" s="645"/>
      <c r="BT447" s="645"/>
      <c r="BU447" s="645"/>
      <c r="BV447" s="646"/>
      <c r="BW447" s="647"/>
      <c r="BX447" s="647"/>
      <c r="BY447" s="647"/>
      <c r="BZ447" s="647"/>
      <c r="CA447" s="647"/>
      <c r="CB447" s="647"/>
      <c r="CC447" s="647"/>
      <c r="CD447" s="647"/>
      <c r="CE447" s="647"/>
      <c r="CF447" s="647"/>
      <c r="CG447" s="647"/>
      <c r="CH447" s="647"/>
      <c r="CI447" s="647"/>
      <c r="FK447" s="714"/>
      <c r="FL447" s="714"/>
    </row>
    <row r="448" spans="4:168" s="640" customFormat="1" hidden="1">
      <c r="D448" s="641"/>
      <c r="G448" s="642"/>
      <c r="J448" s="642"/>
      <c r="K448" s="643"/>
      <c r="M448" s="644"/>
      <c r="N448" s="642"/>
      <c r="Q448" s="642"/>
      <c r="T448" s="642"/>
      <c r="U448" s="643"/>
      <c r="X448" s="645"/>
      <c r="Y448" s="646"/>
      <c r="Z448" s="673"/>
      <c r="AA448" s="646"/>
      <c r="AB448" s="646"/>
      <c r="AC448" s="646"/>
      <c r="AD448" s="646"/>
      <c r="AE448" s="646"/>
      <c r="AF448" s="646"/>
      <c r="AG448" s="646"/>
      <c r="AH448" s="646"/>
      <c r="AI448" s="646"/>
      <c r="AJ448" s="646"/>
      <c r="AK448" s="646"/>
      <c r="AL448" s="646"/>
      <c r="AM448" s="646"/>
      <c r="AN448" s="646"/>
      <c r="AO448" s="646"/>
      <c r="AP448" s="646"/>
      <c r="AQ448" s="646"/>
      <c r="AR448" s="646"/>
      <c r="AS448" s="646"/>
      <c r="AT448" s="646"/>
      <c r="AU448" s="646"/>
      <c r="AV448" s="646"/>
      <c r="AW448" s="646"/>
      <c r="AX448" s="646"/>
      <c r="AY448" s="646"/>
      <c r="AZ448" s="646"/>
      <c r="BA448" s="646"/>
      <c r="BB448" s="646"/>
      <c r="BC448" s="646"/>
      <c r="BD448" s="646"/>
      <c r="BE448" s="646"/>
      <c r="BF448" s="646"/>
      <c r="BG448" s="646"/>
      <c r="BH448" s="646"/>
      <c r="BI448" s="646"/>
      <c r="BJ448" s="646"/>
      <c r="BK448" s="646"/>
      <c r="BL448" s="646"/>
      <c r="BM448" s="646"/>
      <c r="BN448" s="646"/>
      <c r="BO448" s="646"/>
      <c r="BP448" s="646"/>
      <c r="BQ448" s="646"/>
      <c r="BR448" s="645"/>
      <c r="BS448" s="645"/>
      <c r="BT448" s="645"/>
      <c r="BU448" s="645"/>
      <c r="BV448" s="646"/>
      <c r="BW448" s="647"/>
      <c r="BX448" s="647"/>
      <c r="BY448" s="647"/>
      <c r="BZ448" s="647"/>
      <c r="CA448" s="647"/>
      <c r="CB448" s="647"/>
      <c r="CC448" s="647"/>
      <c r="CD448" s="647"/>
      <c r="CE448" s="647"/>
      <c r="CF448" s="647"/>
      <c r="CG448" s="647"/>
      <c r="CH448" s="647"/>
      <c r="CI448" s="647"/>
      <c r="FK448" s="714"/>
      <c r="FL448" s="714"/>
    </row>
    <row r="449" spans="4:168" s="640" customFormat="1" hidden="1">
      <c r="D449" s="641"/>
      <c r="G449" s="642"/>
      <c r="J449" s="642"/>
      <c r="K449" s="643"/>
      <c r="M449" s="644"/>
      <c r="N449" s="642"/>
      <c r="Q449" s="642"/>
      <c r="T449" s="642"/>
      <c r="U449" s="643"/>
      <c r="X449" s="645"/>
      <c r="Y449" s="646"/>
      <c r="Z449" s="673"/>
      <c r="AA449" s="646"/>
      <c r="AB449" s="646"/>
      <c r="AC449" s="646"/>
      <c r="AD449" s="646"/>
      <c r="AE449" s="646"/>
      <c r="AF449" s="646"/>
      <c r="AG449" s="646"/>
      <c r="AH449" s="646"/>
      <c r="AI449" s="646"/>
      <c r="AJ449" s="646"/>
      <c r="AK449" s="646"/>
      <c r="AL449" s="646"/>
      <c r="AM449" s="646"/>
      <c r="AN449" s="646"/>
      <c r="AO449" s="646"/>
      <c r="AP449" s="646"/>
      <c r="AQ449" s="646"/>
      <c r="AR449" s="646"/>
      <c r="AS449" s="646"/>
      <c r="AT449" s="646"/>
      <c r="AU449" s="646"/>
      <c r="AV449" s="646"/>
      <c r="AW449" s="646"/>
      <c r="AX449" s="646"/>
      <c r="AY449" s="646"/>
      <c r="AZ449" s="646"/>
      <c r="BA449" s="646"/>
      <c r="BB449" s="646"/>
      <c r="BC449" s="646"/>
      <c r="BD449" s="646"/>
      <c r="BE449" s="646"/>
      <c r="BF449" s="646"/>
      <c r="BG449" s="646"/>
      <c r="BH449" s="646"/>
      <c r="BI449" s="646"/>
      <c r="BJ449" s="646"/>
      <c r="BK449" s="646"/>
      <c r="BL449" s="646"/>
      <c r="BM449" s="646"/>
      <c r="BN449" s="646"/>
      <c r="BO449" s="646"/>
      <c r="BP449" s="646"/>
      <c r="BQ449" s="646"/>
      <c r="BR449" s="645"/>
      <c r="BS449" s="645"/>
      <c r="BT449" s="645"/>
      <c r="BU449" s="645"/>
      <c r="BV449" s="646"/>
      <c r="BW449" s="647"/>
      <c r="BX449" s="647"/>
      <c r="BY449" s="647"/>
      <c r="BZ449" s="647"/>
      <c r="CA449" s="647"/>
      <c r="CB449" s="647"/>
      <c r="CC449" s="647"/>
      <c r="CD449" s="647"/>
      <c r="CE449" s="647"/>
      <c r="CF449" s="647"/>
      <c r="CG449" s="647"/>
      <c r="CH449" s="647"/>
      <c r="CI449" s="647"/>
      <c r="FK449" s="714"/>
      <c r="FL449" s="714"/>
    </row>
    <row r="450" spans="4:168" s="640" customFormat="1" hidden="1">
      <c r="D450" s="641"/>
      <c r="G450" s="642"/>
      <c r="J450" s="642"/>
      <c r="K450" s="643"/>
      <c r="M450" s="644"/>
      <c r="N450" s="642"/>
      <c r="Q450" s="642"/>
      <c r="T450" s="642"/>
      <c r="U450" s="643"/>
      <c r="X450" s="645"/>
      <c r="Y450" s="646"/>
      <c r="Z450" s="673"/>
      <c r="AA450" s="646"/>
      <c r="AB450" s="646"/>
      <c r="AC450" s="646"/>
      <c r="AD450" s="646"/>
      <c r="AE450" s="646"/>
      <c r="AF450" s="646"/>
      <c r="AG450" s="646"/>
      <c r="AH450" s="646"/>
      <c r="AI450" s="646"/>
      <c r="AJ450" s="646"/>
      <c r="AK450" s="646"/>
      <c r="AL450" s="646"/>
      <c r="AM450" s="646"/>
      <c r="AN450" s="646"/>
      <c r="AO450" s="646"/>
      <c r="AP450" s="646"/>
      <c r="AQ450" s="646"/>
      <c r="AR450" s="646"/>
      <c r="AS450" s="646"/>
      <c r="AT450" s="646"/>
      <c r="AU450" s="646"/>
      <c r="AV450" s="646"/>
      <c r="AW450" s="646"/>
      <c r="AX450" s="646"/>
      <c r="AY450" s="646"/>
      <c r="AZ450" s="646"/>
      <c r="BA450" s="646"/>
      <c r="BB450" s="646"/>
      <c r="BC450" s="646"/>
      <c r="BD450" s="646"/>
      <c r="BE450" s="646"/>
      <c r="BF450" s="646"/>
      <c r="BG450" s="646"/>
      <c r="BH450" s="646"/>
      <c r="BI450" s="646"/>
      <c r="BJ450" s="646"/>
      <c r="BK450" s="646"/>
      <c r="BL450" s="646"/>
      <c r="BM450" s="646"/>
      <c r="BN450" s="646"/>
      <c r="BO450" s="646"/>
      <c r="BP450" s="646"/>
      <c r="BQ450" s="646"/>
      <c r="BR450" s="645"/>
      <c r="BS450" s="645"/>
      <c r="BT450" s="645"/>
      <c r="BU450" s="645"/>
      <c r="BV450" s="646"/>
      <c r="BW450" s="647"/>
      <c r="BX450" s="647"/>
      <c r="BY450" s="647"/>
      <c r="BZ450" s="647"/>
      <c r="CA450" s="647"/>
      <c r="CB450" s="647"/>
      <c r="CC450" s="647"/>
      <c r="CD450" s="647"/>
      <c r="CE450" s="647"/>
      <c r="CF450" s="647"/>
      <c r="CG450" s="647"/>
      <c r="CH450" s="647"/>
      <c r="CI450" s="647"/>
      <c r="FK450" s="714"/>
      <c r="FL450" s="714"/>
    </row>
    <row r="451" spans="4:168" s="640" customFormat="1" hidden="1">
      <c r="D451" s="641"/>
      <c r="G451" s="642"/>
      <c r="J451" s="642"/>
      <c r="K451" s="643"/>
      <c r="M451" s="644"/>
      <c r="N451" s="642"/>
      <c r="Q451" s="642"/>
      <c r="T451" s="642"/>
      <c r="U451" s="643"/>
      <c r="X451" s="645"/>
      <c r="Y451" s="646"/>
      <c r="Z451" s="673"/>
      <c r="AA451" s="646"/>
      <c r="AB451" s="646"/>
      <c r="AC451" s="646"/>
      <c r="AD451" s="646"/>
      <c r="AE451" s="646"/>
      <c r="AF451" s="646"/>
      <c r="AG451" s="646"/>
      <c r="AH451" s="646"/>
      <c r="AI451" s="646"/>
      <c r="AJ451" s="646"/>
      <c r="AK451" s="646"/>
      <c r="AL451" s="646"/>
      <c r="AM451" s="646"/>
      <c r="AN451" s="646"/>
      <c r="AO451" s="646"/>
      <c r="AP451" s="646"/>
      <c r="AQ451" s="646"/>
      <c r="AR451" s="646"/>
      <c r="AS451" s="646"/>
      <c r="AT451" s="646"/>
      <c r="AU451" s="646"/>
      <c r="AV451" s="646"/>
      <c r="AW451" s="646"/>
      <c r="AX451" s="646"/>
      <c r="AY451" s="646"/>
      <c r="AZ451" s="646"/>
      <c r="BA451" s="646"/>
      <c r="BB451" s="646"/>
      <c r="BC451" s="646"/>
      <c r="BD451" s="646"/>
      <c r="BE451" s="646"/>
      <c r="BF451" s="646"/>
      <c r="BG451" s="646"/>
      <c r="BH451" s="646"/>
      <c r="BI451" s="646"/>
      <c r="BJ451" s="646"/>
      <c r="BK451" s="646"/>
      <c r="BL451" s="646"/>
      <c r="BM451" s="646"/>
      <c r="BN451" s="646"/>
      <c r="BO451" s="646"/>
      <c r="BP451" s="646"/>
      <c r="BQ451" s="646"/>
      <c r="BR451" s="645"/>
      <c r="BS451" s="645"/>
      <c r="BT451" s="645"/>
      <c r="BU451" s="645"/>
      <c r="BV451" s="646"/>
      <c r="BW451" s="647"/>
      <c r="BX451" s="647"/>
      <c r="BY451" s="647"/>
      <c r="BZ451" s="647"/>
      <c r="CA451" s="647"/>
      <c r="CB451" s="647"/>
      <c r="CC451" s="647"/>
      <c r="CD451" s="647"/>
      <c r="CE451" s="647"/>
      <c r="CF451" s="647"/>
      <c r="CG451" s="647"/>
      <c r="CH451" s="647"/>
      <c r="CI451" s="647"/>
      <c r="FK451" s="714"/>
      <c r="FL451" s="714"/>
    </row>
    <row r="452" spans="4:168" s="640" customFormat="1" hidden="1">
      <c r="D452" s="641"/>
      <c r="G452" s="642"/>
      <c r="J452" s="642"/>
      <c r="K452" s="643"/>
      <c r="M452" s="644"/>
      <c r="N452" s="642"/>
      <c r="Q452" s="642"/>
      <c r="T452" s="642"/>
      <c r="U452" s="643"/>
      <c r="X452" s="645"/>
      <c r="Y452" s="646"/>
      <c r="Z452" s="673"/>
      <c r="AA452" s="646"/>
      <c r="AB452" s="646"/>
      <c r="AC452" s="646"/>
      <c r="AD452" s="646"/>
      <c r="AE452" s="646"/>
      <c r="AF452" s="646"/>
      <c r="AG452" s="646"/>
      <c r="AH452" s="646"/>
      <c r="AI452" s="646"/>
      <c r="AJ452" s="646"/>
      <c r="AK452" s="646"/>
      <c r="AL452" s="646"/>
      <c r="AM452" s="646"/>
      <c r="AN452" s="646"/>
      <c r="AO452" s="646"/>
      <c r="AP452" s="646"/>
      <c r="AQ452" s="646"/>
      <c r="AR452" s="646"/>
      <c r="AS452" s="646"/>
      <c r="AT452" s="646"/>
      <c r="AU452" s="646"/>
      <c r="AV452" s="646"/>
      <c r="AW452" s="646"/>
      <c r="AX452" s="646"/>
      <c r="AY452" s="646"/>
      <c r="AZ452" s="646"/>
      <c r="BA452" s="646"/>
      <c r="BB452" s="646"/>
      <c r="BC452" s="646"/>
      <c r="BD452" s="646"/>
      <c r="BE452" s="646"/>
      <c r="BF452" s="646"/>
      <c r="BG452" s="646"/>
      <c r="BH452" s="646"/>
      <c r="BI452" s="646"/>
      <c r="BJ452" s="646"/>
      <c r="BK452" s="646"/>
      <c r="BL452" s="646"/>
      <c r="BM452" s="646"/>
      <c r="BN452" s="646"/>
      <c r="BO452" s="646"/>
      <c r="BP452" s="646"/>
      <c r="BQ452" s="646"/>
      <c r="BR452" s="645"/>
      <c r="BS452" s="645"/>
      <c r="BT452" s="645"/>
      <c r="BU452" s="645"/>
      <c r="BV452" s="646"/>
      <c r="BW452" s="647"/>
      <c r="BX452" s="647"/>
      <c r="BY452" s="647"/>
      <c r="BZ452" s="647"/>
      <c r="CA452" s="647"/>
      <c r="CB452" s="647"/>
      <c r="CC452" s="647"/>
      <c r="CD452" s="647"/>
      <c r="CE452" s="647"/>
      <c r="CF452" s="647"/>
      <c r="CG452" s="647"/>
      <c r="CH452" s="647"/>
      <c r="CI452" s="647"/>
      <c r="FK452" s="714"/>
      <c r="FL452" s="714"/>
    </row>
    <row r="453" spans="4:168" s="640" customFormat="1" hidden="1">
      <c r="D453" s="641"/>
      <c r="G453" s="642"/>
      <c r="J453" s="642"/>
      <c r="K453" s="643"/>
      <c r="M453" s="644"/>
      <c r="N453" s="642"/>
      <c r="Q453" s="642"/>
      <c r="T453" s="642"/>
      <c r="U453" s="643"/>
      <c r="X453" s="645"/>
      <c r="Y453" s="646"/>
      <c r="Z453" s="673"/>
      <c r="AA453" s="646"/>
      <c r="AB453" s="646"/>
      <c r="AC453" s="646"/>
      <c r="AD453" s="646"/>
      <c r="AE453" s="646"/>
      <c r="AF453" s="646"/>
      <c r="AG453" s="646"/>
      <c r="AH453" s="646"/>
      <c r="AI453" s="646"/>
      <c r="AJ453" s="646"/>
      <c r="AK453" s="646"/>
      <c r="AL453" s="646"/>
      <c r="AM453" s="646"/>
      <c r="AN453" s="646"/>
      <c r="AO453" s="646"/>
      <c r="AP453" s="646"/>
      <c r="AQ453" s="646"/>
      <c r="AR453" s="646"/>
      <c r="AS453" s="646"/>
      <c r="AT453" s="646"/>
      <c r="AU453" s="646"/>
      <c r="AV453" s="646"/>
      <c r="AW453" s="646"/>
      <c r="AX453" s="646"/>
      <c r="AY453" s="646"/>
      <c r="AZ453" s="646"/>
      <c r="BA453" s="646"/>
      <c r="BB453" s="646"/>
      <c r="BC453" s="646"/>
      <c r="BD453" s="646"/>
      <c r="BE453" s="646"/>
      <c r="BF453" s="646"/>
      <c r="BG453" s="646"/>
      <c r="BH453" s="646"/>
      <c r="BI453" s="646"/>
      <c r="BJ453" s="646"/>
      <c r="BK453" s="646"/>
      <c r="BL453" s="646"/>
      <c r="BM453" s="646"/>
      <c r="BN453" s="646"/>
      <c r="BO453" s="646"/>
      <c r="BP453" s="646"/>
      <c r="BQ453" s="646"/>
      <c r="BR453" s="645"/>
      <c r="BS453" s="645"/>
      <c r="BT453" s="645"/>
      <c r="BU453" s="645"/>
      <c r="BV453" s="646"/>
      <c r="BW453" s="647"/>
      <c r="BX453" s="647"/>
      <c r="BY453" s="647"/>
      <c r="BZ453" s="647"/>
      <c r="CA453" s="647"/>
      <c r="CB453" s="647"/>
      <c r="CC453" s="647"/>
      <c r="CD453" s="647"/>
      <c r="CE453" s="647"/>
      <c r="CF453" s="647"/>
      <c r="CG453" s="647"/>
      <c r="CH453" s="647"/>
      <c r="CI453" s="647"/>
      <c r="FK453" s="714"/>
      <c r="FL453" s="714"/>
    </row>
    <row r="454" spans="4:168" s="640" customFormat="1" hidden="1">
      <c r="D454" s="641"/>
      <c r="G454" s="642"/>
      <c r="J454" s="642"/>
      <c r="K454" s="643"/>
      <c r="M454" s="644"/>
      <c r="N454" s="642"/>
      <c r="Q454" s="642"/>
      <c r="T454" s="642"/>
      <c r="U454" s="643"/>
      <c r="X454" s="645"/>
      <c r="Y454" s="646"/>
      <c r="Z454" s="673"/>
      <c r="AA454" s="646"/>
      <c r="AB454" s="646"/>
      <c r="AC454" s="646"/>
      <c r="AD454" s="646"/>
      <c r="AE454" s="646"/>
      <c r="AF454" s="646"/>
      <c r="AG454" s="646"/>
      <c r="AH454" s="646"/>
      <c r="AI454" s="646"/>
      <c r="AJ454" s="646"/>
      <c r="AK454" s="646"/>
      <c r="AL454" s="646"/>
      <c r="AM454" s="646"/>
      <c r="AN454" s="646"/>
      <c r="AO454" s="646"/>
      <c r="AP454" s="646"/>
      <c r="AQ454" s="646"/>
      <c r="AR454" s="646"/>
      <c r="AS454" s="646"/>
      <c r="AT454" s="646"/>
      <c r="AU454" s="646"/>
      <c r="AV454" s="646"/>
      <c r="AW454" s="646"/>
      <c r="AX454" s="646"/>
      <c r="AY454" s="646"/>
      <c r="AZ454" s="646"/>
      <c r="BA454" s="646"/>
      <c r="BB454" s="646"/>
      <c r="BC454" s="646"/>
      <c r="BD454" s="646"/>
      <c r="BE454" s="646"/>
      <c r="BF454" s="646"/>
      <c r="BG454" s="646"/>
      <c r="BH454" s="646"/>
      <c r="BI454" s="646"/>
      <c r="BJ454" s="646"/>
      <c r="BK454" s="646"/>
      <c r="BL454" s="646"/>
      <c r="BM454" s="646"/>
      <c r="BN454" s="646"/>
      <c r="BO454" s="646"/>
      <c r="BP454" s="646"/>
      <c r="BQ454" s="646"/>
      <c r="BR454" s="645"/>
      <c r="BS454" s="645"/>
      <c r="BT454" s="645"/>
      <c r="BU454" s="645"/>
      <c r="BV454" s="646"/>
      <c r="BW454" s="647"/>
      <c r="BX454" s="647"/>
      <c r="BY454" s="647"/>
      <c r="BZ454" s="647"/>
      <c r="CA454" s="647"/>
      <c r="CB454" s="647"/>
      <c r="CC454" s="647"/>
      <c r="CD454" s="647"/>
      <c r="CE454" s="647"/>
      <c r="CF454" s="647"/>
      <c r="CG454" s="647"/>
      <c r="CH454" s="647"/>
      <c r="CI454" s="647"/>
      <c r="FK454" s="714"/>
      <c r="FL454" s="714"/>
    </row>
    <row r="455" spans="4:168" s="640" customFormat="1" hidden="1">
      <c r="D455" s="641"/>
      <c r="G455" s="642"/>
      <c r="J455" s="642"/>
      <c r="K455" s="643"/>
      <c r="M455" s="644"/>
      <c r="N455" s="642"/>
      <c r="Q455" s="642"/>
      <c r="T455" s="642"/>
      <c r="U455" s="643"/>
      <c r="X455" s="645"/>
      <c r="Y455" s="646"/>
      <c r="Z455" s="673"/>
      <c r="AA455" s="646"/>
      <c r="AB455" s="646"/>
      <c r="AC455" s="646"/>
      <c r="AD455" s="646"/>
      <c r="AE455" s="646"/>
      <c r="AF455" s="646"/>
      <c r="AG455" s="646"/>
      <c r="AH455" s="646"/>
      <c r="AI455" s="646"/>
      <c r="AJ455" s="646"/>
      <c r="AK455" s="646"/>
      <c r="AL455" s="646"/>
      <c r="AM455" s="646"/>
      <c r="AN455" s="646"/>
      <c r="AO455" s="646"/>
      <c r="AP455" s="646"/>
      <c r="AQ455" s="646"/>
      <c r="AR455" s="646"/>
      <c r="AS455" s="646"/>
      <c r="AT455" s="646"/>
      <c r="AU455" s="646"/>
      <c r="AV455" s="646"/>
      <c r="AW455" s="646"/>
      <c r="AX455" s="646"/>
      <c r="AY455" s="646"/>
      <c r="AZ455" s="646"/>
      <c r="BA455" s="646"/>
      <c r="BB455" s="646"/>
      <c r="BC455" s="646"/>
      <c r="BD455" s="646"/>
      <c r="BE455" s="646"/>
      <c r="BF455" s="646"/>
      <c r="BG455" s="646"/>
      <c r="BH455" s="646"/>
      <c r="BI455" s="646"/>
      <c r="BJ455" s="646"/>
      <c r="BK455" s="646"/>
      <c r="BL455" s="646"/>
      <c r="BM455" s="646"/>
      <c r="BN455" s="646"/>
      <c r="BO455" s="646"/>
      <c r="BP455" s="646"/>
      <c r="BQ455" s="646"/>
      <c r="BR455" s="645"/>
      <c r="BS455" s="645"/>
      <c r="BT455" s="645"/>
      <c r="BU455" s="645"/>
      <c r="BV455" s="646"/>
      <c r="BW455" s="647"/>
      <c r="BX455" s="647"/>
      <c r="BY455" s="647"/>
      <c r="BZ455" s="647"/>
      <c r="CA455" s="647"/>
      <c r="CB455" s="647"/>
      <c r="CC455" s="647"/>
      <c r="CD455" s="647"/>
      <c r="CE455" s="647"/>
      <c r="CF455" s="647"/>
      <c r="CG455" s="647"/>
      <c r="CH455" s="647"/>
      <c r="CI455" s="647"/>
      <c r="FK455" s="714"/>
      <c r="FL455" s="714"/>
    </row>
    <row r="456" spans="4:168" s="640" customFormat="1" hidden="1">
      <c r="D456" s="641"/>
      <c r="G456" s="642"/>
      <c r="J456" s="642"/>
      <c r="K456" s="643"/>
      <c r="M456" s="644"/>
      <c r="N456" s="642"/>
      <c r="Q456" s="642"/>
      <c r="T456" s="642"/>
      <c r="U456" s="643"/>
      <c r="X456" s="645"/>
      <c r="Y456" s="646"/>
      <c r="Z456" s="673"/>
      <c r="AA456" s="646"/>
      <c r="AB456" s="646"/>
      <c r="AC456" s="646"/>
      <c r="AD456" s="646"/>
      <c r="AE456" s="646"/>
      <c r="AF456" s="646"/>
      <c r="AG456" s="646"/>
      <c r="AH456" s="646"/>
      <c r="AI456" s="646"/>
      <c r="AJ456" s="646"/>
      <c r="AK456" s="646"/>
      <c r="AL456" s="646"/>
      <c r="AM456" s="646"/>
      <c r="AN456" s="646"/>
      <c r="AO456" s="646"/>
      <c r="AP456" s="646"/>
      <c r="AQ456" s="646"/>
      <c r="AR456" s="646"/>
      <c r="AS456" s="646"/>
      <c r="AT456" s="646"/>
      <c r="AU456" s="646"/>
      <c r="AV456" s="646"/>
      <c r="AW456" s="646"/>
      <c r="AX456" s="646"/>
      <c r="AY456" s="646"/>
      <c r="AZ456" s="646"/>
      <c r="BA456" s="646"/>
      <c r="BB456" s="646"/>
      <c r="BC456" s="646"/>
      <c r="BD456" s="646"/>
      <c r="BE456" s="646"/>
      <c r="BF456" s="646"/>
      <c r="BG456" s="646"/>
      <c r="BH456" s="646"/>
      <c r="BI456" s="646"/>
      <c r="BJ456" s="646"/>
      <c r="BK456" s="646"/>
      <c r="BL456" s="646"/>
      <c r="BM456" s="646"/>
      <c r="BN456" s="646"/>
      <c r="BO456" s="646"/>
      <c r="BP456" s="646"/>
      <c r="BQ456" s="646"/>
      <c r="BR456" s="645"/>
      <c r="BS456" s="645"/>
      <c r="BT456" s="645"/>
      <c r="BU456" s="645"/>
      <c r="BV456" s="646"/>
      <c r="BW456" s="647"/>
      <c r="BX456" s="647"/>
      <c r="BY456" s="647"/>
      <c r="BZ456" s="647"/>
      <c r="CA456" s="647"/>
      <c r="CB456" s="647"/>
      <c r="CC456" s="647"/>
      <c r="CD456" s="647"/>
      <c r="CE456" s="647"/>
      <c r="CF456" s="647"/>
      <c r="CG456" s="647"/>
      <c r="CH456" s="647"/>
      <c r="CI456" s="647"/>
      <c r="FK456" s="714"/>
      <c r="FL456" s="714"/>
    </row>
    <row r="457" spans="4:168" s="640" customFormat="1" hidden="1">
      <c r="D457" s="641"/>
      <c r="G457" s="642"/>
      <c r="J457" s="642"/>
      <c r="K457" s="643"/>
      <c r="M457" s="644"/>
      <c r="N457" s="642"/>
      <c r="Q457" s="642"/>
      <c r="T457" s="642"/>
      <c r="U457" s="643"/>
      <c r="X457" s="645"/>
      <c r="Y457" s="646"/>
      <c r="Z457" s="673"/>
      <c r="AA457" s="646"/>
      <c r="AB457" s="646"/>
      <c r="AC457" s="646"/>
      <c r="AD457" s="646"/>
      <c r="AE457" s="646"/>
      <c r="AF457" s="646"/>
      <c r="AG457" s="646"/>
      <c r="AH457" s="646"/>
      <c r="AI457" s="646"/>
      <c r="AJ457" s="646"/>
      <c r="AK457" s="646"/>
      <c r="AL457" s="646"/>
      <c r="AM457" s="646"/>
      <c r="AN457" s="646"/>
      <c r="AO457" s="646"/>
      <c r="AP457" s="646"/>
      <c r="AQ457" s="646"/>
      <c r="AR457" s="646"/>
      <c r="AS457" s="646"/>
      <c r="AT457" s="646"/>
      <c r="AU457" s="646"/>
      <c r="AV457" s="646"/>
      <c r="AW457" s="646"/>
      <c r="AX457" s="646"/>
      <c r="AY457" s="646"/>
      <c r="AZ457" s="646"/>
      <c r="BA457" s="646"/>
      <c r="BB457" s="646"/>
      <c r="BC457" s="646"/>
      <c r="BD457" s="646"/>
      <c r="BE457" s="646"/>
      <c r="BF457" s="646"/>
      <c r="BG457" s="646"/>
      <c r="BH457" s="646"/>
      <c r="BI457" s="646"/>
      <c r="BJ457" s="646"/>
      <c r="BK457" s="646"/>
      <c r="BL457" s="646"/>
      <c r="BM457" s="646"/>
      <c r="BN457" s="646"/>
      <c r="BO457" s="646"/>
      <c r="BP457" s="646"/>
      <c r="BQ457" s="646"/>
      <c r="BR457" s="645"/>
      <c r="BS457" s="645"/>
      <c r="BT457" s="645"/>
      <c r="BU457" s="645"/>
      <c r="BV457" s="646"/>
      <c r="BW457" s="647"/>
      <c r="BX457" s="647"/>
      <c r="BY457" s="647"/>
      <c r="BZ457" s="647"/>
      <c r="CA457" s="647"/>
      <c r="CB457" s="647"/>
      <c r="CC457" s="647"/>
      <c r="CD457" s="647"/>
      <c r="CE457" s="647"/>
      <c r="CF457" s="647"/>
      <c r="CG457" s="647"/>
      <c r="CH457" s="647"/>
      <c r="CI457" s="647"/>
      <c r="FK457" s="714"/>
      <c r="FL457" s="714"/>
    </row>
    <row r="458" spans="4:168" s="640" customFormat="1" hidden="1">
      <c r="D458" s="641"/>
      <c r="G458" s="642"/>
      <c r="J458" s="642"/>
      <c r="K458" s="643"/>
      <c r="M458" s="644"/>
      <c r="N458" s="642"/>
      <c r="Q458" s="642"/>
      <c r="T458" s="642"/>
      <c r="U458" s="643"/>
      <c r="X458" s="645"/>
      <c r="Y458" s="646"/>
      <c r="Z458" s="673"/>
      <c r="AA458" s="646"/>
      <c r="AB458" s="646"/>
      <c r="AC458" s="646"/>
      <c r="AD458" s="646"/>
      <c r="AE458" s="646"/>
      <c r="AF458" s="646"/>
      <c r="AG458" s="646"/>
      <c r="AH458" s="646"/>
      <c r="AI458" s="646"/>
      <c r="AJ458" s="646"/>
      <c r="AK458" s="646"/>
      <c r="AL458" s="646"/>
      <c r="AM458" s="646"/>
      <c r="AN458" s="646"/>
      <c r="AO458" s="646"/>
      <c r="AP458" s="646"/>
      <c r="AQ458" s="646"/>
      <c r="AR458" s="646"/>
      <c r="AS458" s="646"/>
      <c r="AT458" s="646"/>
      <c r="AU458" s="646"/>
      <c r="AV458" s="646"/>
      <c r="AW458" s="646"/>
      <c r="AX458" s="646"/>
      <c r="AY458" s="646"/>
      <c r="AZ458" s="646"/>
      <c r="BA458" s="646"/>
      <c r="BB458" s="646"/>
      <c r="BC458" s="646"/>
      <c r="BD458" s="646"/>
      <c r="BE458" s="646"/>
      <c r="BF458" s="646"/>
      <c r="BG458" s="646"/>
      <c r="BH458" s="646"/>
      <c r="BI458" s="646"/>
      <c r="BJ458" s="646"/>
      <c r="BK458" s="646"/>
      <c r="BL458" s="646"/>
      <c r="BM458" s="646"/>
      <c r="BN458" s="646"/>
      <c r="BO458" s="646"/>
      <c r="BP458" s="646"/>
      <c r="BQ458" s="646"/>
      <c r="BR458" s="645"/>
      <c r="BS458" s="645"/>
      <c r="BT458" s="645"/>
      <c r="BU458" s="645"/>
      <c r="BV458" s="646"/>
      <c r="BW458" s="647"/>
      <c r="BX458" s="647"/>
      <c r="BY458" s="647"/>
      <c r="BZ458" s="647"/>
      <c r="CA458" s="647"/>
      <c r="CB458" s="647"/>
      <c r="CC458" s="647"/>
      <c r="CD458" s="647"/>
      <c r="CE458" s="647"/>
      <c r="CF458" s="647"/>
      <c r="CG458" s="647"/>
      <c r="CH458" s="647"/>
      <c r="CI458" s="647"/>
      <c r="FK458" s="714"/>
      <c r="FL458" s="714"/>
    </row>
    <row r="459" spans="4:168" s="640" customFormat="1" hidden="1">
      <c r="D459" s="641"/>
      <c r="G459" s="642"/>
      <c r="J459" s="642"/>
      <c r="K459" s="643"/>
      <c r="M459" s="644"/>
      <c r="N459" s="642"/>
      <c r="Q459" s="642"/>
      <c r="T459" s="642"/>
      <c r="U459" s="643"/>
      <c r="X459" s="645"/>
      <c r="Y459" s="646"/>
      <c r="Z459" s="673"/>
      <c r="AA459" s="646"/>
      <c r="AB459" s="646"/>
      <c r="AC459" s="646"/>
      <c r="AD459" s="646"/>
      <c r="AE459" s="646"/>
      <c r="AF459" s="646"/>
      <c r="AG459" s="646"/>
      <c r="AH459" s="646"/>
      <c r="AI459" s="646"/>
      <c r="AJ459" s="646"/>
      <c r="AK459" s="646"/>
      <c r="AL459" s="646"/>
      <c r="AM459" s="646"/>
      <c r="AN459" s="646"/>
      <c r="AO459" s="646"/>
      <c r="AP459" s="646"/>
      <c r="AQ459" s="646"/>
      <c r="AR459" s="646"/>
      <c r="AS459" s="646"/>
      <c r="AT459" s="646"/>
      <c r="AU459" s="646"/>
      <c r="AV459" s="646"/>
      <c r="AW459" s="646"/>
      <c r="AX459" s="646"/>
      <c r="AY459" s="646"/>
      <c r="AZ459" s="646"/>
      <c r="BA459" s="646"/>
      <c r="BB459" s="646"/>
      <c r="BC459" s="646"/>
      <c r="BD459" s="646"/>
      <c r="BE459" s="646"/>
      <c r="BF459" s="646"/>
      <c r="BG459" s="646"/>
      <c r="BH459" s="646"/>
      <c r="BI459" s="646"/>
      <c r="BJ459" s="646"/>
      <c r="BK459" s="646"/>
      <c r="BL459" s="646"/>
      <c r="BM459" s="646"/>
      <c r="BN459" s="646"/>
      <c r="BO459" s="646"/>
      <c r="BP459" s="646"/>
      <c r="BQ459" s="646"/>
      <c r="BR459" s="645"/>
      <c r="BS459" s="645"/>
      <c r="BT459" s="645"/>
      <c r="BU459" s="645"/>
      <c r="BV459" s="646"/>
      <c r="BW459" s="647"/>
      <c r="BX459" s="647"/>
      <c r="BY459" s="647"/>
      <c r="BZ459" s="647"/>
      <c r="CA459" s="647"/>
      <c r="CB459" s="647"/>
      <c r="CC459" s="647"/>
      <c r="CD459" s="647"/>
      <c r="CE459" s="647"/>
      <c r="CF459" s="647"/>
      <c r="CG459" s="647"/>
      <c r="CH459" s="647"/>
      <c r="CI459" s="647"/>
      <c r="FK459" s="714"/>
      <c r="FL459" s="714"/>
    </row>
    <row r="460" spans="4:168" s="640" customFormat="1" hidden="1">
      <c r="D460" s="641"/>
      <c r="G460" s="642"/>
      <c r="J460" s="642"/>
      <c r="K460" s="643"/>
      <c r="M460" s="644"/>
      <c r="N460" s="642"/>
      <c r="Q460" s="642"/>
      <c r="T460" s="642"/>
      <c r="U460" s="643"/>
      <c r="X460" s="645"/>
      <c r="Y460" s="646"/>
      <c r="Z460" s="673"/>
      <c r="AA460" s="646"/>
      <c r="AB460" s="646"/>
      <c r="AC460" s="646"/>
      <c r="AD460" s="646"/>
      <c r="AE460" s="646"/>
      <c r="AF460" s="646"/>
      <c r="AG460" s="646"/>
      <c r="AH460" s="646"/>
      <c r="AI460" s="646"/>
      <c r="AJ460" s="646"/>
      <c r="AK460" s="646"/>
      <c r="AL460" s="646"/>
      <c r="AM460" s="646"/>
      <c r="AN460" s="646"/>
      <c r="AO460" s="646"/>
      <c r="AP460" s="646"/>
      <c r="AQ460" s="646"/>
      <c r="AR460" s="646"/>
      <c r="AS460" s="646"/>
      <c r="AT460" s="646"/>
      <c r="AU460" s="646"/>
      <c r="AV460" s="646"/>
      <c r="AW460" s="646"/>
      <c r="AX460" s="646"/>
      <c r="AY460" s="646"/>
      <c r="AZ460" s="646"/>
      <c r="BA460" s="646"/>
      <c r="BB460" s="646"/>
      <c r="BC460" s="646"/>
      <c r="BD460" s="646"/>
      <c r="BE460" s="646"/>
      <c r="BF460" s="646"/>
      <c r="BG460" s="646"/>
      <c r="BH460" s="646"/>
      <c r="BI460" s="646"/>
      <c r="BJ460" s="646"/>
      <c r="BK460" s="646"/>
      <c r="BL460" s="646"/>
      <c r="BM460" s="646"/>
      <c r="BN460" s="646"/>
      <c r="BO460" s="646"/>
      <c r="BP460" s="646"/>
      <c r="BQ460" s="646"/>
      <c r="BR460" s="645"/>
      <c r="BS460" s="645"/>
      <c r="BT460" s="645"/>
      <c r="BU460" s="645"/>
      <c r="BV460" s="646"/>
      <c r="BW460" s="647"/>
      <c r="BX460" s="647"/>
      <c r="BY460" s="647"/>
      <c r="BZ460" s="647"/>
      <c r="CA460" s="647"/>
      <c r="CB460" s="647"/>
      <c r="CC460" s="647"/>
      <c r="CD460" s="647"/>
      <c r="CE460" s="647"/>
      <c r="CF460" s="647"/>
      <c r="CG460" s="647"/>
      <c r="CH460" s="647"/>
      <c r="CI460" s="647"/>
      <c r="FK460" s="714"/>
      <c r="FL460" s="714"/>
    </row>
    <row r="461" spans="4:168" s="640" customFormat="1" hidden="1">
      <c r="D461" s="641"/>
      <c r="G461" s="642"/>
      <c r="J461" s="642"/>
      <c r="K461" s="643"/>
      <c r="M461" s="644"/>
      <c r="N461" s="642"/>
      <c r="Q461" s="642"/>
      <c r="T461" s="642"/>
      <c r="U461" s="643"/>
      <c r="X461" s="645"/>
      <c r="Y461" s="646"/>
      <c r="Z461" s="673"/>
      <c r="AA461" s="646"/>
      <c r="AB461" s="646"/>
      <c r="AC461" s="646"/>
      <c r="AD461" s="646"/>
      <c r="AE461" s="646"/>
      <c r="AF461" s="646"/>
      <c r="AG461" s="646"/>
      <c r="AH461" s="646"/>
      <c r="AI461" s="646"/>
      <c r="AJ461" s="646"/>
      <c r="AK461" s="646"/>
      <c r="AL461" s="646"/>
      <c r="AM461" s="646"/>
      <c r="AN461" s="646"/>
      <c r="AO461" s="646"/>
      <c r="AP461" s="646"/>
      <c r="AQ461" s="646"/>
      <c r="AR461" s="646"/>
      <c r="AS461" s="646"/>
      <c r="AT461" s="646"/>
      <c r="AU461" s="646"/>
      <c r="AV461" s="646"/>
      <c r="AW461" s="646"/>
      <c r="AX461" s="646"/>
      <c r="AY461" s="646"/>
      <c r="AZ461" s="646"/>
      <c r="BA461" s="646"/>
      <c r="BB461" s="646"/>
      <c r="BC461" s="646"/>
      <c r="BD461" s="646"/>
      <c r="BE461" s="646"/>
      <c r="BF461" s="646"/>
      <c r="BG461" s="646"/>
      <c r="BH461" s="646"/>
      <c r="BI461" s="646"/>
      <c r="BJ461" s="646"/>
      <c r="BK461" s="646"/>
      <c r="BL461" s="646"/>
      <c r="BM461" s="646"/>
      <c r="BN461" s="646"/>
      <c r="BO461" s="646"/>
      <c r="BP461" s="646"/>
      <c r="BQ461" s="646"/>
      <c r="BR461" s="645"/>
      <c r="BS461" s="645"/>
      <c r="BT461" s="645"/>
      <c r="BU461" s="645"/>
      <c r="BV461" s="646"/>
      <c r="BW461" s="647"/>
      <c r="BX461" s="647"/>
      <c r="BY461" s="647"/>
      <c r="BZ461" s="647"/>
      <c r="CA461" s="647"/>
      <c r="CB461" s="647"/>
      <c r="CC461" s="647"/>
      <c r="CD461" s="647"/>
      <c r="CE461" s="647"/>
      <c r="CF461" s="647"/>
      <c r="CG461" s="647"/>
      <c r="CH461" s="647"/>
      <c r="CI461" s="647"/>
      <c r="FK461" s="714"/>
      <c r="FL461" s="714"/>
    </row>
    <row r="462" spans="4:168" s="640" customFormat="1" hidden="1">
      <c r="D462" s="641"/>
      <c r="G462" s="642"/>
      <c r="J462" s="642"/>
      <c r="K462" s="643"/>
      <c r="M462" s="644"/>
      <c r="N462" s="642"/>
      <c r="Q462" s="642"/>
      <c r="T462" s="642"/>
      <c r="U462" s="643"/>
      <c r="X462" s="645"/>
      <c r="Y462" s="646"/>
      <c r="Z462" s="673"/>
      <c r="AA462" s="646"/>
      <c r="AB462" s="646"/>
      <c r="AC462" s="646"/>
      <c r="AD462" s="646"/>
      <c r="AE462" s="646"/>
      <c r="AF462" s="646"/>
      <c r="AG462" s="646"/>
      <c r="AH462" s="646"/>
      <c r="AI462" s="646"/>
      <c r="AJ462" s="646"/>
      <c r="AK462" s="646"/>
      <c r="AL462" s="646"/>
      <c r="AM462" s="646"/>
      <c r="AN462" s="646"/>
      <c r="AO462" s="646"/>
      <c r="AP462" s="646"/>
      <c r="AQ462" s="646"/>
      <c r="AR462" s="646"/>
      <c r="AS462" s="646"/>
      <c r="AT462" s="646"/>
      <c r="AU462" s="646"/>
      <c r="AV462" s="646"/>
      <c r="AW462" s="646"/>
      <c r="AX462" s="646"/>
      <c r="AY462" s="646"/>
      <c r="AZ462" s="646"/>
      <c r="BA462" s="646"/>
      <c r="BB462" s="646"/>
      <c r="BC462" s="646"/>
      <c r="BD462" s="646"/>
      <c r="BE462" s="646"/>
      <c r="BF462" s="646"/>
      <c r="BG462" s="646"/>
      <c r="BH462" s="646"/>
      <c r="BI462" s="646"/>
      <c r="BJ462" s="646"/>
      <c r="BK462" s="646"/>
      <c r="BL462" s="646"/>
      <c r="BM462" s="646"/>
      <c r="BN462" s="646"/>
      <c r="BO462" s="646"/>
      <c r="BP462" s="646"/>
      <c r="BQ462" s="646"/>
      <c r="BR462" s="645"/>
      <c r="BS462" s="645"/>
      <c r="BT462" s="645"/>
      <c r="BU462" s="645"/>
      <c r="BV462" s="646"/>
      <c r="BW462" s="647"/>
      <c r="BX462" s="647"/>
      <c r="BY462" s="647"/>
      <c r="BZ462" s="647"/>
      <c r="CA462" s="647"/>
      <c r="CB462" s="647"/>
      <c r="CC462" s="647"/>
      <c r="CD462" s="647"/>
      <c r="CE462" s="647"/>
      <c r="CF462" s="647"/>
      <c r="CG462" s="647"/>
      <c r="CH462" s="647"/>
      <c r="CI462" s="647"/>
      <c r="FK462" s="714"/>
      <c r="FL462" s="714"/>
    </row>
    <row r="463" spans="4:168" s="640" customFormat="1" hidden="1">
      <c r="D463" s="641"/>
      <c r="G463" s="642"/>
      <c r="J463" s="642"/>
      <c r="K463" s="643"/>
      <c r="M463" s="644"/>
      <c r="N463" s="642"/>
      <c r="Q463" s="642"/>
      <c r="T463" s="642"/>
      <c r="U463" s="643"/>
      <c r="X463" s="645"/>
      <c r="Y463" s="646"/>
      <c r="Z463" s="673"/>
      <c r="AA463" s="646"/>
      <c r="AB463" s="646"/>
      <c r="AC463" s="646"/>
      <c r="AD463" s="646"/>
      <c r="AE463" s="646"/>
      <c r="AF463" s="646"/>
      <c r="AG463" s="646"/>
      <c r="AH463" s="646"/>
      <c r="AI463" s="646"/>
      <c r="AJ463" s="646"/>
      <c r="AK463" s="646"/>
      <c r="AL463" s="646"/>
      <c r="AM463" s="646"/>
      <c r="AN463" s="646"/>
      <c r="AO463" s="646"/>
      <c r="AP463" s="646"/>
      <c r="AQ463" s="646"/>
      <c r="AR463" s="646"/>
      <c r="AS463" s="646"/>
      <c r="AT463" s="646"/>
      <c r="AU463" s="646"/>
      <c r="AV463" s="646"/>
      <c r="AW463" s="646"/>
      <c r="AX463" s="646"/>
      <c r="AY463" s="646"/>
      <c r="AZ463" s="646"/>
      <c r="BA463" s="646"/>
      <c r="BB463" s="646"/>
      <c r="BC463" s="646"/>
      <c r="BD463" s="646"/>
      <c r="BE463" s="646"/>
      <c r="BF463" s="646"/>
      <c r="BG463" s="646"/>
      <c r="BH463" s="646"/>
      <c r="BI463" s="646"/>
      <c r="BJ463" s="646"/>
      <c r="BK463" s="646"/>
      <c r="BL463" s="646"/>
      <c r="BM463" s="646"/>
      <c r="BN463" s="646"/>
      <c r="BO463" s="646"/>
      <c r="BP463" s="646"/>
      <c r="BQ463" s="646"/>
      <c r="BR463" s="645"/>
      <c r="BS463" s="645"/>
      <c r="BT463" s="645"/>
      <c r="BU463" s="645"/>
      <c r="BV463" s="646"/>
      <c r="BW463" s="647"/>
      <c r="BX463" s="647"/>
      <c r="BY463" s="647"/>
      <c r="BZ463" s="647"/>
      <c r="CA463" s="647"/>
      <c r="CB463" s="647"/>
      <c r="CC463" s="647"/>
      <c r="CD463" s="647"/>
      <c r="CE463" s="647"/>
      <c r="CF463" s="647"/>
      <c r="CG463" s="647"/>
      <c r="CH463" s="647"/>
      <c r="CI463" s="647"/>
      <c r="FK463" s="714"/>
      <c r="FL463" s="714"/>
    </row>
    <row r="464" spans="4:168" s="640" customFormat="1" hidden="1">
      <c r="D464" s="641"/>
      <c r="G464" s="642"/>
      <c r="J464" s="642"/>
      <c r="K464" s="643"/>
      <c r="M464" s="644"/>
      <c r="N464" s="642"/>
      <c r="Q464" s="642"/>
      <c r="T464" s="642"/>
      <c r="U464" s="643"/>
      <c r="X464" s="645"/>
      <c r="Y464" s="646"/>
      <c r="Z464" s="673"/>
      <c r="AA464" s="646"/>
      <c r="AB464" s="646"/>
      <c r="AC464" s="646"/>
      <c r="AD464" s="646"/>
      <c r="AE464" s="646"/>
      <c r="AF464" s="646"/>
      <c r="AG464" s="646"/>
      <c r="AH464" s="646"/>
      <c r="AI464" s="646"/>
      <c r="AJ464" s="646"/>
      <c r="AK464" s="646"/>
      <c r="AL464" s="646"/>
      <c r="AM464" s="646"/>
      <c r="AN464" s="646"/>
      <c r="AO464" s="646"/>
      <c r="AP464" s="646"/>
      <c r="AQ464" s="646"/>
      <c r="AR464" s="646"/>
      <c r="AS464" s="646"/>
      <c r="AT464" s="646"/>
      <c r="AU464" s="646"/>
      <c r="AV464" s="646"/>
      <c r="AW464" s="646"/>
      <c r="AX464" s="646"/>
      <c r="AY464" s="646"/>
      <c r="AZ464" s="646"/>
      <c r="BA464" s="646"/>
      <c r="BB464" s="646"/>
      <c r="BC464" s="646"/>
      <c r="BD464" s="646"/>
      <c r="BE464" s="646"/>
      <c r="BF464" s="646"/>
      <c r="BG464" s="646"/>
      <c r="BH464" s="646"/>
      <c r="BI464" s="646"/>
      <c r="BJ464" s="646"/>
      <c r="BK464" s="646"/>
      <c r="BL464" s="646"/>
      <c r="BM464" s="646"/>
      <c r="BN464" s="646"/>
      <c r="BO464" s="646"/>
      <c r="BP464" s="646"/>
      <c r="BQ464" s="646"/>
      <c r="BR464" s="645"/>
      <c r="BS464" s="645"/>
      <c r="BT464" s="645"/>
      <c r="BU464" s="645"/>
      <c r="BV464" s="646"/>
      <c r="BW464" s="647"/>
      <c r="BX464" s="647"/>
      <c r="BY464" s="647"/>
      <c r="BZ464" s="647"/>
      <c r="CA464" s="647"/>
      <c r="CB464" s="647"/>
      <c r="CC464" s="647"/>
      <c r="CD464" s="647"/>
      <c r="CE464" s="647"/>
      <c r="CF464" s="647"/>
      <c r="CG464" s="647"/>
      <c r="CH464" s="647"/>
      <c r="CI464" s="647"/>
      <c r="FK464" s="714"/>
      <c r="FL464" s="714"/>
    </row>
    <row r="465" spans="4:168" s="640" customFormat="1" hidden="1">
      <c r="D465" s="641"/>
      <c r="G465" s="642"/>
      <c r="J465" s="642"/>
      <c r="K465" s="643"/>
      <c r="M465" s="644"/>
      <c r="N465" s="642"/>
      <c r="Q465" s="642"/>
      <c r="T465" s="642"/>
      <c r="U465" s="643"/>
      <c r="X465" s="645"/>
      <c r="Y465" s="646"/>
      <c r="Z465" s="673"/>
      <c r="AA465" s="646"/>
      <c r="AB465" s="646"/>
      <c r="AC465" s="646"/>
      <c r="AD465" s="646"/>
      <c r="AE465" s="646"/>
      <c r="AF465" s="646"/>
      <c r="AG465" s="646"/>
      <c r="AH465" s="646"/>
      <c r="AI465" s="646"/>
      <c r="AJ465" s="646"/>
      <c r="AK465" s="646"/>
      <c r="AL465" s="646"/>
      <c r="AM465" s="646"/>
      <c r="AN465" s="646"/>
      <c r="AO465" s="646"/>
      <c r="AP465" s="646"/>
      <c r="AQ465" s="646"/>
      <c r="AR465" s="646"/>
      <c r="AS465" s="646"/>
      <c r="AT465" s="646"/>
      <c r="AU465" s="646"/>
      <c r="AV465" s="646"/>
      <c r="AW465" s="646"/>
      <c r="AX465" s="646"/>
      <c r="AY465" s="646"/>
      <c r="AZ465" s="646"/>
      <c r="BA465" s="646"/>
      <c r="BB465" s="646"/>
      <c r="BC465" s="646"/>
      <c r="BD465" s="646"/>
      <c r="BE465" s="646"/>
      <c r="BF465" s="646"/>
      <c r="BG465" s="646"/>
      <c r="BH465" s="646"/>
      <c r="BI465" s="646"/>
      <c r="BJ465" s="646"/>
      <c r="BK465" s="646"/>
      <c r="BL465" s="646"/>
      <c r="BM465" s="646"/>
      <c r="BN465" s="646"/>
      <c r="BO465" s="646"/>
      <c r="BP465" s="646"/>
      <c r="BQ465" s="646"/>
      <c r="BR465" s="645"/>
      <c r="BS465" s="645"/>
      <c r="BT465" s="645"/>
      <c r="BU465" s="645"/>
      <c r="BV465" s="646"/>
      <c r="BW465" s="647"/>
      <c r="BX465" s="647"/>
      <c r="BY465" s="647"/>
      <c r="BZ465" s="647"/>
      <c r="CA465" s="647"/>
      <c r="CB465" s="647"/>
      <c r="CC465" s="647"/>
      <c r="CD465" s="647"/>
      <c r="CE465" s="647"/>
      <c r="CF465" s="647"/>
      <c r="CG465" s="647"/>
      <c r="CH465" s="647"/>
      <c r="CI465" s="647"/>
      <c r="FK465" s="714"/>
      <c r="FL465" s="714"/>
    </row>
    <row r="466" spans="4:168" s="640" customFormat="1" hidden="1">
      <c r="D466" s="641"/>
      <c r="G466" s="642"/>
      <c r="J466" s="642"/>
      <c r="K466" s="643"/>
      <c r="M466" s="644"/>
      <c r="N466" s="642"/>
      <c r="Q466" s="642"/>
      <c r="T466" s="642"/>
      <c r="U466" s="643"/>
      <c r="X466" s="645"/>
      <c r="Y466" s="646"/>
      <c r="Z466" s="673"/>
      <c r="AA466" s="646"/>
      <c r="AB466" s="646"/>
      <c r="AC466" s="646"/>
      <c r="AD466" s="646"/>
      <c r="AE466" s="646"/>
      <c r="AF466" s="646"/>
      <c r="AG466" s="646"/>
      <c r="AH466" s="646"/>
      <c r="AI466" s="646"/>
      <c r="AJ466" s="646"/>
      <c r="AK466" s="646"/>
      <c r="AL466" s="646"/>
      <c r="AM466" s="646"/>
      <c r="AN466" s="646"/>
      <c r="AO466" s="646"/>
      <c r="AP466" s="646"/>
      <c r="AQ466" s="646"/>
      <c r="AR466" s="646"/>
      <c r="AS466" s="646"/>
      <c r="AT466" s="646"/>
      <c r="AU466" s="646"/>
      <c r="AV466" s="646"/>
      <c r="AW466" s="646"/>
      <c r="AX466" s="646"/>
      <c r="AY466" s="646"/>
      <c r="AZ466" s="646"/>
      <c r="BA466" s="646"/>
      <c r="BB466" s="646"/>
      <c r="BC466" s="646"/>
      <c r="BD466" s="646"/>
      <c r="BE466" s="646"/>
      <c r="BF466" s="646"/>
      <c r="BG466" s="646"/>
      <c r="BH466" s="646"/>
      <c r="BI466" s="646"/>
      <c r="BJ466" s="646"/>
      <c r="BK466" s="646"/>
      <c r="BL466" s="646"/>
      <c r="BM466" s="646"/>
      <c r="BN466" s="646"/>
      <c r="BO466" s="646"/>
      <c r="BP466" s="646"/>
      <c r="BQ466" s="646"/>
      <c r="BR466" s="645"/>
      <c r="BS466" s="645"/>
      <c r="BT466" s="645"/>
      <c r="BU466" s="645"/>
      <c r="BV466" s="646"/>
      <c r="BW466" s="647"/>
      <c r="BX466" s="647"/>
      <c r="BY466" s="647"/>
      <c r="BZ466" s="647"/>
      <c r="CA466" s="647"/>
      <c r="CB466" s="647"/>
      <c r="CC466" s="647"/>
      <c r="CD466" s="647"/>
      <c r="CE466" s="647"/>
      <c r="CF466" s="647"/>
      <c r="CG466" s="647"/>
      <c r="CH466" s="647"/>
      <c r="CI466" s="647"/>
      <c r="FK466" s="714"/>
      <c r="FL466" s="714"/>
    </row>
    <row r="467" spans="4:168" s="640" customFormat="1" hidden="1">
      <c r="D467" s="641"/>
      <c r="G467" s="642"/>
      <c r="J467" s="642"/>
      <c r="K467" s="643"/>
      <c r="M467" s="644"/>
      <c r="N467" s="642"/>
      <c r="Q467" s="642"/>
      <c r="T467" s="642"/>
      <c r="U467" s="643"/>
      <c r="X467" s="645"/>
      <c r="Y467" s="646"/>
      <c r="Z467" s="673"/>
      <c r="AA467" s="646"/>
      <c r="AB467" s="646"/>
      <c r="AC467" s="646"/>
      <c r="AD467" s="646"/>
      <c r="AE467" s="646"/>
      <c r="AF467" s="646"/>
      <c r="AG467" s="646"/>
      <c r="AH467" s="646"/>
      <c r="AI467" s="646"/>
      <c r="AJ467" s="646"/>
      <c r="AK467" s="646"/>
      <c r="AL467" s="646"/>
      <c r="AM467" s="646"/>
      <c r="AN467" s="646"/>
      <c r="AO467" s="646"/>
      <c r="AP467" s="646"/>
      <c r="AQ467" s="646"/>
      <c r="AR467" s="646"/>
      <c r="AS467" s="646"/>
      <c r="AT467" s="646"/>
      <c r="AU467" s="646"/>
      <c r="AV467" s="646"/>
      <c r="AW467" s="646"/>
      <c r="AX467" s="646"/>
      <c r="AY467" s="646"/>
      <c r="AZ467" s="646"/>
      <c r="BA467" s="646"/>
      <c r="BB467" s="646"/>
      <c r="BC467" s="646"/>
      <c r="BD467" s="646"/>
      <c r="BE467" s="646"/>
      <c r="BF467" s="646"/>
      <c r="BG467" s="646"/>
      <c r="BH467" s="646"/>
      <c r="BI467" s="646"/>
      <c r="BJ467" s="646"/>
      <c r="BK467" s="646"/>
      <c r="BL467" s="646"/>
      <c r="BM467" s="646"/>
      <c r="BN467" s="646"/>
      <c r="BO467" s="646"/>
      <c r="BP467" s="646"/>
      <c r="BQ467" s="646"/>
      <c r="BR467" s="645"/>
      <c r="BS467" s="645"/>
      <c r="BT467" s="645"/>
      <c r="BU467" s="645"/>
      <c r="BV467" s="646"/>
      <c r="BW467" s="647"/>
      <c r="BX467" s="647"/>
      <c r="BY467" s="647"/>
      <c r="BZ467" s="647"/>
      <c r="CA467" s="647"/>
      <c r="CB467" s="647"/>
      <c r="CC467" s="647"/>
      <c r="CD467" s="647"/>
      <c r="CE467" s="647"/>
      <c r="CF467" s="647"/>
      <c r="CG467" s="647"/>
      <c r="CH467" s="647"/>
      <c r="CI467" s="647"/>
      <c r="FK467" s="714"/>
      <c r="FL467" s="714"/>
    </row>
    <row r="468" spans="4:168" s="640" customFormat="1" hidden="1">
      <c r="D468" s="641"/>
      <c r="G468" s="642"/>
      <c r="J468" s="642"/>
      <c r="K468" s="643"/>
      <c r="M468" s="644"/>
      <c r="N468" s="642"/>
      <c r="Q468" s="642"/>
      <c r="T468" s="642"/>
      <c r="U468" s="643"/>
      <c r="X468" s="645"/>
      <c r="Y468" s="646"/>
      <c r="Z468" s="673"/>
      <c r="AA468" s="646"/>
      <c r="AB468" s="646"/>
      <c r="AC468" s="646"/>
      <c r="AD468" s="646"/>
      <c r="AE468" s="646"/>
      <c r="AF468" s="646"/>
      <c r="AG468" s="646"/>
      <c r="AH468" s="646"/>
      <c r="AI468" s="646"/>
      <c r="AJ468" s="646"/>
      <c r="AK468" s="646"/>
      <c r="AL468" s="646"/>
      <c r="AM468" s="646"/>
      <c r="AN468" s="646"/>
      <c r="AO468" s="646"/>
      <c r="AP468" s="646"/>
      <c r="AQ468" s="646"/>
      <c r="AR468" s="646"/>
      <c r="AS468" s="646"/>
      <c r="AT468" s="646"/>
      <c r="AU468" s="646"/>
      <c r="AV468" s="646"/>
      <c r="AW468" s="646"/>
      <c r="AX468" s="646"/>
      <c r="AY468" s="646"/>
      <c r="AZ468" s="646"/>
      <c r="BA468" s="646"/>
      <c r="BB468" s="646"/>
      <c r="BC468" s="646"/>
      <c r="BD468" s="646"/>
      <c r="BE468" s="646"/>
      <c r="BF468" s="646"/>
      <c r="BG468" s="646"/>
      <c r="BH468" s="646"/>
      <c r="BI468" s="646"/>
      <c r="BJ468" s="646"/>
      <c r="BK468" s="646"/>
      <c r="BL468" s="646"/>
      <c r="BM468" s="646"/>
      <c r="BN468" s="646"/>
      <c r="BO468" s="646"/>
      <c r="BP468" s="646"/>
      <c r="BQ468" s="646"/>
      <c r="BR468" s="645"/>
      <c r="BS468" s="645"/>
      <c r="BT468" s="645"/>
      <c r="BU468" s="645"/>
      <c r="BV468" s="646"/>
      <c r="BW468" s="647"/>
      <c r="BX468" s="647"/>
      <c r="BY468" s="647"/>
      <c r="BZ468" s="647"/>
      <c r="CA468" s="647"/>
      <c r="CB468" s="647"/>
      <c r="CC468" s="647"/>
      <c r="CD468" s="647"/>
      <c r="CE468" s="647"/>
      <c r="CF468" s="647"/>
      <c r="CG468" s="647"/>
      <c r="CH468" s="647"/>
      <c r="CI468" s="647"/>
      <c r="FK468" s="714"/>
      <c r="FL468" s="714"/>
    </row>
    <row r="469" spans="4:168" s="640" customFormat="1" hidden="1">
      <c r="D469" s="641"/>
      <c r="G469" s="642"/>
      <c r="J469" s="642"/>
      <c r="K469" s="643"/>
      <c r="M469" s="644"/>
      <c r="N469" s="642"/>
      <c r="Q469" s="642"/>
      <c r="T469" s="642"/>
      <c r="U469" s="643"/>
      <c r="X469" s="645"/>
      <c r="Y469" s="646"/>
      <c r="Z469" s="673"/>
      <c r="AA469" s="646"/>
      <c r="AB469" s="646"/>
      <c r="AC469" s="646"/>
      <c r="AD469" s="646"/>
      <c r="AE469" s="646"/>
      <c r="AF469" s="646"/>
      <c r="AG469" s="646"/>
      <c r="AH469" s="646"/>
      <c r="AI469" s="646"/>
      <c r="AJ469" s="646"/>
      <c r="AK469" s="646"/>
      <c r="AL469" s="646"/>
      <c r="AM469" s="646"/>
      <c r="AN469" s="646"/>
      <c r="AO469" s="646"/>
      <c r="AP469" s="646"/>
      <c r="AQ469" s="646"/>
      <c r="AR469" s="646"/>
      <c r="AS469" s="646"/>
      <c r="AT469" s="646"/>
      <c r="AU469" s="646"/>
      <c r="AV469" s="646"/>
      <c r="AW469" s="646"/>
      <c r="AX469" s="646"/>
      <c r="AY469" s="646"/>
      <c r="AZ469" s="646"/>
      <c r="BA469" s="646"/>
      <c r="BB469" s="646"/>
      <c r="BC469" s="646"/>
      <c r="BD469" s="646"/>
      <c r="BE469" s="646"/>
      <c r="BF469" s="646"/>
      <c r="BG469" s="646"/>
      <c r="BH469" s="646"/>
      <c r="BI469" s="646"/>
      <c r="BJ469" s="646"/>
      <c r="BK469" s="646"/>
      <c r="BL469" s="646"/>
      <c r="BM469" s="646"/>
      <c r="BN469" s="646"/>
      <c r="BO469" s="646"/>
      <c r="BP469" s="646"/>
      <c r="BQ469" s="646"/>
      <c r="BR469" s="645"/>
      <c r="BS469" s="645"/>
      <c r="BT469" s="645"/>
      <c r="BU469" s="645"/>
      <c r="BV469" s="646"/>
      <c r="BW469" s="647"/>
      <c r="BX469" s="647"/>
      <c r="BY469" s="647"/>
      <c r="BZ469" s="647"/>
      <c r="CA469" s="647"/>
      <c r="CB469" s="647"/>
      <c r="CC469" s="647"/>
      <c r="CD469" s="647"/>
      <c r="CE469" s="647"/>
      <c r="CF469" s="647"/>
      <c r="CG469" s="647"/>
      <c r="CH469" s="647"/>
      <c r="CI469" s="647"/>
      <c r="FK469" s="714"/>
      <c r="FL469" s="714"/>
    </row>
    <row r="470" spans="4:168" s="640" customFormat="1" hidden="1">
      <c r="D470" s="641"/>
      <c r="G470" s="642"/>
      <c r="J470" s="642"/>
      <c r="K470" s="643"/>
      <c r="M470" s="644"/>
      <c r="N470" s="642"/>
      <c r="Q470" s="642"/>
      <c r="T470" s="642"/>
      <c r="U470" s="643"/>
      <c r="X470" s="645"/>
      <c r="Y470" s="646"/>
      <c r="Z470" s="673"/>
      <c r="AA470" s="646"/>
      <c r="AB470" s="646"/>
      <c r="AC470" s="646"/>
      <c r="AD470" s="646"/>
      <c r="AE470" s="646"/>
      <c r="AF470" s="646"/>
      <c r="AG470" s="646"/>
      <c r="AH470" s="646"/>
      <c r="AI470" s="646"/>
      <c r="AJ470" s="646"/>
      <c r="AK470" s="646"/>
      <c r="AL470" s="646"/>
      <c r="AM470" s="646"/>
      <c r="AN470" s="646"/>
      <c r="AO470" s="646"/>
      <c r="AP470" s="646"/>
      <c r="AQ470" s="646"/>
      <c r="AR470" s="646"/>
      <c r="AS470" s="646"/>
      <c r="AT470" s="646"/>
      <c r="AU470" s="646"/>
      <c r="AV470" s="646"/>
      <c r="AW470" s="646"/>
      <c r="AX470" s="646"/>
      <c r="AY470" s="646"/>
      <c r="AZ470" s="646"/>
      <c r="BA470" s="646"/>
      <c r="BB470" s="646"/>
      <c r="BC470" s="646"/>
      <c r="BD470" s="646"/>
      <c r="BE470" s="646"/>
      <c r="BF470" s="646"/>
      <c r="BG470" s="646"/>
      <c r="BH470" s="646"/>
      <c r="BI470" s="646"/>
      <c r="BJ470" s="646"/>
      <c r="BK470" s="646"/>
      <c r="BL470" s="646"/>
      <c r="BM470" s="646"/>
      <c r="BN470" s="646"/>
      <c r="BO470" s="646"/>
      <c r="BP470" s="646"/>
      <c r="BQ470" s="646"/>
      <c r="BR470" s="645"/>
      <c r="BS470" s="645"/>
      <c r="BT470" s="645"/>
      <c r="BU470" s="645"/>
      <c r="BV470" s="646"/>
      <c r="BW470" s="647"/>
      <c r="BX470" s="647"/>
      <c r="BY470" s="647"/>
      <c r="BZ470" s="647"/>
      <c r="CA470" s="647"/>
      <c r="CB470" s="647"/>
      <c r="CC470" s="647"/>
      <c r="CD470" s="647"/>
      <c r="CE470" s="647"/>
      <c r="CF470" s="647"/>
      <c r="CG470" s="647"/>
      <c r="CH470" s="647"/>
      <c r="CI470" s="647"/>
      <c r="FK470" s="714"/>
      <c r="FL470" s="714"/>
    </row>
    <row r="471" spans="4:168" s="640" customFormat="1" hidden="1">
      <c r="D471" s="641"/>
      <c r="G471" s="642"/>
      <c r="J471" s="642"/>
      <c r="K471" s="643"/>
      <c r="M471" s="644"/>
      <c r="N471" s="642"/>
      <c r="Q471" s="642"/>
      <c r="T471" s="642"/>
      <c r="U471" s="643"/>
      <c r="X471" s="645"/>
      <c r="Y471" s="646"/>
      <c r="Z471" s="673"/>
      <c r="AA471" s="646"/>
      <c r="AB471" s="646"/>
      <c r="AC471" s="646"/>
      <c r="AD471" s="646"/>
      <c r="AE471" s="646"/>
      <c r="AF471" s="646"/>
      <c r="AG471" s="646"/>
      <c r="AH471" s="646"/>
      <c r="AI471" s="646"/>
      <c r="AJ471" s="646"/>
      <c r="AK471" s="646"/>
      <c r="AL471" s="646"/>
      <c r="AM471" s="646"/>
      <c r="AN471" s="646"/>
      <c r="AO471" s="646"/>
      <c r="AP471" s="646"/>
      <c r="AQ471" s="646"/>
      <c r="AR471" s="646"/>
      <c r="AS471" s="646"/>
      <c r="AT471" s="646"/>
      <c r="AU471" s="646"/>
      <c r="AV471" s="646"/>
      <c r="AW471" s="646"/>
      <c r="AX471" s="646"/>
      <c r="AY471" s="646"/>
      <c r="AZ471" s="646"/>
      <c r="BA471" s="646"/>
      <c r="BB471" s="646"/>
      <c r="BC471" s="646"/>
      <c r="BD471" s="646"/>
      <c r="BE471" s="646"/>
      <c r="BF471" s="646"/>
      <c r="BG471" s="646"/>
      <c r="BH471" s="646"/>
      <c r="BI471" s="646"/>
      <c r="BJ471" s="646"/>
      <c r="BK471" s="646"/>
      <c r="BL471" s="646"/>
      <c r="BM471" s="646"/>
      <c r="BN471" s="646"/>
      <c r="BO471" s="646"/>
      <c r="BP471" s="646"/>
      <c r="BQ471" s="646"/>
      <c r="BR471" s="645"/>
      <c r="BS471" s="645"/>
      <c r="BT471" s="645"/>
      <c r="BU471" s="645"/>
      <c r="BV471" s="646"/>
      <c r="BW471" s="647"/>
      <c r="BX471" s="647"/>
      <c r="BY471" s="647"/>
      <c r="BZ471" s="647"/>
      <c r="CA471" s="647"/>
      <c r="CB471" s="647"/>
      <c r="CC471" s="647"/>
      <c r="CD471" s="647"/>
      <c r="CE471" s="647"/>
      <c r="CF471" s="647"/>
      <c r="CG471" s="647"/>
      <c r="CH471" s="647"/>
      <c r="CI471" s="647"/>
      <c r="FK471" s="714"/>
      <c r="FL471" s="714"/>
    </row>
    <row r="472" spans="4:168" s="640" customFormat="1" hidden="1">
      <c r="D472" s="641"/>
      <c r="G472" s="642"/>
      <c r="J472" s="642"/>
      <c r="K472" s="643"/>
      <c r="M472" s="644"/>
      <c r="N472" s="642"/>
      <c r="Q472" s="642"/>
      <c r="T472" s="642"/>
      <c r="U472" s="643"/>
      <c r="X472" s="645"/>
      <c r="Y472" s="646"/>
      <c r="Z472" s="673"/>
      <c r="AA472" s="646"/>
      <c r="AB472" s="646"/>
      <c r="AC472" s="646"/>
      <c r="AD472" s="646"/>
      <c r="AE472" s="646"/>
      <c r="AF472" s="646"/>
      <c r="AG472" s="646"/>
      <c r="AH472" s="646"/>
      <c r="AI472" s="646"/>
      <c r="AJ472" s="646"/>
      <c r="AK472" s="646"/>
      <c r="AL472" s="646"/>
      <c r="AM472" s="646"/>
      <c r="AN472" s="646"/>
      <c r="AO472" s="646"/>
      <c r="AP472" s="646"/>
      <c r="AQ472" s="646"/>
      <c r="AR472" s="646"/>
      <c r="AS472" s="646"/>
      <c r="AT472" s="646"/>
      <c r="AU472" s="646"/>
      <c r="AV472" s="646"/>
      <c r="AW472" s="646"/>
      <c r="AX472" s="646"/>
      <c r="AY472" s="646"/>
      <c r="AZ472" s="646"/>
      <c r="BA472" s="646"/>
      <c r="BB472" s="646"/>
      <c r="BC472" s="646"/>
      <c r="BD472" s="646"/>
      <c r="BE472" s="646"/>
      <c r="BF472" s="646"/>
      <c r="BG472" s="646"/>
      <c r="BH472" s="646"/>
      <c r="BI472" s="646"/>
      <c r="BJ472" s="646"/>
      <c r="BK472" s="646"/>
      <c r="BL472" s="646"/>
      <c r="BM472" s="646"/>
      <c r="BN472" s="646"/>
      <c r="BO472" s="646"/>
      <c r="BP472" s="646"/>
      <c r="BQ472" s="646"/>
      <c r="BR472" s="645"/>
      <c r="BS472" s="645"/>
      <c r="BT472" s="645"/>
      <c r="BU472" s="645"/>
      <c r="BV472" s="646"/>
      <c r="BW472" s="647"/>
      <c r="BX472" s="647"/>
      <c r="BY472" s="647"/>
      <c r="BZ472" s="647"/>
      <c r="CA472" s="647"/>
      <c r="CB472" s="647"/>
      <c r="CC472" s="647"/>
      <c r="CD472" s="647"/>
      <c r="CE472" s="647"/>
      <c r="CF472" s="647"/>
      <c r="CG472" s="647"/>
      <c r="CH472" s="647"/>
      <c r="CI472" s="647"/>
      <c r="FK472" s="714"/>
      <c r="FL472" s="714"/>
    </row>
    <row r="473" spans="4:168" s="640" customFormat="1" hidden="1">
      <c r="D473" s="641"/>
      <c r="G473" s="642"/>
      <c r="J473" s="642"/>
      <c r="K473" s="643"/>
      <c r="M473" s="644"/>
      <c r="N473" s="642"/>
      <c r="Q473" s="642"/>
      <c r="T473" s="642"/>
      <c r="U473" s="643"/>
      <c r="X473" s="645"/>
      <c r="Y473" s="646"/>
      <c r="Z473" s="673"/>
      <c r="AA473" s="646"/>
      <c r="AB473" s="646"/>
      <c r="AC473" s="646"/>
      <c r="AD473" s="646"/>
      <c r="AE473" s="646"/>
      <c r="AF473" s="646"/>
      <c r="AG473" s="646"/>
      <c r="AH473" s="646"/>
      <c r="AI473" s="646"/>
      <c r="AJ473" s="646"/>
      <c r="AK473" s="646"/>
      <c r="AL473" s="646"/>
      <c r="AM473" s="646"/>
      <c r="AN473" s="646"/>
      <c r="AO473" s="646"/>
      <c r="AP473" s="646"/>
      <c r="AQ473" s="646"/>
      <c r="AR473" s="646"/>
      <c r="AS473" s="646"/>
      <c r="AT473" s="646"/>
      <c r="AU473" s="646"/>
      <c r="AV473" s="646"/>
      <c r="AW473" s="646"/>
      <c r="AX473" s="646"/>
      <c r="AY473" s="646"/>
      <c r="AZ473" s="646"/>
      <c r="BA473" s="646"/>
      <c r="BB473" s="646"/>
      <c r="BC473" s="646"/>
      <c r="BD473" s="646"/>
      <c r="BE473" s="646"/>
      <c r="BF473" s="646"/>
      <c r="BG473" s="646"/>
      <c r="BH473" s="646"/>
      <c r="BI473" s="646"/>
      <c r="BJ473" s="646"/>
      <c r="BK473" s="646"/>
      <c r="BL473" s="646"/>
      <c r="BM473" s="646"/>
      <c r="BN473" s="646"/>
      <c r="BO473" s="646"/>
      <c r="BP473" s="646"/>
      <c r="BQ473" s="646"/>
      <c r="BR473" s="645"/>
      <c r="BS473" s="645"/>
      <c r="BT473" s="645"/>
      <c r="BU473" s="645"/>
      <c r="BV473" s="646"/>
      <c r="BW473" s="647"/>
      <c r="BX473" s="647"/>
      <c r="BY473" s="647"/>
      <c r="BZ473" s="647"/>
      <c r="CA473" s="647"/>
      <c r="CB473" s="647"/>
      <c r="CC473" s="647"/>
      <c r="CD473" s="647"/>
      <c r="CE473" s="647"/>
      <c r="CF473" s="647"/>
      <c r="CG473" s="647"/>
      <c r="CH473" s="647"/>
      <c r="CI473" s="647"/>
      <c r="FK473" s="714"/>
      <c r="FL473" s="714"/>
    </row>
    <row r="474" spans="4:168" s="640" customFormat="1" hidden="1">
      <c r="D474" s="641"/>
      <c r="G474" s="642"/>
      <c r="J474" s="642"/>
      <c r="K474" s="643"/>
      <c r="M474" s="644"/>
      <c r="N474" s="642"/>
      <c r="Q474" s="642"/>
      <c r="T474" s="642"/>
      <c r="U474" s="643"/>
      <c r="X474" s="645"/>
      <c r="Y474" s="646"/>
      <c r="Z474" s="673"/>
      <c r="AA474" s="646"/>
      <c r="AB474" s="646"/>
      <c r="AC474" s="646"/>
      <c r="AD474" s="646"/>
      <c r="AE474" s="646"/>
      <c r="AF474" s="646"/>
      <c r="AG474" s="646"/>
      <c r="AH474" s="646"/>
      <c r="AI474" s="646"/>
      <c r="AJ474" s="646"/>
      <c r="AK474" s="646"/>
      <c r="AL474" s="646"/>
      <c r="AM474" s="646"/>
      <c r="AN474" s="646"/>
      <c r="AO474" s="646"/>
      <c r="AP474" s="646"/>
      <c r="AQ474" s="646"/>
      <c r="AR474" s="646"/>
      <c r="AS474" s="646"/>
      <c r="AT474" s="646"/>
      <c r="AU474" s="646"/>
      <c r="AV474" s="646"/>
      <c r="AW474" s="646"/>
      <c r="AX474" s="646"/>
      <c r="AY474" s="646"/>
      <c r="AZ474" s="646"/>
      <c r="BA474" s="646"/>
      <c r="BB474" s="646"/>
      <c r="BC474" s="646"/>
      <c r="BD474" s="646"/>
      <c r="BE474" s="646"/>
      <c r="BF474" s="646"/>
      <c r="BG474" s="646"/>
      <c r="BH474" s="646"/>
      <c r="BI474" s="646"/>
      <c r="BJ474" s="646"/>
      <c r="BK474" s="646"/>
      <c r="BL474" s="646"/>
      <c r="BM474" s="646"/>
      <c r="BN474" s="646"/>
      <c r="BO474" s="646"/>
      <c r="BP474" s="646"/>
      <c r="BQ474" s="646"/>
      <c r="BR474" s="645"/>
      <c r="BS474" s="645"/>
      <c r="BT474" s="645"/>
      <c r="BU474" s="645"/>
      <c r="BV474" s="646"/>
      <c r="BW474" s="647"/>
      <c r="BX474" s="647"/>
      <c r="BY474" s="647"/>
      <c r="BZ474" s="647"/>
      <c r="CA474" s="647"/>
      <c r="CB474" s="647"/>
      <c r="CC474" s="647"/>
      <c r="CD474" s="647"/>
      <c r="CE474" s="647"/>
      <c r="CF474" s="647"/>
      <c r="CG474" s="647"/>
      <c r="CH474" s="647"/>
      <c r="CI474" s="647"/>
      <c r="FK474" s="714"/>
      <c r="FL474" s="714"/>
    </row>
    <row r="475" spans="4:168" s="640" customFormat="1" hidden="1">
      <c r="D475" s="641"/>
      <c r="G475" s="642"/>
      <c r="J475" s="642"/>
      <c r="K475" s="643"/>
      <c r="M475" s="644"/>
      <c r="N475" s="642"/>
      <c r="Q475" s="642"/>
      <c r="T475" s="642"/>
      <c r="U475" s="643"/>
      <c r="X475" s="645"/>
      <c r="Y475" s="646"/>
      <c r="Z475" s="673"/>
      <c r="AA475" s="646"/>
      <c r="AB475" s="646"/>
      <c r="AC475" s="646"/>
      <c r="AD475" s="646"/>
      <c r="AE475" s="646"/>
      <c r="AF475" s="646"/>
      <c r="AG475" s="646"/>
      <c r="AH475" s="646"/>
      <c r="AI475" s="646"/>
      <c r="AJ475" s="646"/>
      <c r="AK475" s="646"/>
      <c r="AL475" s="646"/>
      <c r="AM475" s="646"/>
      <c r="AN475" s="646"/>
      <c r="AO475" s="646"/>
      <c r="AP475" s="646"/>
      <c r="AQ475" s="646"/>
      <c r="AR475" s="646"/>
      <c r="AS475" s="646"/>
      <c r="AT475" s="646"/>
      <c r="AU475" s="646"/>
      <c r="AV475" s="646"/>
      <c r="AW475" s="646"/>
      <c r="AX475" s="646"/>
      <c r="AY475" s="646"/>
      <c r="AZ475" s="646"/>
      <c r="BA475" s="646"/>
      <c r="BB475" s="646"/>
      <c r="BC475" s="646"/>
      <c r="BD475" s="646"/>
      <c r="BE475" s="646"/>
      <c r="BF475" s="646"/>
      <c r="BG475" s="646"/>
      <c r="BH475" s="646"/>
      <c r="BI475" s="646"/>
      <c r="BJ475" s="646"/>
      <c r="BK475" s="646"/>
      <c r="BL475" s="646"/>
      <c r="BM475" s="646"/>
      <c r="BN475" s="646"/>
      <c r="BO475" s="646"/>
      <c r="BP475" s="646"/>
      <c r="BQ475" s="646"/>
      <c r="BR475" s="645"/>
      <c r="BS475" s="645"/>
      <c r="BT475" s="645"/>
      <c r="BU475" s="645"/>
      <c r="BV475" s="646"/>
      <c r="BW475" s="647"/>
      <c r="BX475" s="647"/>
      <c r="BY475" s="647"/>
      <c r="BZ475" s="647"/>
      <c r="CA475" s="647"/>
      <c r="CB475" s="647"/>
      <c r="CC475" s="647"/>
      <c r="CD475" s="647"/>
      <c r="CE475" s="647"/>
      <c r="CF475" s="647"/>
      <c r="CG475" s="647"/>
      <c r="CH475" s="647"/>
      <c r="CI475" s="647"/>
      <c r="FK475" s="714"/>
      <c r="FL475" s="714"/>
    </row>
    <row r="476" spans="4:168" s="640" customFormat="1" hidden="1">
      <c r="D476" s="641"/>
      <c r="G476" s="642"/>
      <c r="J476" s="642"/>
      <c r="K476" s="643"/>
      <c r="M476" s="644"/>
      <c r="N476" s="642"/>
      <c r="Q476" s="642"/>
      <c r="T476" s="642"/>
      <c r="U476" s="643"/>
      <c r="X476" s="645"/>
      <c r="Y476" s="646"/>
      <c r="Z476" s="673"/>
      <c r="AA476" s="646"/>
      <c r="AB476" s="646"/>
      <c r="AC476" s="646"/>
      <c r="AD476" s="646"/>
      <c r="AE476" s="646"/>
      <c r="AF476" s="646"/>
      <c r="AG476" s="646"/>
      <c r="AH476" s="646"/>
      <c r="AI476" s="646"/>
      <c r="AJ476" s="646"/>
      <c r="AK476" s="646"/>
      <c r="AL476" s="646"/>
      <c r="AM476" s="646"/>
      <c r="AN476" s="646"/>
      <c r="AO476" s="646"/>
      <c r="AP476" s="646"/>
      <c r="AQ476" s="646"/>
      <c r="AR476" s="646"/>
      <c r="AS476" s="646"/>
      <c r="AT476" s="646"/>
      <c r="AU476" s="646"/>
      <c r="AV476" s="646"/>
      <c r="AW476" s="646"/>
      <c r="AX476" s="646"/>
      <c r="AY476" s="646"/>
      <c r="AZ476" s="646"/>
      <c r="BA476" s="646"/>
      <c r="BB476" s="646"/>
      <c r="BC476" s="646"/>
      <c r="BD476" s="646"/>
      <c r="BE476" s="646"/>
      <c r="BF476" s="646"/>
      <c r="BG476" s="646"/>
      <c r="BH476" s="646"/>
      <c r="BI476" s="646"/>
      <c r="BJ476" s="646"/>
      <c r="BK476" s="646"/>
      <c r="BL476" s="646"/>
      <c r="BM476" s="646"/>
      <c r="BN476" s="646"/>
      <c r="BO476" s="646"/>
      <c r="BP476" s="646"/>
      <c r="BQ476" s="646"/>
      <c r="BR476" s="645"/>
      <c r="BS476" s="645"/>
      <c r="BT476" s="645"/>
      <c r="BU476" s="645"/>
      <c r="BV476" s="646"/>
      <c r="BW476" s="647"/>
      <c r="BX476" s="647"/>
      <c r="BY476" s="647"/>
      <c r="BZ476" s="647"/>
      <c r="CA476" s="647"/>
      <c r="CB476" s="647"/>
      <c r="CC476" s="647"/>
      <c r="CD476" s="647"/>
      <c r="CE476" s="647"/>
      <c r="CF476" s="647"/>
      <c r="CG476" s="647"/>
      <c r="CH476" s="647"/>
      <c r="CI476" s="647"/>
      <c r="FK476" s="714"/>
      <c r="FL476" s="714"/>
    </row>
    <row r="477" spans="4:168" s="640" customFormat="1" hidden="1">
      <c r="D477" s="641"/>
      <c r="G477" s="642"/>
      <c r="J477" s="642"/>
      <c r="K477" s="643"/>
      <c r="M477" s="644"/>
      <c r="N477" s="642"/>
      <c r="Q477" s="642"/>
      <c r="T477" s="642"/>
      <c r="U477" s="643"/>
      <c r="X477" s="645"/>
      <c r="Y477" s="646"/>
      <c r="Z477" s="673"/>
      <c r="AA477" s="646"/>
      <c r="AB477" s="646"/>
      <c r="AC477" s="646"/>
      <c r="AD477" s="646"/>
      <c r="AE477" s="646"/>
      <c r="AF477" s="646"/>
      <c r="AG477" s="646"/>
      <c r="AH477" s="646"/>
      <c r="AI477" s="646"/>
      <c r="AJ477" s="646"/>
      <c r="AK477" s="646"/>
      <c r="AL477" s="646"/>
      <c r="AM477" s="646"/>
      <c r="AN477" s="646"/>
      <c r="AO477" s="646"/>
      <c r="AP477" s="646"/>
      <c r="AQ477" s="646"/>
      <c r="AR477" s="646"/>
      <c r="AS477" s="646"/>
      <c r="AT477" s="646"/>
      <c r="AU477" s="646"/>
      <c r="AV477" s="646"/>
      <c r="AW477" s="646"/>
      <c r="AX477" s="646"/>
      <c r="AY477" s="646"/>
      <c r="AZ477" s="646"/>
      <c r="BA477" s="646"/>
      <c r="BB477" s="646"/>
      <c r="BC477" s="646"/>
      <c r="BD477" s="646"/>
      <c r="BE477" s="646"/>
      <c r="BF477" s="646"/>
      <c r="BG477" s="646"/>
      <c r="BH477" s="646"/>
      <c r="BI477" s="646"/>
      <c r="BJ477" s="646"/>
      <c r="BK477" s="646"/>
      <c r="BL477" s="646"/>
      <c r="BM477" s="646"/>
      <c r="BN477" s="646"/>
      <c r="BO477" s="646"/>
      <c r="BP477" s="646"/>
      <c r="BQ477" s="646"/>
      <c r="BR477" s="645"/>
      <c r="BS477" s="645"/>
      <c r="BT477" s="645"/>
      <c r="BU477" s="645"/>
      <c r="BV477" s="646"/>
      <c r="BW477" s="647"/>
      <c r="BX477" s="647"/>
      <c r="BY477" s="647"/>
      <c r="BZ477" s="647"/>
      <c r="CA477" s="647"/>
      <c r="CB477" s="647"/>
      <c r="CC477" s="647"/>
      <c r="CD477" s="647"/>
      <c r="CE477" s="647"/>
      <c r="CF477" s="647"/>
      <c r="CG477" s="647"/>
      <c r="CH477" s="647"/>
      <c r="CI477" s="647"/>
      <c r="FK477" s="714"/>
      <c r="FL477" s="714"/>
    </row>
    <row r="478" spans="4:168" s="640" customFormat="1" hidden="1">
      <c r="D478" s="641"/>
      <c r="G478" s="642"/>
      <c r="J478" s="642"/>
      <c r="K478" s="643"/>
      <c r="M478" s="644"/>
      <c r="N478" s="642"/>
      <c r="Q478" s="642"/>
      <c r="T478" s="642"/>
      <c r="U478" s="643"/>
      <c r="X478" s="645"/>
      <c r="Y478" s="646"/>
      <c r="Z478" s="673"/>
      <c r="AA478" s="646"/>
      <c r="AB478" s="646"/>
      <c r="AC478" s="646"/>
      <c r="AD478" s="646"/>
      <c r="AE478" s="646"/>
      <c r="AF478" s="646"/>
      <c r="AG478" s="646"/>
      <c r="AH478" s="646"/>
      <c r="AI478" s="646"/>
      <c r="AJ478" s="646"/>
      <c r="AK478" s="646"/>
      <c r="AL478" s="646"/>
      <c r="AM478" s="646"/>
      <c r="AN478" s="646"/>
      <c r="AO478" s="646"/>
      <c r="AP478" s="646"/>
      <c r="AQ478" s="646"/>
      <c r="AR478" s="646"/>
      <c r="AS478" s="646"/>
      <c r="AT478" s="646"/>
      <c r="AU478" s="646"/>
      <c r="AV478" s="646"/>
      <c r="AW478" s="646"/>
      <c r="AX478" s="646"/>
      <c r="AY478" s="646"/>
      <c r="AZ478" s="646"/>
      <c r="BA478" s="646"/>
      <c r="BB478" s="646"/>
      <c r="BC478" s="646"/>
      <c r="BD478" s="646"/>
      <c r="BE478" s="646"/>
      <c r="BF478" s="646"/>
      <c r="BG478" s="646"/>
      <c r="BH478" s="646"/>
      <c r="BI478" s="646"/>
      <c r="BJ478" s="646"/>
      <c r="BK478" s="646"/>
      <c r="BL478" s="646"/>
      <c r="BM478" s="646"/>
      <c r="BN478" s="646"/>
      <c r="BO478" s="646"/>
      <c r="BP478" s="646"/>
      <c r="BQ478" s="646"/>
      <c r="BR478" s="645"/>
      <c r="BS478" s="645"/>
      <c r="BT478" s="645"/>
      <c r="BU478" s="645"/>
      <c r="BV478" s="646"/>
      <c r="BW478" s="647"/>
      <c r="BX478" s="647"/>
      <c r="BY478" s="647"/>
      <c r="BZ478" s="647"/>
      <c r="CA478" s="647"/>
      <c r="CB478" s="647"/>
      <c r="CC478" s="647"/>
      <c r="CD478" s="647"/>
      <c r="CE478" s="647"/>
      <c r="CF478" s="647"/>
      <c r="CG478" s="647"/>
      <c r="CH478" s="647"/>
      <c r="CI478" s="647"/>
      <c r="FK478" s="714"/>
      <c r="FL478" s="714"/>
    </row>
    <row r="479" spans="4:168" s="640" customFormat="1" hidden="1">
      <c r="D479" s="641"/>
      <c r="G479" s="642"/>
      <c r="J479" s="642"/>
      <c r="K479" s="643"/>
      <c r="M479" s="644"/>
      <c r="N479" s="642"/>
      <c r="Q479" s="642"/>
      <c r="T479" s="642"/>
      <c r="U479" s="643"/>
      <c r="X479" s="645"/>
      <c r="Y479" s="646"/>
      <c r="Z479" s="673"/>
      <c r="AA479" s="646"/>
      <c r="AB479" s="646"/>
      <c r="AC479" s="646"/>
      <c r="AD479" s="646"/>
      <c r="AE479" s="646"/>
      <c r="AF479" s="646"/>
      <c r="AG479" s="646"/>
      <c r="AH479" s="646"/>
      <c r="AI479" s="646"/>
      <c r="AJ479" s="646"/>
      <c r="AK479" s="646"/>
      <c r="AL479" s="646"/>
      <c r="AM479" s="646"/>
      <c r="AN479" s="646"/>
      <c r="AO479" s="646"/>
      <c r="AP479" s="646"/>
      <c r="AQ479" s="646"/>
      <c r="AR479" s="646"/>
      <c r="AS479" s="646"/>
      <c r="AT479" s="646"/>
      <c r="AU479" s="646"/>
      <c r="AV479" s="646"/>
      <c r="AW479" s="646"/>
      <c r="AX479" s="646"/>
      <c r="AY479" s="646"/>
      <c r="AZ479" s="646"/>
      <c r="BA479" s="646"/>
      <c r="BB479" s="646"/>
      <c r="BC479" s="646"/>
      <c r="BD479" s="646"/>
      <c r="BE479" s="646"/>
      <c r="BF479" s="646"/>
      <c r="BG479" s="646"/>
      <c r="BH479" s="646"/>
      <c r="BI479" s="646"/>
      <c r="BJ479" s="646"/>
      <c r="BK479" s="646"/>
      <c r="BL479" s="646"/>
      <c r="BM479" s="646"/>
      <c r="BN479" s="646"/>
      <c r="BO479" s="646"/>
      <c r="BP479" s="646"/>
      <c r="BQ479" s="646"/>
      <c r="BR479" s="645"/>
      <c r="BS479" s="645"/>
      <c r="BT479" s="645"/>
      <c r="BU479" s="645"/>
      <c r="BV479" s="646"/>
      <c r="BW479" s="647"/>
      <c r="BX479" s="647"/>
      <c r="BY479" s="647"/>
      <c r="BZ479" s="647"/>
      <c r="CA479" s="647"/>
      <c r="CB479" s="647"/>
      <c r="CC479" s="647"/>
      <c r="CD479" s="647"/>
      <c r="CE479" s="647"/>
      <c r="CF479" s="647"/>
      <c r="CG479" s="647"/>
      <c r="CH479" s="647"/>
      <c r="CI479" s="647"/>
      <c r="FK479" s="714"/>
      <c r="FL479" s="714"/>
    </row>
    <row r="480" spans="4:168" s="640" customFormat="1" hidden="1">
      <c r="D480" s="641"/>
      <c r="G480" s="642"/>
      <c r="J480" s="642"/>
      <c r="K480" s="643"/>
      <c r="M480" s="644"/>
      <c r="N480" s="642"/>
      <c r="Q480" s="642"/>
      <c r="T480" s="642"/>
      <c r="U480" s="643"/>
      <c r="X480" s="645"/>
      <c r="Y480" s="646"/>
      <c r="Z480" s="673"/>
      <c r="AA480" s="646"/>
      <c r="AB480" s="646"/>
      <c r="AC480" s="646"/>
      <c r="AD480" s="646"/>
      <c r="AE480" s="646"/>
      <c r="AF480" s="646"/>
      <c r="AG480" s="646"/>
      <c r="AH480" s="646"/>
      <c r="AI480" s="646"/>
      <c r="AJ480" s="646"/>
      <c r="AK480" s="646"/>
      <c r="AL480" s="646"/>
      <c r="AM480" s="646"/>
      <c r="AN480" s="646"/>
      <c r="AO480" s="646"/>
      <c r="AP480" s="646"/>
      <c r="AQ480" s="646"/>
      <c r="AR480" s="646"/>
      <c r="AS480" s="646"/>
      <c r="AT480" s="646"/>
      <c r="AU480" s="646"/>
      <c r="AV480" s="646"/>
      <c r="AW480" s="646"/>
      <c r="AX480" s="646"/>
      <c r="AY480" s="646"/>
      <c r="AZ480" s="646"/>
      <c r="BA480" s="646"/>
      <c r="BB480" s="646"/>
      <c r="BC480" s="646"/>
      <c r="BD480" s="646"/>
      <c r="BE480" s="646"/>
      <c r="BF480" s="646"/>
      <c r="BG480" s="646"/>
      <c r="BH480" s="646"/>
      <c r="BI480" s="646"/>
      <c r="BJ480" s="646"/>
      <c r="BK480" s="646"/>
      <c r="BL480" s="646"/>
      <c r="BM480" s="646"/>
      <c r="BN480" s="646"/>
      <c r="BO480" s="646"/>
      <c r="BP480" s="646"/>
      <c r="BQ480" s="646"/>
      <c r="BR480" s="645"/>
      <c r="BS480" s="645"/>
      <c r="BT480" s="645"/>
      <c r="BU480" s="645"/>
      <c r="BV480" s="646"/>
      <c r="BW480" s="647"/>
      <c r="BX480" s="647"/>
      <c r="BY480" s="647"/>
      <c r="BZ480" s="647"/>
      <c r="CA480" s="647"/>
      <c r="CB480" s="647"/>
      <c r="CC480" s="647"/>
      <c r="CD480" s="647"/>
      <c r="CE480" s="647"/>
      <c r="CF480" s="647"/>
      <c r="CG480" s="647"/>
      <c r="CH480" s="647"/>
      <c r="CI480" s="647"/>
      <c r="FK480" s="714"/>
      <c r="FL480" s="714"/>
    </row>
    <row r="481" spans="2:168" s="640" customFormat="1" hidden="1">
      <c r="D481" s="641"/>
      <c r="G481" s="642"/>
      <c r="J481" s="642"/>
      <c r="K481" s="643"/>
      <c r="M481" s="644"/>
      <c r="N481" s="642"/>
      <c r="Q481" s="642"/>
      <c r="T481" s="642"/>
      <c r="U481" s="643"/>
      <c r="X481" s="645"/>
      <c r="Y481" s="646"/>
      <c r="Z481" s="673"/>
      <c r="AA481" s="646"/>
      <c r="AB481" s="646"/>
      <c r="AC481" s="646"/>
      <c r="AD481" s="646"/>
      <c r="AE481" s="646"/>
      <c r="AF481" s="646"/>
      <c r="AG481" s="646"/>
      <c r="AH481" s="646"/>
      <c r="AI481" s="646"/>
      <c r="AJ481" s="646"/>
      <c r="AK481" s="646"/>
      <c r="AL481" s="646"/>
      <c r="AM481" s="646"/>
      <c r="AN481" s="646"/>
      <c r="AO481" s="646"/>
      <c r="AP481" s="646"/>
      <c r="AQ481" s="646"/>
      <c r="AR481" s="646"/>
      <c r="AS481" s="646"/>
      <c r="AT481" s="646"/>
      <c r="AU481" s="646"/>
      <c r="AV481" s="646"/>
      <c r="AW481" s="646"/>
      <c r="AX481" s="646"/>
      <c r="AY481" s="646"/>
      <c r="AZ481" s="646"/>
      <c r="BA481" s="646"/>
      <c r="BB481" s="646"/>
      <c r="BC481" s="646"/>
      <c r="BD481" s="646"/>
      <c r="BE481" s="646"/>
      <c r="BF481" s="646"/>
      <c r="BG481" s="646"/>
      <c r="BH481" s="646"/>
      <c r="BI481" s="646"/>
      <c r="BJ481" s="646"/>
      <c r="BK481" s="646"/>
      <c r="BL481" s="646"/>
      <c r="BM481" s="646"/>
      <c r="BN481" s="646"/>
      <c r="BO481" s="646"/>
      <c r="BP481" s="646"/>
      <c r="BQ481" s="646"/>
      <c r="BR481" s="645"/>
      <c r="BS481" s="645"/>
      <c r="BT481" s="645"/>
      <c r="BU481" s="645"/>
      <c r="BV481" s="646"/>
      <c r="BW481" s="647"/>
      <c r="BX481" s="647"/>
      <c r="BY481" s="647"/>
      <c r="BZ481" s="647"/>
      <c r="CA481" s="647"/>
      <c r="CB481" s="647"/>
      <c r="CC481" s="647"/>
      <c r="CD481" s="647"/>
      <c r="CE481" s="647"/>
      <c r="CF481" s="647"/>
      <c r="CG481" s="647"/>
      <c r="CH481" s="647"/>
      <c r="CI481" s="647"/>
      <c r="FK481" s="714"/>
      <c r="FL481" s="714"/>
    </row>
    <row r="482" spans="2:168" s="640" customFormat="1" hidden="1">
      <c r="D482" s="641"/>
      <c r="G482" s="642"/>
      <c r="J482" s="642"/>
      <c r="K482" s="643"/>
      <c r="M482" s="644"/>
      <c r="N482" s="642"/>
      <c r="Q482" s="642"/>
      <c r="T482" s="642"/>
      <c r="U482" s="643"/>
      <c r="X482" s="645"/>
      <c r="Y482" s="646"/>
      <c r="Z482" s="673"/>
      <c r="AA482" s="646"/>
      <c r="AB482" s="646"/>
      <c r="AC482" s="646"/>
      <c r="AD482" s="646"/>
      <c r="AE482" s="646"/>
      <c r="AF482" s="646"/>
      <c r="AG482" s="646"/>
      <c r="AH482" s="646"/>
      <c r="AI482" s="646"/>
      <c r="AJ482" s="646"/>
      <c r="AK482" s="646"/>
      <c r="AL482" s="646"/>
      <c r="AM482" s="646"/>
      <c r="AN482" s="646"/>
      <c r="AO482" s="646"/>
      <c r="AP482" s="646"/>
      <c r="AQ482" s="646"/>
      <c r="AR482" s="646"/>
      <c r="AS482" s="646"/>
      <c r="AT482" s="646"/>
      <c r="AU482" s="646"/>
      <c r="AV482" s="646"/>
      <c r="AW482" s="646"/>
      <c r="AX482" s="646"/>
      <c r="AY482" s="646"/>
      <c r="AZ482" s="646"/>
      <c r="BA482" s="646"/>
      <c r="BB482" s="646"/>
      <c r="BC482" s="646"/>
      <c r="BD482" s="646"/>
      <c r="BE482" s="646"/>
      <c r="BF482" s="646"/>
      <c r="BG482" s="646"/>
      <c r="BH482" s="646"/>
      <c r="BI482" s="646"/>
      <c r="BJ482" s="646"/>
      <c r="BK482" s="646"/>
      <c r="BL482" s="646"/>
      <c r="BM482" s="646"/>
      <c r="BN482" s="646"/>
      <c r="BO482" s="646"/>
      <c r="BP482" s="646"/>
      <c r="BQ482" s="646"/>
      <c r="BR482" s="645"/>
      <c r="BS482" s="645"/>
      <c r="BT482" s="645"/>
      <c r="BU482" s="645"/>
      <c r="BV482" s="646"/>
      <c r="BW482" s="647"/>
      <c r="BX482" s="647"/>
      <c r="BY482" s="647"/>
      <c r="BZ482" s="647"/>
      <c r="CA482" s="647"/>
      <c r="CB482" s="647"/>
      <c r="CC482" s="647"/>
      <c r="CD482" s="647"/>
      <c r="CE482" s="647"/>
      <c r="CF482" s="647"/>
      <c r="CG482" s="647"/>
      <c r="CH482" s="647"/>
      <c r="CI482" s="647"/>
      <c r="FK482" s="714"/>
      <c r="FL482" s="714"/>
    </row>
    <row r="483" spans="2:168" s="640" customFormat="1" hidden="1">
      <c r="D483" s="641"/>
      <c r="G483" s="642"/>
      <c r="J483" s="642"/>
      <c r="K483" s="643"/>
      <c r="M483" s="644"/>
      <c r="N483" s="642"/>
      <c r="Q483" s="642"/>
      <c r="T483" s="642"/>
      <c r="U483" s="643"/>
      <c r="X483" s="645"/>
      <c r="Y483" s="646"/>
      <c r="Z483" s="673"/>
      <c r="AA483" s="646"/>
      <c r="AB483" s="646"/>
      <c r="AC483" s="646"/>
      <c r="AD483" s="646"/>
      <c r="AE483" s="646"/>
      <c r="AF483" s="646"/>
      <c r="AG483" s="646"/>
      <c r="AH483" s="646"/>
      <c r="AI483" s="646"/>
      <c r="AJ483" s="646"/>
      <c r="AK483" s="646"/>
      <c r="AL483" s="646"/>
      <c r="AM483" s="646"/>
      <c r="AN483" s="646"/>
      <c r="AO483" s="646"/>
      <c r="AP483" s="646"/>
      <c r="AQ483" s="646"/>
      <c r="AR483" s="646"/>
      <c r="AS483" s="646"/>
      <c r="AT483" s="646"/>
      <c r="AU483" s="646"/>
      <c r="AV483" s="646"/>
      <c r="AW483" s="646"/>
      <c r="AX483" s="646"/>
      <c r="AY483" s="646"/>
      <c r="AZ483" s="646"/>
      <c r="BA483" s="646"/>
      <c r="BB483" s="646"/>
      <c r="BC483" s="646"/>
      <c r="BD483" s="646"/>
      <c r="BE483" s="646"/>
      <c r="BF483" s="646"/>
      <c r="BG483" s="646"/>
      <c r="BH483" s="646"/>
      <c r="BI483" s="646"/>
      <c r="BJ483" s="646"/>
      <c r="BK483" s="646"/>
      <c r="BL483" s="646"/>
      <c r="BM483" s="646"/>
      <c r="BN483" s="646"/>
      <c r="BO483" s="646"/>
      <c r="BP483" s="646"/>
      <c r="BQ483" s="646"/>
      <c r="BR483" s="645"/>
      <c r="BS483" s="645"/>
      <c r="BT483" s="645"/>
      <c r="BU483" s="645"/>
      <c r="BV483" s="646"/>
      <c r="BW483" s="647"/>
      <c r="BX483" s="647"/>
      <c r="BY483" s="647"/>
      <c r="BZ483" s="647"/>
      <c r="CA483" s="647"/>
      <c r="CB483" s="647"/>
      <c r="CC483" s="647"/>
      <c r="CD483" s="647"/>
      <c r="CE483" s="647"/>
      <c r="CF483" s="647"/>
      <c r="CG483" s="647"/>
      <c r="CH483" s="647"/>
      <c r="CI483" s="647"/>
      <c r="FK483" s="714"/>
      <c r="FL483" s="714"/>
    </row>
    <row r="484" spans="2:168" s="640" customFormat="1" hidden="1">
      <c r="D484" s="641"/>
      <c r="G484" s="642"/>
      <c r="J484" s="642"/>
      <c r="K484" s="643"/>
      <c r="M484" s="644"/>
      <c r="N484" s="642"/>
      <c r="Q484" s="642"/>
      <c r="T484" s="642"/>
      <c r="U484" s="643"/>
      <c r="X484" s="645"/>
      <c r="Y484" s="646"/>
      <c r="Z484" s="673"/>
      <c r="AA484" s="646"/>
      <c r="AB484" s="646"/>
      <c r="AC484" s="646"/>
      <c r="AD484" s="646"/>
      <c r="AE484" s="646"/>
      <c r="AF484" s="646"/>
      <c r="AG484" s="646"/>
      <c r="AH484" s="646"/>
      <c r="AI484" s="646"/>
      <c r="AJ484" s="646"/>
      <c r="AK484" s="646"/>
      <c r="AL484" s="646"/>
      <c r="AM484" s="646"/>
      <c r="AN484" s="646"/>
      <c r="AO484" s="646"/>
      <c r="AP484" s="646"/>
      <c r="AQ484" s="646"/>
      <c r="AR484" s="646"/>
      <c r="AS484" s="646"/>
      <c r="AT484" s="646"/>
      <c r="AU484" s="646"/>
      <c r="AV484" s="646"/>
      <c r="AW484" s="646"/>
      <c r="AX484" s="646"/>
      <c r="AY484" s="646"/>
      <c r="AZ484" s="646"/>
      <c r="BA484" s="646"/>
      <c r="BB484" s="646"/>
      <c r="BC484" s="646"/>
      <c r="BD484" s="646"/>
      <c r="BE484" s="646"/>
      <c r="BF484" s="646"/>
      <c r="BG484" s="646"/>
      <c r="BH484" s="646"/>
      <c r="BI484" s="646"/>
      <c r="BJ484" s="646"/>
      <c r="BK484" s="646"/>
      <c r="BL484" s="646"/>
      <c r="BM484" s="646"/>
      <c r="BN484" s="646"/>
      <c r="BO484" s="646"/>
      <c r="BP484" s="646"/>
      <c r="BQ484" s="646"/>
      <c r="BR484" s="645"/>
      <c r="BS484" s="645"/>
      <c r="BT484" s="645"/>
      <c r="BU484" s="645"/>
      <c r="BV484" s="646"/>
      <c r="BW484" s="647"/>
      <c r="BX484" s="647"/>
      <c r="BY484" s="647"/>
      <c r="BZ484" s="647"/>
      <c r="CA484" s="647"/>
      <c r="CB484" s="647"/>
      <c r="CC484" s="647"/>
      <c r="CD484" s="647"/>
      <c r="CE484" s="647"/>
      <c r="CF484" s="647"/>
      <c r="CG484" s="647"/>
      <c r="CH484" s="647"/>
      <c r="CI484" s="647"/>
      <c r="FK484" s="714"/>
      <c r="FL484" s="714"/>
    </row>
    <row r="485" spans="2:168" s="640" customFormat="1" hidden="1">
      <c r="D485" s="641"/>
      <c r="G485" s="642"/>
      <c r="J485" s="642"/>
      <c r="K485" s="643"/>
      <c r="M485" s="644"/>
      <c r="N485" s="642"/>
      <c r="Q485" s="642"/>
      <c r="T485" s="642"/>
      <c r="U485" s="643"/>
      <c r="X485" s="645"/>
      <c r="Y485" s="646"/>
      <c r="Z485" s="673"/>
      <c r="AA485" s="646"/>
      <c r="AB485" s="646"/>
      <c r="AC485" s="646"/>
      <c r="AD485" s="646"/>
      <c r="AE485" s="646"/>
      <c r="AF485" s="646"/>
      <c r="AG485" s="646"/>
      <c r="AH485" s="646"/>
      <c r="AI485" s="646"/>
      <c r="AJ485" s="646"/>
      <c r="AK485" s="646"/>
      <c r="AL485" s="646"/>
      <c r="AM485" s="646"/>
      <c r="AN485" s="646"/>
      <c r="AO485" s="646"/>
      <c r="AP485" s="646"/>
      <c r="AQ485" s="646"/>
      <c r="AR485" s="646"/>
      <c r="AS485" s="646"/>
      <c r="AT485" s="646"/>
      <c r="AU485" s="646"/>
      <c r="AV485" s="646"/>
      <c r="AW485" s="646"/>
      <c r="AX485" s="646"/>
      <c r="AY485" s="646"/>
      <c r="AZ485" s="646"/>
      <c r="BA485" s="646"/>
      <c r="BB485" s="646"/>
      <c r="BC485" s="646"/>
      <c r="BD485" s="646"/>
      <c r="BE485" s="646"/>
      <c r="BF485" s="646"/>
      <c r="BG485" s="646"/>
      <c r="BH485" s="646"/>
      <c r="BI485" s="646"/>
      <c r="BJ485" s="646"/>
      <c r="BK485" s="646"/>
      <c r="BL485" s="646"/>
      <c r="BM485" s="646"/>
      <c r="BN485" s="646"/>
      <c r="BO485" s="646"/>
      <c r="BP485" s="646"/>
      <c r="BQ485" s="646"/>
      <c r="BR485" s="645"/>
      <c r="BS485" s="645"/>
      <c r="BT485" s="645"/>
      <c r="BU485" s="645"/>
      <c r="BV485" s="646"/>
      <c r="BW485" s="647"/>
      <c r="BX485" s="647"/>
      <c r="BY485" s="647"/>
      <c r="BZ485" s="647"/>
      <c r="CA485" s="647"/>
      <c r="CB485" s="647"/>
      <c r="CC485" s="647"/>
      <c r="CD485" s="647"/>
      <c r="CE485" s="647"/>
      <c r="CF485" s="647"/>
      <c r="CG485" s="647"/>
      <c r="CH485" s="647"/>
      <c r="CI485" s="647"/>
      <c r="FK485" s="714"/>
      <c r="FL485" s="714"/>
    </row>
    <row r="486" spans="2:168" s="640" customFormat="1" hidden="1">
      <c r="D486" s="641"/>
      <c r="G486" s="642"/>
      <c r="J486" s="642"/>
      <c r="K486" s="643"/>
      <c r="M486" s="644"/>
      <c r="N486" s="642"/>
      <c r="Q486" s="642"/>
      <c r="T486" s="642"/>
      <c r="U486" s="643"/>
      <c r="X486" s="645"/>
      <c r="Y486" s="646"/>
      <c r="Z486" s="673"/>
      <c r="AA486" s="646"/>
      <c r="AB486" s="646"/>
      <c r="AC486" s="646"/>
      <c r="AD486" s="646"/>
      <c r="AE486" s="646"/>
      <c r="AF486" s="646"/>
      <c r="AG486" s="646"/>
      <c r="AH486" s="646"/>
      <c r="AI486" s="646"/>
      <c r="AJ486" s="646"/>
      <c r="AK486" s="646"/>
      <c r="AL486" s="646"/>
      <c r="AM486" s="646"/>
      <c r="AN486" s="646"/>
      <c r="AO486" s="646"/>
      <c r="AP486" s="646"/>
      <c r="AQ486" s="646"/>
      <c r="AR486" s="646"/>
      <c r="AS486" s="646"/>
      <c r="AT486" s="646"/>
      <c r="AU486" s="646"/>
      <c r="AV486" s="646"/>
      <c r="AW486" s="646"/>
      <c r="AX486" s="646"/>
      <c r="AY486" s="646"/>
      <c r="AZ486" s="646"/>
      <c r="BA486" s="646"/>
      <c r="BB486" s="646"/>
      <c r="BC486" s="646"/>
      <c r="BD486" s="646"/>
      <c r="BE486" s="646"/>
      <c r="BF486" s="646"/>
      <c r="BG486" s="646"/>
      <c r="BH486" s="646"/>
      <c r="BI486" s="646"/>
      <c r="BJ486" s="646"/>
      <c r="BK486" s="646"/>
      <c r="BL486" s="646"/>
      <c r="BM486" s="646"/>
      <c r="BN486" s="646"/>
      <c r="BO486" s="646"/>
      <c r="BP486" s="646"/>
      <c r="BQ486" s="646"/>
      <c r="BR486" s="645"/>
      <c r="BS486" s="645"/>
      <c r="BT486" s="645"/>
      <c r="BU486" s="645"/>
      <c r="BV486" s="646"/>
      <c r="BW486" s="647"/>
      <c r="BX486" s="647"/>
      <c r="BY486" s="647"/>
      <c r="BZ486" s="647"/>
      <c r="CA486" s="647"/>
      <c r="CB486" s="647"/>
      <c r="CC486" s="647"/>
      <c r="CD486" s="647"/>
      <c r="CE486" s="647"/>
      <c r="CF486" s="647"/>
      <c r="CG486" s="647"/>
      <c r="CH486" s="647"/>
      <c r="CI486" s="647"/>
      <c r="FK486" s="714"/>
      <c r="FL486" s="714"/>
    </row>
    <row r="487" spans="2:168" s="640" customFormat="1" hidden="1">
      <c r="D487" s="641"/>
      <c r="G487" s="642"/>
      <c r="J487" s="642"/>
      <c r="K487" s="643"/>
      <c r="M487" s="644"/>
      <c r="N487" s="642"/>
      <c r="Q487" s="642"/>
      <c r="T487" s="642"/>
      <c r="U487" s="643"/>
      <c r="X487" s="645"/>
      <c r="Y487" s="646"/>
      <c r="Z487" s="673"/>
      <c r="AA487" s="646"/>
      <c r="AB487" s="646"/>
      <c r="AC487" s="646"/>
      <c r="AD487" s="646"/>
      <c r="AE487" s="646"/>
      <c r="AF487" s="646"/>
      <c r="AG487" s="646"/>
      <c r="AH487" s="646"/>
      <c r="AI487" s="646"/>
      <c r="AJ487" s="646"/>
      <c r="AK487" s="646"/>
      <c r="AL487" s="646"/>
      <c r="AM487" s="646"/>
      <c r="AN487" s="646"/>
      <c r="AO487" s="646"/>
      <c r="AP487" s="646"/>
      <c r="AQ487" s="646"/>
      <c r="AR487" s="646"/>
      <c r="AS487" s="646"/>
      <c r="AT487" s="646"/>
      <c r="AU487" s="646"/>
      <c r="AV487" s="646"/>
      <c r="AW487" s="646"/>
      <c r="AX487" s="646"/>
      <c r="AY487" s="646"/>
      <c r="AZ487" s="646"/>
      <c r="BA487" s="646"/>
      <c r="BB487" s="646"/>
      <c r="BC487" s="646"/>
      <c r="BD487" s="646"/>
      <c r="BE487" s="646"/>
      <c r="BF487" s="646"/>
      <c r="BG487" s="646"/>
      <c r="BH487" s="646"/>
      <c r="BI487" s="646"/>
      <c r="BJ487" s="646"/>
      <c r="BK487" s="646"/>
      <c r="BL487" s="646"/>
      <c r="BM487" s="646"/>
      <c r="BN487" s="646"/>
      <c r="BO487" s="646"/>
      <c r="BP487" s="646"/>
      <c r="BQ487" s="646"/>
      <c r="BR487" s="645"/>
      <c r="BS487" s="645"/>
      <c r="BT487" s="645"/>
      <c r="BU487" s="645"/>
      <c r="BV487" s="646"/>
      <c r="BW487" s="647"/>
      <c r="BX487" s="647"/>
      <c r="BY487" s="647"/>
      <c r="BZ487" s="647"/>
      <c r="CA487" s="647"/>
      <c r="CB487" s="647"/>
      <c r="CC487" s="647"/>
      <c r="CD487" s="647"/>
      <c r="CE487" s="647"/>
      <c r="CF487" s="647"/>
      <c r="CG487" s="647"/>
      <c r="CH487" s="647"/>
      <c r="CI487" s="647"/>
      <c r="FK487" s="714"/>
      <c r="FL487" s="714"/>
    </row>
    <row r="488" spans="2:168" s="640" customFormat="1" hidden="1">
      <c r="D488" s="641"/>
      <c r="G488" s="642"/>
      <c r="J488" s="642"/>
      <c r="K488" s="643"/>
      <c r="M488" s="644"/>
      <c r="N488" s="642"/>
      <c r="Q488" s="642"/>
      <c r="T488" s="642"/>
      <c r="U488" s="643"/>
      <c r="X488" s="645"/>
      <c r="Y488" s="646"/>
      <c r="Z488" s="673"/>
      <c r="AA488" s="646"/>
      <c r="AB488" s="646"/>
      <c r="AC488" s="646"/>
      <c r="AD488" s="646"/>
      <c r="AE488" s="646"/>
      <c r="AF488" s="646"/>
      <c r="AG488" s="646"/>
      <c r="AH488" s="646"/>
      <c r="AI488" s="646"/>
      <c r="AJ488" s="646"/>
      <c r="AK488" s="646"/>
      <c r="AL488" s="646"/>
      <c r="AM488" s="646"/>
      <c r="AN488" s="646"/>
      <c r="AO488" s="646"/>
      <c r="AP488" s="646"/>
      <c r="AQ488" s="646"/>
      <c r="AR488" s="646"/>
      <c r="AS488" s="646"/>
      <c r="AT488" s="646"/>
      <c r="AU488" s="646"/>
      <c r="AV488" s="646"/>
      <c r="AW488" s="646"/>
      <c r="AX488" s="646"/>
      <c r="AY488" s="646"/>
      <c r="AZ488" s="646"/>
      <c r="BA488" s="646"/>
      <c r="BB488" s="646"/>
      <c r="BC488" s="646"/>
      <c r="BD488" s="646"/>
      <c r="BE488" s="646"/>
      <c r="BF488" s="646"/>
      <c r="BG488" s="646"/>
      <c r="BH488" s="646"/>
      <c r="BI488" s="646"/>
      <c r="BJ488" s="646"/>
      <c r="BK488" s="646"/>
      <c r="BL488" s="646"/>
      <c r="BM488" s="646"/>
      <c r="BN488" s="646"/>
      <c r="BO488" s="646"/>
      <c r="BP488" s="646"/>
      <c r="BQ488" s="646"/>
      <c r="BR488" s="645"/>
      <c r="BS488" s="645"/>
      <c r="BT488" s="645"/>
      <c r="BU488" s="645"/>
      <c r="BV488" s="646"/>
      <c r="BW488" s="647"/>
      <c r="BX488" s="647"/>
      <c r="BY488" s="647"/>
      <c r="BZ488" s="647"/>
      <c r="CA488" s="647"/>
      <c r="CB488" s="647"/>
      <c r="CC488" s="647"/>
      <c r="CD488" s="647"/>
      <c r="CE488" s="647"/>
      <c r="CF488" s="647"/>
      <c r="CG488" s="647"/>
      <c r="CH488" s="647"/>
      <c r="CI488" s="647"/>
      <c r="FK488" s="714"/>
      <c r="FL488" s="714"/>
    </row>
    <row r="489" spans="2:168" hidden="1">
      <c r="B489" s="640"/>
      <c r="C489" s="640"/>
      <c r="D489" s="641"/>
      <c r="E489" s="640"/>
      <c r="F489" s="640"/>
      <c r="G489" s="642"/>
      <c r="H489" s="640"/>
      <c r="I489" s="640"/>
      <c r="J489" s="642"/>
      <c r="K489" s="643"/>
      <c r="L489" s="640"/>
      <c r="M489" s="644"/>
      <c r="N489" s="642"/>
      <c r="O489" s="640"/>
      <c r="P489" s="640"/>
      <c r="Q489" s="642"/>
      <c r="R489" s="640"/>
      <c r="S489" s="640"/>
      <c r="T489" s="642"/>
      <c r="U489" s="643"/>
    </row>
  </sheetData>
  <sheetProtection algorithmName="SHA-512" hashValue="3USfbfI0Zr/pubzT/WM2H1ujMn0GQHRTJsQpV8MYhD0mP9lC5lOtwRjhDnpuG+lMqCxg49cT4U10E6QVgahsfg==" saltValue="9mO0V4dQRFUKCbkfL7p7+w==" spinCount="100000" sheet="1" scenarios="1"/>
  <mergeCells count="8">
    <mergeCell ref="B2:U2"/>
    <mergeCell ref="CE17:CI17"/>
    <mergeCell ref="B59:U67"/>
    <mergeCell ref="I53:L55"/>
    <mergeCell ref="Z16:AA16"/>
    <mergeCell ref="AA25:AP25"/>
    <mergeCell ref="BH17:BL17"/>
    <mergeCell ref="BH32:BL32"/>
  </mergeCells>
  <hyperlinks>
    <hyperlink ref="K46" location="'GL&amp;EE TOOL'!F29" display="Calculator" xr:uid="{8884AD4E-7428-4AF8-A244-96865257F45D}"/>
    <hyperlink ref="U46" location="'GL&amp;EE TOOL'!K29" display="Calculator" xr:uid="{80CA9E67-B39F-49D8-AAA3-ECC0D8A47024}"/>
    <hyperlink ref="I53:L55" location="'Servicing Calc'!E55" display="Back to Main Page" xr:uid="{2F6D070B-0528-4385-8333-32690E555AFC}"/>
  </hyperlinks>
  <pageMargins left="0.7" right="0.7" top="0.75" bottom="0.75" header="0.3" footer="0.3"/>
  <pageSetup orientation="portrait" r:id="rId1"/>
  <ignoredErrors>
    <ignoredError sqref="AA12:AA13" unlockedFormula="1"/>
    <ignoredError sqref="D37"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46883EE-E41A-4592-91B1-F90556F48F66}">
          <x14:formula1>
            <xm:f>'Exchange Rates'!$C$4:$C$16</xm:f>
          </x14:formula1>
          <xm:sqref>U36 K38 AH17:AH19 K13:K14 U13:U14 K36 U17:U18 AO20:AO21 AO23 AG29:AG31 K49:K51 K33:K34 U33:U34 K27:K28 U27:U28 K22:K23 U22:U23 K17:K18</xm:sqref>
        </x14:dataValidation>
        <x14:dataValidation type="list" allowBlank="1" showInputMessage="1" showErrorMessage="1" xr:uid="{444DD08E-2582-46C5-8D72-09D1CC8A3374}">
          <x14:formula1>
            <xm:f>'Servicing Calc'!$AJ$1:$AJ$15</xm:f>
          </x14:formula1>
          <xm:sqref>O5:O6 U43 K43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J381"/>
  <sheetViews>
    <sheetView workbookViewId="0">
      <selection activeCell="F7" sqref="F7"/>
    </sheetView>
  </sheetViews>
  <sheetFormatPr defaultColWidth="0" defaultRowHeight="16.5" zeroHeight="1"/>
  <cols>
    <col min="1" max="1" width="3.26953125" style="720" customWidth="1"/>
    <col min="2" max="2" width="23.26953125" style="720" customWidth="1"/>
    <col min="3" max="3" width="2.54296875" style="720" customWidth="1"/>
    <col min="4" max="4" width="38.26953125" style="720" customWidth="1"/>
    <col min="5" max="5" width="2.1796875" style="720" customWidth="1"/>
    <col min="6" max="6" width="18.1796875" style="720" customWidth="1"/>
    <col min="7" max="7" width="2.1796875" style="720" customWidth="1"/>
    <col min="8" max="8" width="17.81640625" style="720" customWidth="1"/>
    <col min="9" max="9" width="17.26953125" style="720" customWidth="1"/>
    <col min="10" max="10" width="2.7265625" style="720" customWidth="1"/>
    <col min="11" max="11" width="18.26953125" style="720" customWidth="1"/>
    <col min="12" max="12" width="2.1796875" style="720" customWidth="1"/>
    <col min="13" max="13" width="17.81640625" style="720" customWidth="1"/>
    <col min="14" max="14" width="6.7265625" style="720" customWidth="1"/>
    <col min="15" max="17" width="9.1796875" style="720" customWidth="1"/>
    <col min="18" max="18" width="4.1796875" style="720" customWidth="1"/>
    <col min="19" max="114" width="0" style="720" hidden="1" customWidth="1"/>
    <col min="115" max="16384" width="9.1796875" style="720" hidden="1"/>
  </cols>
  <sheetData>
    <row r="1" spans="1:114">
      <c r="A1" s="719"/>
      <c r="B1" s="719"/>
      <c r="C1" s="719"/>
      <c r="D1" s="719"/>
      <c r="E1" s="719"/>
      <c r="F1" s="719"/>
      <c r="G1" s="719"/>
      <c r="H1" s="719"/>
      <c r="I1" s="719"/>
      <c r="J1" s="719"/>
      <c r="K1" s="719"/>
      <c r="L1" s="719"/>
      <c r="M1" s="719"/>
      <c r="N1" s="719"/>
      <c r="O1" s="719"/>
      <c r="P1" s="719"/>
      <c r="Q1" s="719"/>
      <c r="R1" s="719"/>
      <c r="S1" s="719"/>
      <c r="T1" s="719"/>
      <c r="U1" s="719"/>
      <c r="V1" s="719"/>
      <c r="W1" s="719"/>
      <c r="X1" s="719"/>
      <c r="Y1" s="719"/>
      <c r="Z1" s="719"/>
      <c r="AA1" s="719"/>
      <c r="AB1" s="719"/>
      <c r="AC1" s="719"/>
      <c r="AD1" s="719"/>
      <c r="AE1" s="719"/>
      <c r="AF1" s="719"/>
      <c r="AG1" s="719"/>
      <c r="AH1" s="719"/>
      <c r="AI1" s="719"/>
      <c r="AJ1" s="719"/>
      <c r="AK1" s="719"/>
      <c r="AL1" s="719"/>
      <c r="AM1" s="719"/>
      <c r="AN1" s="719"/>
      <c r="AO1" s="719"/>
      <c r="AP1" s="719"/>
      <c r="AQ1" s="719"/>
      <c r="AR1" s="719"/>
      <c r="AS1" s="719"/>
      <c r="AT1" s="719"/>
    </row>
    <row r="2" spans="1:114" ht="42" customHeight="1">
      <c r="A2" s="719"/>
      <c r="B2" s="1127"/>
      <c r="C2" s="1127"/>
      <c r="D2" s="1127"/>
      <c r="E2" s="1127"/>
      <c r="F2" s="1127"/>
      <c r="G2" s="1127"/>
      <c r="H2" s="1127"/>
      <c r="I2" s="1127"/>
      <c r="J2" s="1127"/>
      <c r="K2" s="1127"/>
      <c r="L2" s="1127"/>
      <c r="M2" s="1127"/>
      <c r="N2" s="1127"/>
      <c r="O2" s="719"/>
      <c r="P2" s="719"/>
      <c r="Q2" s="719"/>
      <c r="R2" s="719"/>
      <c r="S2" s="719"/>
      <c r="T2" s="719"/>
      <c r="U2" s="719"/>
      <c r="V2" s="719"/>
      <c r="W2" s="719"/>
      <c r="X2" s="719"/>
      <c r="Y2" s="719"/>
      <c r="Z2" s="719"/>
      <c r="AA2" s="719"/>
      <c r="AB2" s="719"/>
      <c r="AC2" s="719"/>
      <c r="AD2" s="719"/>
      <c r="AE2" s="719"/>
      <c r="AF2" s="719"/>
      <c r="AG2" s="719"/>
      <c r="AH2" s="719"/>
      <c r="AI2" s="719"/>
      <c r="AJ2" s="719"/>
      <c r="AK2" s="719"/>
      <c r="AL2" s="719"/>
      <c r="AM2" s="719"/>
      <c r="AN2" s="719"/>
      <c r="AO2" s="719"/>
      <c r="AP2" s="719"/>
      <c r="AQ2" s="719"/>
      <c r="AR2" s="719"/>
      <c r="AS2" s="719"/>
      <c r="AT2" s="719"/>
    </row>
    <row r="3" spans="1:114">
      <c r="A3" s="719"/>
      <c r="B3" s="719"/>
      <c r="C3" s="719"/>
      <c r="D3" s="719"/>
      <c r="E3" s="719"/>
      <c r="F3" s="719"/>
      <c r="G3" s="719"/>
      <c r="H3" s="719"/>
      <c r="I3" s="719"/>
      <c r="J3" s="719"/>
      <c r="K3" s="719"/>
      <c r="L3" s="719"/>
      <c r="M3" s="719"/>
      <c r="N3" s="719"/>
      <c r="O3" s="719"/>
      <c r="P3" s="719"/>
      <c r="Q3" s="719"/>
      <c r="R3" s="719"/>
      <c r="S3" s="719"/>
      <c r="T3" s="719"/>
      <c r="U3" s="719"/>
      <c r="V3" s="719"/>
      <c r="W3" s="719"/>
      <c r="X3" s="719"/>
      <c r="Y3" s="719"/>
      <c r="Z3" s="719"/>
      <c r="AA3" s="719"/>
      <c r="AB3" s="719"/>
      <c r="AC3" s="719"/>
      <c r="AD3" s="719"/>
      <c r="AE3" s="719"/>
      <c r="AF3" s="719"/>
      <c r="AG3" s="719"/>
      <c r="AH3" s="719"/>
      <c r="AI3" s="719"/>
      <c r="AJ3" s="719"/>
      <c r="AK3" s="719"/>
      <c r="AL3" s="719"/>
      <c r="AM3" s="719"/>
      <c r="AN3" s="719"/>
      <c r="AO3" s="719"/>
      <c r="AP3" s="719"/>
      <c r="AQ3" s="719"/>
      <c r="AR3" s="719"/>
      <c r="AS3" s="719"/>
      <c r="AT3" s="719"/>
    </row>
    <row r="4" spans="1:114" s="654" customFormat="1" ht="18" customHeight="1">
      <c r="A4" s="651"/>
      <c r="B4" s="1351" t="s">
        <v>182</v>
      </c>
      <c r="C4" s="1351"/>
      <c r="D4" s="1351"/>
      <c r="E4" s="1352"/>
      <c r="F4" s="1352"/>
      <c r="G4" s="1352"/>
      <c r="H4" s="1352"/>
      <c r="I4" s="1352"/>
      <c r="J4" s="1352"/>
      <c r="K4" s="1352"/>
      <c r="L4" s="1352"/>
      <c r="M4" s="1352"/>
      <c r="N4" s="722"/>
      <c r="O4" s="719"/>
      <c r="P4" s="719"/>
      <c r="Q4" s="719"/>
      <c r="R4" s="719"/>
      <c r="S4" s="719"/>
      <c r="T4" s="719"/>
      <c r="U4" s="719"/>
      <c r="V4" s="719"/>
      <c r="W4" s="719"/>
      <c r="X4" s="719"/>
      <c r="Y4" s="719"/>
      <c r="Z4" s="719"/>
      <c r="AA4" s="719"/>
      <c r="AB4" s="719"/>
      <c r="AC4" s="719"/>
      <c r="AD4" s="719"/>
      <c r="AE4" s="719"/>
      <c r="AF4" s="719"/>
      <c r="AG4" s="719"/>
      <c r="AH4" s="719"/>
      <c r="AI4" s="719"/>
      <c r="AJ4" s="719"/>
      <c r="AK4" s="719"/>
      <c r="AL4" s="719"/>
      <c r="AM4" s="719"/>
      <c r="AN4" s="719"/>
      <c r="AO4" s="719"/>
      <c r="AP4" s="719"/>
      <c r="AQ4" s="719"/>
      <c r="AR4" s="719"/>
      <c r="AS4" s="719"/>
      <c r="AT4" s="719"/>
      <c r="AU4" s="719"/>
      <c r="AV4" s="719"/>
      <c r="AW4" s="719"/>
      <c r="AX4" s="719"/>
      <c r="AY4" s="719"/>
      <c r="AZ4" s="723"/>
      <c r="BA4" s="723"/>
      <c r="BB4" s="723"/>
      <c r="BC4" s="723"/>
      <c r="BD4" s="723"/>
      <c r="BE4" s="723"/>
      <c r="BF4" s="723"/>
      <c r="BG4" s="723"/>
      <c r="BH4" s="719"/>
      <c r="BI4" s="719"/>
      <c r="BJ4" s="719"/>
      <c r="BK4" s="719"/>
      <c r="BL4" s="719"/>
      <c r="BM4" s="651"/>
      <c r="BN4" s="651"/>
      <c r="BO4" s="651"/>
      <c r="BP4" s="651"/>
      <c r="BQ4" s="651"/>
      <c r="BR4" s="651"/>
      <c r="BS4" s="651"/>
      <c r="BT4" s="651"/>
      <c r="BU4" s="651"/>
      <c r="BV4" s="651"/>
      <c r="BW4" s="651"/>
      <c r="BX4" s="651"/>
      <c r="BY4" s="651"/>
      <c r="BZ4" s="651"/>
      <c r="CA4" s="651"/>
      <c r="CB4" s="651"/>
      <c r="CC4" s="651"/>
      <c r="CD4" s="651"/>
      <c r="CE4" s="651"/>
      <c r="CF4" s="651"/>
      <c r="CG4" s="651"/>
      <c r="CH4" s="651"/>
      <c r="CI4" s="651"/>
      <c r="CJ4" s="651"/>
      <c r="CK4" s="651"/>
      <c r="CL4" s="651"/>
      <c r="CM4" s="651"/>
      <c r="CN4" s="651"/>
      <c r="CO4" s="651"/>
      <c r="CP4" s="651"/>
      <c r="CQ4" s="651"/>
      <c r="CR4" s="651"/>
      <c r="CS4" s="651"/>
      <c r="CT4" s="651"/>
      <c r="CU4" s="651"/>
      <c r="CV4" s="651"/>
      <c r="CW4" s="651"/>
      <c r="CX4" s="651"/>
      <c r="CY4" s="715"/>
      <c r="CZ4" s="715"/>
      <c r="DA4" s="715"/>
      <c r="DB4" s="715"/>
      <c r="DC4" s="715"/>
      <c r="DD4" s="715"/>
      <c r="DE4" s="715"/>
      <c r="DF4" s="715"/>
      <c r="DG4" s="715"/>
      <c r="DH4" s="715"/>
      <c r="DI4" s="715"/>
      <c r="DJ4" s="715"/>
    </row>
    <row r="5" spans="1:114" s="725" customFormat="1">
      <c r="A5" s="724"/>
      <c r="B5" s="1435" t="s">
        <v>183</v>
      </c>
      <c r="C5" s="1436"/>
      <c r="D5" s="1436"/>
      <c r="E5" s="1437"/>
      <c r="F5" s="1436"/>
      <c r="G5" s="1436"/>
      <c r="H5" s="1436"/>
      <c r="I5" s="1438"/>
      <c r="J5" s="1436" t="s">
        <v>184</v>
      </c>
      <c r="K5" s="1436"/>
      <c r="L5" s="1436"/>
      <c r="M5" s="1439"/>
      <c r="N5" s="722"/>
      <c r="O5" s="724"/>
      <c r="P5" s="724"/>
      <c r="Q5" s="724"/>
      <c r="R5" s="724"/>
      <c r="S5" s="724"/>
      <c r="T5" s="724"/>
      <c r="U5" s="724"/>
      <c r="V5" s="724"/>
      <c r="W5" s="724"/>
      <c r="X5" s="724"/>
      <c r="Y5" s="724"/>
      <c r="Z5" s="724"/>
      <c r="AA5" s="724"/>
      <c r="AB5" s="724"/>
      <c r="AC5" s="724"/>
      <c r="AD5" s="724"/>
      <c r="AE5" s="724"/>
      <c r="AF5" s="724"/>
      <c r="AG5" s="724"/>
      <c r="AH5" s="724"/>
      <c r="AI5" s="724"/>
      <c r="AJ5" s="724"/>
      <c r="AK5" s="724"/>
      <c r="AL5" s="724"/>
      <c r="AM5" s="724"/>
      <c r="AN5" s="724"/>
      <c r="AO5" s="724"/>
      <c r="AP5" s="724"/>
      <c r="AQ5" s="724"/>
      <c r="AR5" s="724"/>
      <c r="AS5" s="724"/>
      <c r="AT5" s="724"/>
    </row>
    <row r="6" spans="1:114" s="725" customFormat="1">
      <c r="A6" s="724"/>
      <c r="B6" s="1435"/>
      <c r="C6" s="1436"/>
      <c r="D6" s="1436"/>
      <c r="E6" s="1437"/>
      <c r="F6" s="1440" t="s">
        <v>50</v>
      </c>
      <c r="G6" s="1440"/>
      <c r="H6" s="1440" t="s">
        <v>80</v>
      </c>
      <c r="I6" s="1440"/>
      <c r="J6" s="1440"/>
      <c r="K6" s="1440" t="s">
        <v>50</v>
      </c>
      <c r="L6" s="1440"/>
      <c r="M6" s="1441" t="s">
        <v>80</v>
      </c>
      <c r="N6" s="722"/>
      <c r="O6" s="1348" t="s">
        <v>185</v>
      </c>
      <c r="P6" s="1348"/>
      <c r="Q6" s="1348"/>
      <c r="R6" s="724"/>
      <c r="S6" s="724"/>
      <c r="T6" s="724"/>
      <c r="U6" s="724"/>
      <c r="V6" s="724"/>
      <c r="W6" s="724"/>
      <c r="X6" s="724"/>
      <c r="Y6" s="724"/>
      <c r="Z6" s="724"/>
      <c r="AA6" s="724"/>
      <c r="AB6" s="724"/>
      <c r="AC6" s="724"/>
      <c r="AD6" s="724"/>
      <c r="AE6" s="724"/>
      <c r="AF6" s="724"/>
      <c r="AG6" s="724"/>
      <c r="AH6" s="724"/>
      <c r="AI6" s="724"/>
      <c r="AJ6" s="724"/>
      <c r="AK6" s="724"/>
      <c r="AL6" s="724"/>
      <c r="AM6" s="724"/>
      <c r="AN6" s="724"/>
      <c r="AO6" s="724"/>
      <c r="AP6" s="724"/>
      <c r="AQ6" s="724"/>
    </row>
    <row r="7" spans="1:114">
      <c r="A7" s="719"/>
      <c r="B7" s="1442" t="s">
        <v>186</v>
      </c>
      <c r="C7" s="1443"/>
      <c r="D7" s="1443"/>
      <c r="E7" s="1444"/>
      <c r="F7" s="1463"/>
      <c r="G7" s="1444"/>
      <c r="H7" s="1463"/>
      <c r="I7" s="1445"/>
      <c r="J7" s="1444"/>
      <c r="K7" s="1463"/>
      <c r="L7" s="1444"/>
      <c r="M7" s="1468"/>
      <c r="N7" s="726"/>
      <c r="O7" s="1348"/>
      <c r="P7" s="1348"/>
      <c r="Q7" s="1348"/>
      <c r="R7" s="719"/>
      <c r="S7" s="719"/>
      <c r="T7" s="719"/>
      <c r="U7" s="719"/>
      <c r="V7" s="719"/>
      <c r="W7" s="719"/>
      <c r="X7" s="719"/>
      <c r="Y7" s="719"/>
      <c r="Z7" s="719"/>
      <c r="AA7" s="719"/>
      <c r="AB7" s="719"/>
      <c r="AC7" s="719"/>
      <c r="AD7" s="719"/>
      <c r="AE7" s="719"/>
      <c r="AF7" s="719"/>
      <c r="AG7" s="719"/>
      <c r="AH7" s="719"/>
      <c r="AI7" s="719"/>
      <c r="AJ7" s="719"/>
      <c r="AK7" s="719"/>
      <c r="AL7" s="719"/>
      <c r="AM7" s="719"/>
      <c r="AN7" s="719"/>
      <c r="AO7" s="719"/>
      <c r="AP7" s="719"/>
      <c r="AQ7" s="719"/>
    </row>
    <row r="8" spans="1:114">
      <c r="A8" s="719"/>
      <c r="B8" s="1442" t="s">
        <v>187</v>
      </c>
      <c r="C8" s="1443"/>
      <c r="D8" s="1443"/>
      <c r="E8" s="1444"/>
      <c r="F8" s="1463"/>
      <c r="G8" s="1444"/>
      <c r="H8" s="1463"/>
      <c r="I8" s="1445"/>
      <c r="J8" s="1444"/>
      <c r="K8" s="1463"/>
      <c r="L8" s="1444"/>
      <c r="M8" s="1468"/>
      <c r="N8" s="726"/>
      <c r="O8" s="719"/>
      <c r="P8" s="719"/>
      <c r="Q8" s="719"/>
      <c r="R8" s="719"/>
      <c r="S8" s="719"/>
      <c r="T8" s="719"/>
      <c r="U8" s="719"/>
      <c r="V8" s="719"/>
      <c r="W8" s="719"/>
      <c r="X8" s="719"/>
      <c r="Y8" s="719"/>
      <c r="Z8" s="719"/>
      <c r="AA8" s="719"/>
      <c r="AB8" s="719"/>
      <c r="AC8" s="719"/>
      <c r="AD8" s="719"/>
      <c r="AE8" s="719"/>
      <c r="AF8" s="719"/>
      <c r="AG8" s="719"/>
      <c r="AH8" s="719"/>
      <c r="AI8" s="719"/>
      <c r="AJ8" s="719"/>
      <c r="AK8" s="719"/>
      <c r="AL8" s="719"/>
      <c r="AM8" s="719"/>
      <c r="AN8" s="719"/>
      <c r="AO8" s="719"/>
      <c r="AP8" s="719"/>
      <c r="AQ8" s="719"/>
    </row>
    <row r="9" spans="1:114">
      <c r="A9" s="719"/>
      <c r="B9" s="1442" t="s">
        <v>188</v>
      </c>
      <c r="C9" s="1443"/>
      <c r="D9" s="1443"/>
      <c r="E9" s="1444"/>
      <c r="F9" s="1463"/>
      <c r="G9" s="1444"/>
      <c r="H9" s="1463"/>
      <c r="I9" s="1445"/>
      <c r="J9" s="1444"/>
      <c r="K9" s="1463"/>
      <c r="L9" s="1444"/>
      <c r="M9" s="1468"/>
      <c r="N9" s="726"/>
      <c r="O9" s="719"/>
      <c r="P9" s="719"/>
      <c r="Q9" s="719"/>
      <c r="R9" s="719"/>
      <c r="S9" s="719"/>
      <c r="T9" s="719"/>
      <c r="U9" s="719"/>
      <c r="V9" s="719"/>
      <c r="W9" s="719"/>
      <c r="X9" s="719"/>
      <c r="Y9" s="719"/>
      <c r="Z9" s="719"/>
      <c r="AA9" s="719"/>
      <c r="AB9" s="719"/>
      <c r="AC9" s="719"/>
      <c r="AD9" s="719"/>
      <c r="AE9" s="719"/>
      <c r="AF9" s="719"/>
      <c r="AG9" s="719"/>
      <c r="AH9" s="719"/>
      <c r="AI9" s="719"/>
      <c r="AJ9" s="719"/>
      <c r="AK9" s="719"/>
      <c r="AL9" s="719"/>
      <c r="AM9" s="719"/>
      <c r="AN9" s="719"/>
      <c r="AO9" s="719"/>
      <c r="AP9" s="719"/>
      <c r="AQ9" s="719"/>
    </row>
    <row r="10" spans="1:114">
      <c r="A10" s="719"/>
      <c r="B10" s="1442" t="s">
        <v>189</v>
      </c>
      <c r="C10" s="1443"/>
      <c r="D10" s="1443"/>
      <c r="E10" s="1444"/>
      <c r="F10" s="1463"/>
      <c r="G10" s="1444"/>
      <c r="H10" s="1463"/>
      <c r="I10" s="1445"/>
      <c r="J10" s="1444"/>
      <c r="K10" s="1463"/>
      <c r="L10" s="1444"/>
      <c r="M10" s="1468"/>
      <c r="N10" s="726"/>
      <c r="O10" s="719"/>
      <c r="P10" s="719"/>
      <c r="Q10" s="719"/>
      <c r="R10" s="719"/>
      <c r="S10" s="719"/>
      <c r="T10" s="719"/>
      <c r="U10" s="719"/>
      <c r="V10" s="719"/>
      <c r="W10" s="719"/>
      <c r="X10" s="719"/>
      <c r="Y10" s="719"/>
      <c r="Z10" s="719"/>
      <c r="AA10" s="719"/>
      <c r="AB10" s="719"/>
      <c r="AC10" s="719"/>
      <c r="AD10" s="719"/>
      <c r="AE10" s="719"/>
      <c r="AF10" s="719"/>
      <c r="AG10" s="719"/>
      <c r="AH10" s="719"/>
      <c r="AI10" s="719"/>
      <c r="AJ10" s="719"/>
      <c r="AK10" s="719"/>
      <c r="AL10" s="719"/>
      <c r="AM10" s="719"/>
      <c r="AN10" s="719"/>
      <c r="AO10" s="719"/>
      <c r="AP10" s="719"/>
      <c r="AQ10" s="719"/>
    </row>
    <row r="11" spans="1:114">
      <c r="A11" s="719"/>
      <c r="B11" s="1442" t="s">
        <v>190</v>
      </c>
      <c r="C11" s="1443"/>
      <c r="D11" s="1443"/>
      <c r="E11" s="1444"/>
      <c r="F11" s="1463"/>
      <c r="G11" s="1444"/>
      <c r="H11" s="1463"/>
      <c r="I11" s="1445"/>
      <c r="J11" s="1444"/>
      <c r="K11" s="1463"/>
      <c r="L11" s="1444"/>
      <c r="M11" s="1468"/>
      <c r="N11" s="726"/>
      <c r="O11" s="719"/>
      <c r="P11" s="719"/>
      <c r="Q11" s="719"/>
      <c r="R11" s="719"/>
      <c r="S11" s="719"/>
      <c r="T11" s="719"/>
      <c r="U11" s="719"/>
      <c r="V11" s="719"/>
      <c r="W11" s="719"/>
      <c r="X11" s="719"/>
      <c r="Y11" s="719"/>
      <c r="Z11" s="719"/>
      <c r="AA11" s="719"/>
      <c r="AB11" s="719"/>
      <c r="AC11" s="719"/>
      <c r="AD11" s="719"/>
      <c r="AE11" s="719"/>
      <c r="AF11" s="719"/>
      <c r="AG11" s="719"/>
      <c r="AH11" s="719"/>
      <c r="AI11" s="719"/>
      <c r="AJ11" s="719"/>
      <c r="AK11" s="719"/>
      <c r="AL11" s="719"/>
      <c r="AM11" s="719"/>
      <c r="AN11" s="719"/>
      <c r="AO11" s="719"/>
      <c r="AP11" s="719"/>
      <c r="AQ11" s="719"/>
    </row>
    <row r="12" spans="1:114">
      <c r="A12" s="719"/>
      <c r="B12" s="1442" t="s">
        <v>191</v>
      </c>
      <c r="C12" s="1443"/>
      <c r="D12" s="1443"/>
      <c r="E12" s="1444"/>
      <c r="F12" s="1463"/>
      <c r="G12" s="1444"/>
      <c r="H12" s="1463"/>
      <c r="I12" s="1445"/>
      <c r="J12" s="1444"/>
      <c r="K12" s="1463"/>
      <c r="L12" s="1444"/>
      <c r="M12" s="1468"/>
      <c r="N12" s="726"/>
      <c r="O12" s="719"/>
      <c r="P12" s="719"/>
      <c r="Q12" s="719"/>
      <c r="R12" s="719"/>
      <c r="S12" s="719"/>
      <c r="T12" s="719"/>
      <c r="U12" s="719"/>
      <c r="V12" s="719"/>
      <c r="W12" s="719"/>
      <c r="X12" s="719"/>
      <c r="Y12" s="719"/>
      <c r="Z12" s="719"/>
      <c r="AA12" s="719"/>
      <c r="AB12" s="719"/>
      <c r="AC12" s="719"/>
      <c r="AD12" s="719"/>
      <c r="AE12" s="719"/>
      <c r="AF12" s="719"/>
      <c r="AG12" s="719"/>
      <c r="AH12" s="719"/>
      <c r="AI12" s="719"/>
      <c r="AJ12" s="719"/>
      <c r="AK12" s="719"/>
      <c r="AL12" s="719"/>
      <c r="AM12" s="719"/>
      <c r="AN12" s="719"/>
      <c r="AO12" s="719"/>
      <c r="AP12" s="719"/>
      <c r="AQ12" s="719"/>
    </row>
    <row r="13" spans="1:114">
      <c r="A13" s="719"/>
      <c r="B13" s="1442" t="s">
        <v>192</v>
      </c>
      <c r="C13" s="1443"/>
      <c r="D13" s="1443"/>
      <c r="E13" s="1444"/>
      <c r="F13" s="1463"/>
      <c r="G13" s="1444"/>
      <c r="H13" s="1463"/>
      <c r="I13" s="1445"/>
      <c r="J13" s="1444"/>
      <c r="K13" s="1463"/>
      <c r="L13" s="1444"/>
      <c r="M13" s="1468"/>
      <c r="N13" s="726"/>
      <c r="O13" s="719"/>
      <c r="P13" s="719"/>
      <c r="Q13" s="719"/>
      <c r="R13" s="719"/>
      <c r="S13" s="719"/>
      <c r="T13" s="719"/>
      <c r="U13" s="719"/>
      <c r="V13" s="719"/>
      <c r="W13" s="719"/>
      <c r="X13" s="719"/>
      <c r="Y13" s="719"/>
      <c r="Z13" s="719"/>
      <c r="AA13" s="719"/>
      <c r="AB13" s="719"/>
      <c r="AC13" s="719"/>
      <c r="AD13" s="719"/>
      <c r="AE13" s="719"/>
      <c r="AF13" s="719"/>
      <c r="AG13" s="719"/>
      <c r="AH13" s="719"/>
      <c r="AI13" s="719"/>
      <c r="AJ13" s="719"/>
      <c r="AK13" s="719"/>
      <c r="AL13" s="719"/>
      <c r="AM13" s="719"/>
      <c r="AN13" s="719"/>
      <c r="AO13" s="719"/>
      <c r="AP13" s="719"/>
      <c r="AQ13" s="719"/>
    </row>
    <row r="14" spans="1:114">
      <c r="A14" s="719"/>
      <c r="B14" s="1442" t="s">
        <v>193</v>
      </c>
      <c r="C14" s="1443"/>
      <c r="D14" s="1443"/>
      <c r="E14" s="1444"/>
      <c r="F14" s="1463"/>
      <c r="G14" s="1444"/>
      <c r="H14" s="1463"/>
      <c r="I14" s="1445"/>
      <c r="J14" s="1444"/>
      <c r="K14" s="1463"/>
      <c r="L14" s="1444"/>
      <c r="M14" s="1468"/>
      <c r="N14" s="726"/>
      <c r="O14" s="719"/>
      <c r="P14" s="719"/>
      <c r="Q14" s="719"/>
      <c r="R14" s="719"/>
      <c r="S14" s="719"/>
      <c r="T14" s="719"/>
      <c r="U14" s="719"/>
      <c r="V14" s="719"/>
      <c r="W14" s="719"/>
      <c r="X14" s="719"/>
      <c r="Y14" s="719"/>
      <c r="Z14" s="719"/>
      <c r="AA14" s="719"/>
      <c r="AB14" s="719"/>
      <c r="AC14" s="719"/>
      <c r="AD14" s="719"/>
      <c r="AE14" s="719"/>
      <c r="AF14" s="719"/>
      <c r="AG14" s="719"/>
      <c r="AH14" s="719"/>
      <c r="AI14" s="719"/>
      <c r="AJ14" s="719"/>
      <c r="AK14" s="719"/>
      <c r="AL14" s="719"/>
      <c r="AM14" s="719"/>
      <c r="AN14" s="719"/>
      <c r="AO14" s="719"/>
      <c r="AP14" s="719"/>
      <c r="AQ14" s="719"/>
    </row>
    <row r="15" spans="1:114">
      <c r="A15" s="719"/>
      <c r="B15" s="1442" t="s">
        <v>194</v>
      </c>
      <c r="C15" s="1443"/>
      <c r="D15" s="1443"/>
      <c r="E15" s="1444"/>
      <c r="F15" s="1463"/>
      <c r="G15" s="1444"/>
      <c r="H15" s="1463"/>
      <c r="I15" s="1445"/>
      <c r="J15" s="1444"/>
      <c r="K15" s="1463"/>
      <c r="L15" s="1444"/>
      <c r="M15" s="1468"/>
      <c r="N15" s="726"/>
      <c r="O15" s="719"/>
      <c r="P15" s="719"/>
      <c r="Q15" s="719"/>
      <c r="R15" s="719"/>
      <c r="S15" s="719"/>
      <c r="T15" s="719"/>
      <c r="U15" s="719"/>
      <c r="V15" s="719"/>
      <c r="W15" s="719"/>
      <c r="X15" s="719"/>
      <c r="Y15" s="719"/>
      <c r="Z15" s="719"/>
      <c r="AA15" s="719"/>
      <c r="AB15" s="719"/>
      <c r="AC15" s="719"/>
      <c r="AD15" s="719"/>
      <c r="AE15" s="719"/>
      <c r="AF15" s="719"/>
      <c r="AG15" s="719"/>
      <c r="AH15" s="719"/>
      <c r="AI15" s="719"/>
      <c r="AJ15" s="719"/>
      <c r="AK15" s="719"/>
      <c r="AL15" s="719"/>
      <c r="AM15" s="719"/>
      <c r="AN15" s="719"/>
      <c r="AO15" s="719"/>
      <c r="AP15" s="719"/>
      <c r="AQ15" s="719"/>
    </row>
    <row r="16" spans="1:114">
      <c r="A16" s="719"/>
      <c r="B16" s="1442" t="s">
        <v>195</v>
      </c>
      <c r="C16" s="1443"/>
      <c r="D16" s="1443"/>
      <c r="E16" s="1444"/>
      <c r="F16" s="1463"/>
      <c r="G16" s="1444"/>
      <c r="H16" s="1463"/>
      <c r="I16" s="1445"/>
      <c r="J16" s="1444"/>
      <c r="K16" s="1463"/>
      <c r="L16" s="1444"/>
      <c r="M16" s="1468"/>
      <c r="N16" s="726"/>
      <c r="O16" s="719"/>
      <c r="P16" s="719"/>
      <c r="Q16" s="719"/>
      <c r="R16" s="719"/>
      <c r="S16" s="719"/>
      <c r="T16" s="719"/>
      <c r="U16" s="719"/>
      <c r="V16" s="719"/>
      <c r="W16" s="719"/>
      <c r="X16" s="719"/>
      <c r="Y16" s="719"/>
      <c r="Z16" s="719"/>
      <c r="AA16" s="719"/>
      <c r="AB16" s="719"/>
      <c r="AC16" s="719"/>
      <c r="AD16" s="719"/>
      <c r="AE16" s="719"/>
      <c r="AF16" s="719"/>
      <c r="AG16" s="719"/>
      <c r="AH16" s="719"/>
      <c r="AI16" s="719"/>
      <c r="AJ16" s="719"/>
      <c r="AK16" s="719"/>
      <c r="AL16" s="719"/>
      <c r="AM16" s="719"/>
      <c r="AN16" s="719"/>
      <c r="AO16" s="719"/>
      <c r="AP16" s="719"/>
      <c r="AQ16" s="719"/>
    </row>
    <row r="17" spans="1:114">
      <c r="A17" s="719"/>
      <c r="B17" s="1442" t="s">
        <v>196</v>
      </c>
      <c r="C17" s="1443"/>
      <c r="D17" s="1443"/>
      <c r="E17" s="1444"/>
      <c r="F17" s="1463"/>
      <c r="G17" s="1444"/>
      <c r="H17" s="1463"/>
      <c r="I17" s="1445"/>
      <c r="J17" s="1444"/>
      <c r="K17" s="1463"/>
      <c r="L17" s="1444"/>
      <c r="M17" s="1468"/>
      <c r="N17" s="726"/>
      <c r="O17" s="719"/>
      <c r="P17" s="719"/>
      <c r="Q17" s="719"/>
      <c r="R17" s="719"/>
      <c r="S17" s="719"/>
      <c r="T17" s="719"/>
      <c r="U17" s="719"/>
      <c r="V17" s="719"/>
      <c r="W17" s="719"/>
      <c r="X17" s="719"/>
      <c r="Y17" s="719"/>
      <c r="Z17" s="719"/>
      <c r="AA17" s="719"/>
      <c r="AB17" s="719"/>
      <c r="AC17" s="719"/>
      <c r="AD17" s="719"/>
      <c r="AE17" s="719"/>
      <c r="AF17" s="719"/>
      <c r="AG17" s="719"/>
      <c r="AH17" s="719"/>
      <c r="AI17" s="719"/>
      <c r="AJ17" s="719"/>
      <c r="AK17" s="719"/>
      <c r="AL17" s="719"/>
      <c r="AM17" s="719"/>
      <c r="AN17" s="719"/>
      <c r="AO17" s="719"/>
      <c r="AP17" s="719"/>
      <c r="AQ17" s="719"/>
    </row>
    <row r="18" spans="1:114">
      <c r="A18" s="719"/>
      <c r="B18" s="1442" t="s">
        <v>197</v>
      </c>
      <c r="C18" s="1443"/>
      <c r="D18" s="1443"/>
      <c r="E18" s="1444"/>
      <c r="F18" s="1463"/>
      <c r="G18" s="1444"/>
      <c r="H18" s="1463"/>
      <c r="I18" s="1445"/>
      <c r="J18" s="1444"/>
      <c r="K18" s="1463"/>
      <c r="L18" s="1444"/>
      <c r="M18" s="1468"/>
      <c r="N18" s="726"/>
      <c r="O18" s="719"/>
      <c r="P18" s="719"/>
      <c r="Q18" s="719"/>
      <c r="R18" s="719"/>
      <c r="S18" s="719"/>
      <c r="T18" s="719"/>
      <c r="U18" s="719"/>
      <c r="V18" s="719"/>
      <c r="W18" s="719"/>
      <c r="X18" s="719"/>
      <c r="Y18" s="719"/>
      <c r="Z18" s="719"/>
      <c r="AA18" s="719"/>
      <c r="AB18" s="719"/>
      <c r="AC18" s="719"/>
      <c r="AD18" s="719"/>
      <c r="AE18" s="719"/>
      <c r="AF18" s="719"/>
      <c r="AG18" s="719"/>
      <c r="AH18" s="719"/>
      <c r="AI18" s="719"/>
      <c r="AJ18" s="719"/>
      <c r="AK18" s="719"/>
      <c r="AL18" s="719"/>
      <c r="AM18" s="719"/>
      <c r="AN18" s="719"/>
      <c r="AO18" s="719"/>
      <c r="AP18" s="719"/>
      <c r="AQ18" s="719"/>
    </row>
    <row r="19" spans="1:114">
      <c r="A19" s="719"/>
      <c r="B19" s="1442" t="s">
        <v>198</v>
      </c>
      <c r="C19" s="1443"/>
      <c r="D19" s="1443"/>
      <c r="E19" s="1444"/>
      <c r="F19" s="1463"/>
      <c r="G19" s="1444"/>
      <c r="H19" s="1463"/>
      <c r="I19" s="1445"/>
      <c r="J19" s="1444"/>
      <c r="K19" s="1463"/>
      <c r="L19" s="1444"/>
      <c r="M19" s="1468"/>
      <c r="N19" s="726"/>
      <c r="O19" s="719"/>
      <c r="P19" s="719"/>
      <c r="Q19" s="719"/>
      <c r="R19" s="719"/>
      <c r="S19" s="719"/>
      <c r="T19" s="719"/>
      <c r="U19" s="719"/>
      <c r="V19" s="719"/>
      <c r="W19" s="719"/>
      <c r="X19" s="719"/>
      <c r="Y19" s="719"/>
      <c r="Z19" s="719"/>
      <c r="AA19" s="719"/>
      <c r="AB19" s="719"/>
      <c r="AC19" s="719"/>
      <c r="AD19" s="719"/>
      <c r="AE19" s="719"/>
      <c r="AF19" s="719"/>
      <c r="AG19" s="719"/>
      <c r="AH19" s="719"/>
      <c r="AI19" s="719"/>
      <c r="AJ19" s="719"/>
      <c r="AK19" s="719"/>
      <c r="AL19" s="719"/>
      <c r="AM19" s="719"/>
      <c r="AN19" s="719"/>
      <c r="AO19" s="719"/>
      <c r="AP19" s="719"/>
      <c r="AQ19" s="719"/>
    </row>
    <row r="20" spans="1:114">
      <c r="A20" s="719"/>
      <c r="B20" s="1446"/>
      <c r="C20" s="1126"/>
      <c r="D20" s="1126"/>
      <c r="E20" s="1444"/>
      <c r="F20" s="1463"/>
      <c r="G20" s="1444"/>
      <c r="H20" s="1463"/>
      <c r="I20" s="1445"/>
      <c r="J20" s="1444"/>
      <c r="K20" s="1463"/>
      <c r="L20" s="1444"/>
      <c r="M20" s="1468"/>
      <c r="N20" s="726"/>
      <c r="O20" s="719"/>
      <c r="P20" s="719"/>
      <c r="Q20" s="719"/>
      <c r="R20" s="719"/>
      <c r="S20" s="719"/>
      <c r="T20" s="719"/>
      <c r="U20" s="719"/>
      <c r="V20" s="719"/>
      <c r="W20" s="719"/>
      <c r="X20" s="719"/>
      <c r="Y20" s="719"/>
      <c r="Z20" s="719"/>
      <c r="AA20" s="719"/>
      <c r="AB20" s="719"/>
      <c r="AC20" s="719"/>
      <c r="AD20" s="719"/>
      <c r="AE20" s="719"/>
      <c r="AF20" s="719"/>
      <c r="AG20" s="719"/>
      <c r="AH20" s="719"/>
      <c r="AI20" s="719"/>
      <c r="AJ20" s="719"/>
      <c r="AK20" s="719"/>
      <c r="AL20" s="719"/>
      <c r="AM20" s="719"/>
      <c r="AN20" s="719"/>
      <c r="AO20" s="719"/>
      <c r="AP20" s="719"/>
      <c r="AQ20" s="719"/>
    </row>
    <row r="21" spans="1:114" ht="10.15" customHeight="1">
      <c r="A21" s="719"/>
      <c r="B21" s="1447"/>
      <c r="C21" s="1448"/>
      <c r="D21" s="1449"/>
      <c r="E21" s="1444"/>
      <c r="F21" s="1464"/>
      <c r="G21" s="1444"/>
      <c r="H21" s="1465"/>
      <c r="I21" s="1445"/>
      <c r="J21" s="1444"/>
      <c r="K21" s="1467"/>
      <c r="L21" s="1444"/>
      <c r="M21" s="1470"/>
      <c r="N21" s="726"/>
      <c r="O21" s="719"/>
      <c r="P21" s="719"/>
      <c r="Q21" s="719"/>
      <c r="R21" s="719"/>
      <c r="S21" s="719"/>
      <c r="T21" s="719"/>
      <c r="U21" s="719"/>
      <c r="V21" s="719"/>
      <c r="W21" s="719"/>
      <c r="X21" s="719"/>
      <c r="Y21" s="719"/>
      <c r="Z21" s="719"/>
      <c r="AA21" s="719"/>
      <c r="AB21" s="719"/>
      <c r="AC21" s="719"/>
      <c r="AD21" s="719"/>
      <c r="AE21" s="719"/>
      <c r="AF21" s="719"/>
      <c r="AG21" s="719"/>
      <c r="AH21" s="719"/>
      <c r="AI21" s="719"/>
      <c r="AJ21" s="719"/>
      <c r="AK21" s="719"/>
      <c r="AL21" s="719"/>
      <c r="AM21" s="719"/>
      <c r="AN21" s="719"/>
    </row>
    <row r="22" spans="1:114">
      <c r="A22" s="719"/>
      <c r="B22" s="1447"/>
      <c r="C22" s="1448"/>
      <c r="D22" s="1449" t="s">
        <v>199</v>
      </c>
      <c r="E22" s="1444"/>
      <c r="F22" s="1507">
        <f>SUM(F7:F20)</f>
        <v>0</v>
      </c>
      <c r="G22" s="1444"/>
      <c r="H22" s="1508">
        <f>SUM(H7:H20)</f>
        <v>0</v>
      </c>
      <c r="I22" s="1445"/>
      <c r="J22" s="1444"/>
      <c r="K22" s="1509">
        <f>SUM(K7:K20)</f>
        <v>0</v>
      </c>
      <c r="L22" s="1444"/>
      <c r="M22" s="1510">
        <f>SUM(M7:M20)</f>
        <v>0</v>
      </c>
      <c r="N22" s="726"/>
      <c r="O22" s="719"/>
      <c r="P22" s="719"/>
      <c r="Q22" s="719"/>
      <c r="R22" s="719"/>
      <c r="S22" s="719"/>
      <c r="T22" s="719"/>
      <c r="U22" s="719"/>
      <c r="V22" s="719"/>
      <c r="W22" s="719"/>
      <c r="X22" s="719"/>
      <c r="Y22" s="719"/>
      <c r="Z22" s="719"/>
      <c r="AA22" s="719"/>
      <c r="AB22" s="719"/>
      <c r="AC22" s="719"/>
      <c r="AD22" s="719"/>
      <c r="AE22" s="719"/>
      <c r="AF22" s="719"/>
      <c r="AG22" s="719"/>
      <c r="AH22" s="719"/>
      <c r="AI22" s="719"/>
      <c r="AJ22" s="719"/>
      <c r="AK22" s="719"/>
      <c r="AL22" s="719"/>
      <c r="AM22" s="719"/>
      <c r="AN22" s="719"/>
    </row>
    <row r="23" spans="1:114">
      <c r="A23" s="719"/>
      <c r="B23" s="1435"/>
      <c r="C23" s="1448"/>
      <c r="D23" s="1108"/>
      <c r="E23" s="1444"/>
      <c r="F23" s="1444"/>
      <c r="G23" s="1444"/>
      <c r="H23" s="1466" t="s">
        <v>89</v>
      </c>
      <c r="I23" s="1444"/>
      <c r="J23" s="1444"/>
      <c r="K23" s="1444"/>
      <c r="L23" s="1444"/>
      <c r="M23" s="1469" t="s">
        <v>89</v>
      </c>
      <c r="N23" s="726"/>
      <c r="O23" s="719"/>
      <c r="P23" s="719"/>
      <c r="Q23" s="719"/>
      <c r="R23" s="719"/>
      <c r="S23" s="719"/>
      <c r="T23" s="719"/>
      <c r="U23" s="719"/>
      <c r="V23" s="719"/>
      <c r="W23" s="719"/>
      <c r="X23" s="719"/>
      <c r="Y23" s="719"/>
      <c r="Z23" s="719"/>
      <c r="AA23" s="719"/>
      <c r="AB23" s="719"/>
      <c r="AC23" s="719"/>
      <c r="AD23" s="719"/>
      <c r="AE23" s="719"/>
      <c r="AF23" s="719"/>
      <c r="AG23" s="719"/>
      <c r="AH23" s="719"/>
      <c r="AI23" s="719"/>
      <c r="AJ23" s="719"/>
      <c r="AK23" s="719"/>
      <c r="AL23" s="719"/>
      <c r="AM23" s="719"/>
      <c r="AN23" s="719"/>
    </row>
    <row r="24" spans="1:114">
      <c r="A24" s="719"/>
      <c r="B24" s="1435"/>
      <c r="C24" s="1448"/>
      <c r="D24" s="1108"/>
      <c r="E24" s="1444"/>
      <c r="F24" s="1444"/>
      <c r="G24" s="1450" t="str">
        <f>IF(ISBLANK(H24), "            &lt;Select&gt;", "")</f>
        <v xml:space="preserve">            &lt;Select&gt;</v>
      </c>
      <c r="H24" s="1463"/>
      <c r="I24" s="1444"/>
      <c r="J24" s="1444"/>
      <c r="K24" s="1451"/>
      <c r="L24" s="1450" t="str">
        <f>IF(ISBLANK(M24), "            &lt;Select&gt;", "")</f>
        <v xml:space="preserve">            &lt;Select&gt;</v>
      </c>
      <c r="M24" s="1468"/>
      <c r="N24" s="726"/>
      <c r="O24" s="719"/>
      <c r="P24" s="719"/>
      <c r="Q24" s="719"/>
      <c r="R24" s="719"/>
      <c r="S24" s="719"/>
      <c r="T24" s="719"/>
      <c r="U24" s="719"/>
      <c r="V24" s="719"/>
      <c r="W24" s="719"/>
      <c r="X24" s="719"/>
      <c r="Y24" s="719"/>
      <c r="Z24" s="719"/>
      <c r="AA24" s="719"/>
      <c r="AB24" s="719"/>
      <c r="AC24" s="719"/>
      <c r="AD24" s="719"/>
      <c r="AE24" s="719"/>
      <c r="AF24" s="719"/>
      <c r="AG24" s="719"/>
      <c r="AH24" s="719"/>
      <c r="AI24" s="719"/>
      <c r="AJ24" s="719"/>
      <c r="AK24" s="719"/>
      <c r="AL24" s="719"/>
      <c r="AM24" s="719"/>
      <c r="AN24" s="719"/>
    </row>
    <row r="25" spans="1:114">
      <c r="A25" s="719"/>
      <c r="B25" s="1435"/>
      <c r="C25" s="1448"/>
      <c r="D25" s="1108"/>
      <c r="E25" s="1444"/>
      <c r="F25" s="1444"/>
      <c r="G25" s="1444"/>
      <c r="H25" s="1444"/>
      <c r="I25" s="1444"/>
      <c r="J25" s="1444"/>
      <c r="K25" s="1444"/>
      <c r="L25" s="1444"/>
      <c r="M25" s="1452"/>
      <c r="N25" s="726"/>
      <c r="O25" s="719"/>
      <c r="P25" s="719"/>
      <c r="Q25" s="719"/>
      <c r="R25" s="719"/>
      <c r="S25" s="719"/>
      <c r="T25" s="719"/>
      <c r="U25" s="719"/>
      <c r="V25" s="719"/>
      <c r="W25" s="719"/>
      <c r="X25" s="719"/>
      <c r="Y25" s="719"/>
      <c r="Z25" s="719"/>
      <c r="AA25" s="719"/>
      <c r="AB25" s="719"/>
      <c r="AC25" s="719"/>
      <c r="AD25" s="719"/>
      <c r="AE25" s="719"/>
      <c r="AF25" s="719"/>
      <c r="AG25" s="719"/>
      <c r="AH25" s="719"/>
      <c r="AI25" s="719"/>
      <c r="AJ25" s="719"/>
      <c r="AK25" s="719"/>
      <c r="AL25" s="719"/>
      <c r="AM25" s="719"/>
      <c r="AN25" s="719"/>
    </row>
    <row r="26" spans="1:114" s="654" customFormat="1" ht="18" customHeight="1">
      <c r="A26" s="651"/>
      <c r="B26" s="1351" t="s">
        <v>200</v>
      </c>
      <c r="C26" s="1351"/>
      <c r="D26" s="1351"/>
      <c r="E26" s="1352"/>
      <c r="F26" s="1352"/>
      <c r="G26" s="1352"/>
      <c r="H26" s="1352"/>
      <c r="I26" s="1352"/>
      <c r="J26" s="1352"/>
      <c r="K26" s="1352"/>
      <c r="L26" s="1352"/>
      <c r="M26" s="1352"/>
      <c r="N26" s="722"/>
      <c r="O26" s="719"/>
      <c r="P26" s="719"/>
      <c r="Q26" s="719"/>
      <c r="R26" s="719"/>
      <c r="S26" s="719"/>
      <c r="T26" s="719"/>
      <c r="U26" s="719"/>
      <c r="V26" s="719"/>
      <c r="W26" s="719"/>
      <c r="X26" s="719"/>
      <c r="Y26" s="719"/>
      <c r="Z26" s="719"/>
      <c r="AA26" s="719"/>
      <c r="AB26" s="719"/>
      <c r="AC26" s="719"/>
      <c r="AD26" s="719"/>
      <c r="AE26" s="719"/>
      <c r="AF26" s="719"/>
      <c r="AG26" s="719"/>
      <c r="AH26" s="719"/>
      <c r="AI26" s="719"/>
      <c r="AJ26" s="719"/>
      <c r="AK26" s="719"/>
      <c r="AL26" s="719"/>
      <c r="AM26" s="719"/>
      <c r="AN26" s="719"/>
      <c r="AO26" s="719"/>
      <c r="AP26" s="719"/>
      <c r="AQ26" s="719"/>
      <c r="AR26" s="719"/>
      <c r="AS26" s="719"/>
      <c r="AT26" s="719"/>
      <c r="AU26" s="719"/>
      <c r="AV26" s="719"/>
      <c r="AW26" s="719"/>
      <c r="AX26" s="719"/>
      <c r="AY26" s="719"/>
      <c r="AZ26" s="723"/>
      <c r="BA26" s="723"/>
      <c r="BB26" s="723"/>
      <c r="BC26" s="723"/>
      <c r="BD26" s="723"/>
      <c r="BE26" s="723"/>
      <c r="BF26" s="723"/>
      <c r="BG26" s="723"/>
      <c r="BH26" s="719"/>
      <c r="BI26" s="719"/>
      <c r="BJ26" s="719"/>
      <c r="BK26" s="719"/>
      <c r="BL26" s="719"/>
      <c r="BM26" s="651"/>
      <c r="BN26" s="651"/>
      <c r="BO26" s="651"/>
      <c r="BP26" s="651"/>
      <c r="BQ26" s="651"/>
      <c r="BR26" s="651"/>
      <c r="BS26" s="651"/>
      <c r="BT26" s="651"/>
      <c r="BU26" s="651"/>
      <c r="BV26" s="651"/>
      <c r="BW26" s="651"/>
      <c r="BX26" s="651"/>
      <c r="BY26" s="651"/>
      <c r="BZ26" s="651"/>
      <c r="CA26" s="651"/>
      <c r="CB26" s="651"/>
      <c r="CC26" s="651"/>
      <c r="CD26" s="651"/>
      <c r="CE26" s="651"/>
      <c r="CF26" s="651"/>
      <c r="CG26" s="651"/>
      <c r="CH26" s="651"/>
      <c r="CI26" s="651"/>
      <c r="CJ26" s="651"/>
      <c r="CK26" s="651"/>
      <c r="CL26" s="651"/>
      <c r="CM26" s="651"/>
      <c r="CN26" s="651"/>
      <c r="CO26" s="651"/>
      <c r="CP26" s="651"/>
      <c r="CQ26" s="651"/>
      <c r="CR26" s="651"/>
      <c r="CS26" s="651"/>
      <c r="CT26" s="651"/>
      <c r="CU26" s="651"/>
      <c r="CV26" s="651"/>
      <c r="CW26" s="651"/>
      <c r="CX26" s="651"/>
      <c r="CY26" s="715"/>
      <c r="CZ26" s="715"/>
      <c r="DA26" s="715"/>
      <c r="DB26" s="715"/>
      <c r="DC26" s="715"/>
      <c r="DD26" s="715"/>
      <c r="DE26" s="715"/>
      <c r="DF26" s="715"/>
      <c r="DG26" s="715"/>
      <c r="DH26" s="715"/>
      <c r="DI26" s="715"/>
      <c r="DJ26" s="715"/>
    </row>
    <row r="27" spans="1:114" ht="15" customHeight="1">
      <c r="A27" s="719"/>
      <c r="B27" s="1435" t="s">
        <v>201</v>
      </c>
      <c r="C27" s="1453"/>
      <c r="D27" s="1453"/>
      <c r="E27" s="1454"/>
      <c r="F27" s="1454"/>
      <c r="G27" s="1454"/>
      <c r="H27" s="1454"/>
      <c r="I27" s="1316"/>
      <c r="J27" s="1437" t="s">
        <v>202</v>
      </c>
      <c r="K27" s="1454"/>
      <c r="L27" s="1454"/>
      <c r="M27" s="1455"/>
      <c r="N27" s="722"/>
      <c r="O27" s="719"/>
      <c r="P27" s="719"/>
      <c r="Q27" s="719"/>
      <c r="R27" s="719"/>
      <c r="S27" s="719"/>
      <c r="T27" s="719"/>
      <c r="U27" s="719"/>
      <c r="V27" s="719"/>
      <c r="W27" s="719"/>
      <c r="X27" s="719"/>
      <c r="Y27" s="719"/>
      <c r="Z27" s="719"/>
      <c r="AA27" s="719"/>
      <c r="AB27" s="719"/>
      <c r="AC27" s="719"/>
      <c r="AD27" s="719"/>
      <c r="AE27" s="719"/>
      <c r="AF27" s="719"/>
      <c r="AG27" s="719"/>
      <c r="AH27" s="719"/>
      <c r="AI27" s="719"/>
      <c r="AJ27" s="719"/>
      <c r="AK27" s="719"/>
      <c r="AL27" s="719"/>
      <c r="AM27" s="719"/>
      <c r="AN27" s="719"/>
      <c r="AO27" s="719"/>
      <c r="AP27" s="719"/>
    </row>
    <row r="28" spans="1:114">
      <c r="A28" s="719"/>
      <c r="B28" s="1435"/>
      <c r="C28" s="1453"/>
      <c r="D28" s="1453"/>
      <c r="E28" s="1454"/>
      <c r="F28" s="1456" t="s">
        <v>50</v>
      </c>
      <c r="G28" s="1456"/>
      <c r="H28" s="1456" t="s">
        <v>80</v>
      </c>
      <c r="I28" s="1437"/>
      <c r="J28" s="1454"/>
      <c r="K28" s="1456" t="s">
        <v>50</v>
      </c>
      <c r="L28" s="1456"/>
      <c r="M28" s="1457" t="s">
        <v>80</v>
      </c>
      <c r="N28" s="722"/>
      <c r="O28" s="1349" t="s">
        <v>203</v>
      </c>
      <c r="P28" s="1349"/>
      <c r="Q28" s="1349"/>
      <c r="R28" s="719"/>
      <c r="S28" s="719"/>
      <c r="T28" s="719"/>
      <c r="U28" s="719"/>
      <c r="V28" s="719"/>
      <c r="W28" s="719"/>
      <c r="X28" s="719"/>
      <c r="Y28" s="719"/>
      <c r="Z28" s="719"/>
      <c r="AA28" s="719"/>
      <c r="AB28" s="719"/>
      <c r="AC28" s="719"/>
      <c r="AD28" s="719"/>
      <c r="AE28" s="719"/>
      <c r="AF28" s="719"/>
      <c r="AG28" s="719"/>
      <c r="AH28" s="719"/>
      <c r="AI28" s="719"/>
      <c r="AJ28" s="719"/>
      <c r="AK28" s="719"/>
      <c r="AL28" s="719"/>
      <c r="AM28" s="719"/>
      <c r="AN28" s="719"/>
      <c r="AO28" s="719"/>
      <c r="AP28" s="719"/>
    </row>
    <row r="29" spans="1:114">
      <c r="A29" s="719"/>
      <c r="B29" s="1442" t="s">
        <v>186</v>
      </c>
      <c r="C29" s="1443"/>
      <c r="D29" s="1443"/>
      <c r="E29" s="1444"/>
      <c r="F29" s="1463"/>
      <c r="G29" s="1444"/>
      <c r="H29" s="1463"/>
      <c r="I29" s="1445"/>
      <c r="J29" s="1444"/>
      <c r="K29" s="1463"/>
      <c r="L29" s="1444"/>
      <c r="M29" s="1468"/>
      <c r="N29" s="726"/>
      <c r="O29" s="1349"/>
      <c r="P29" s="1349"/>
      <c r="Q29" s="1349"/>
      <c r="R29" s="719"/>
      <c r="S29" s="719"/>
      <c r="T29" s="719"/>
      <c r="U29" s="719"/>
      <c r="V29" s="719"/>
      <c r="W29" s="719"/>
      <c r="X29" s="719"/>
      <c r="Y29" s="719"/>
      <c r="Z29" s="719"/>
      <c r="AA29" s="719"/>
      <c r="AB29" s="719"/>
      <c r="AC29" s="719"/>
      <c r="AD29" s="719"/>
      <c r="AE29" s="719"/>
      <c r="AF29" s="719"/>
      <c r="AG29" s="719"/>
      <c r="AH29" s="719"/>
      <c r="AI29" s="719"/>
      <c r="AJ29" s="719"/>
      <c r="AK29" s="719"/>
      <c r="AL29" s="719"/>
      <c r="AM29" s="719"/>
      <c r="AN29" s="719"/>
      <c r="AO29" s="719"/>
      <c r="AP29" s="719"/>
    </row>
    <row r="30" spans="1:114">
      <c r="A30" s="719"/>
      <c r="B30" s="1442" t="s">
        <v>187</v>
      </c>
      <c r="C30" s="1443"/>
      <c r="D30" s="1443"/>
      <c r="E30" s="1444"/>
      <c r="F30" s="1463"/>
      <c r="G30" s="1444"/>
      <c r="H30" s="1463"/>
      <c r="I30" s="1445"/>
      <c r="J30" s="1444"/>
      <c r="K30" s="1463"/>
      <c r="L30" s="1444"/>
      <c r="M30" s="1468"/>
      <c r="N30" s="726"/>
      <c r="O30" s="719"/>
      <c r="P30" s="719"/>
      <c r="Q30" s="719"/>
      <c r="R30" s="719"/>
      <c r="S30" s="719"/>
      <c r="T30" s="719"/>
      <c r="U30" s="719"/>
      <c r="V30" s="719"/>
      <c r="W30" s="719"/>
      <c r="X30" s="719"/>
      <c r="Y30" s="719"/>
      <c r="Z30" s="719"/>
      <c r="AA30" s="719"/>
      <c r="AB30" s="719"/>
      <c r="AC30" s="719"/>
      <c r="AD30" s="719"/>
      <c r="AE30" s="719"/>
      <c r="AF30" s="719"/>
      <c r="AG30" s="719"/>
      <c r="AH30" s="719"/>
      <c r="AI30" s="719"/>
      <c r="AJ30" s="719"/>
      <c r="AK30" s="719"/>
      <c r="AL30" s="719"/>
      <c r="AM30" s="719"/>
      <c r="AN30" s="719"/>
      <c r="AO30" s="719"/>
      <c r="AP30" s="719"/>
    </row>
    <row r="31" spans="1:114">
      <c r="A31" s="719"/>
      <c r="B31" s="1442" t="s">
        <v>188</v>
      </c>
      <c r="C31" s="1443"/>
      <c r="D31" s="1443"/>
      <c r="E31" s="1444"/>
      <c r="F31" s="1463"/>
      <c r="G31" s="1444"/>
      <c r="H31" s="1463"/>
      <c r="I31" s="1445"/>
      <c r="J31" s="1444"/>
      <c r="K31" s="1463"/>
      <c r="L31" s="1444"/>
      <c r="M31" s="1468"/>
      <c r="N31" s="726"/>
      <c r="O31" s="719"/>
      <c r="P31" s="719"/>
      <c r="Q31" s="719"/>
      <c r="R31" s="719"/>
      <c r="S31" s="719"/>
      <c r="T31" s="719"/>
      <c r="U31" s="719"/>
      <c r="V31" s="719"/>
      <c r="W31" s="719"/>
      <c r="X31" s="719"/>
      <c r="Y31" s="719"/>
      <c r="Z31" s="719"/>
      <c r="AA31" s="719"/>
      <c r="AB31" s="719"/>
      <c r="AC31" s="719"/>
      <c r="AD31" s="719"/>
      <c r="AE31" s="719"/>
      <c r="AF31" s="719"/>
      <c r="AG31" s="719"/>
      <c r="AH31" s="719"/>
      <c r="AI31" s="719"/>
      <c r="AJ31" s="719"/>
      <c r="AK31" s="719"/>
      <c r="AL31" s="719"/>
      <c r="AM31" s="719"/>
      <c r="AN31" s="719"/>
      <c r="AO31" s="719"/>
      <c r="AP31" s="719"/>
    </row>
    <row r="32" spans="1:114">
      <c r="A32" s="719"/>
      <c r="B32" s="1442" t="s">
        <v>189</v>
      </c>
      <c r="C32" s="1443"/>
      <c r="D32" s="1443"/>
      <c r="E32" s="1444"/>
      <c r="F32" s="1463"/>
      <c r="G32" s="1444"/>
      <c r="H32" s="1463"/>
      <c r="I32" s="1445"/>
      <c r="J32" s="1444"/>
      <c r="K32" s="1463"/>
      <c r="L32" s="1444"/>
      <c r="M32" s="1468"/>
      <c r="N32" s="726"/>
      <c r="O32" s="719"/>
      <c r="P32" s="719"/>
      <c r="Q32" s="719"/>
      <c r="R32" s="719"/>
      <c r="S32" s="719"/>
      <c r="T32" s="719"/>
      <c r="U32" s="719"/>
      <c r="V32" s="719"/>
      <c r="W32" s="719"/>
      <c r="X32" s="719"/>
      <c r="Y32" s="719"/>
      <c r="Z32" s="719"/>
      <c r="AA32" s="719"/>
      <c r="AB32" s="719"/>
      <c r="AC32" s="719"/>
      <c r="AD32" s="719"/>
      <c r="AE32" s="719"/>
      <c r="AF32" s="719"/>
      <c r="AG32" s="719"/>
      <c r="AH32" s="719"/>
      <c r="AI32" s="719"/>
      <c r="AJ32" s="719"/>
      <c r="AK32" s="719"/>
      <c r="AL32" s="719"/>
      <c r="AM32" s="719"/>
      <c r="AN32" s="719"/>
      <c r="AO32" s="719"/>
      <c r="AP32" s="719"/>
    </row>
    <row r="33" spans="1:42">
      <c r="A33" s="719"/>
      <c r="B33" s="1442" t="s">
        <v>190</v>
      </c>
      <c r="C33" s="1443"/>
      <c r="D33" s="1443"/>
      <c r="E33" s="1444"/>
      <c r="F33" s="1463"/>
      <c r="G33" s="1444"/>
      <c r="H33" s="1463"/>
      <c r="I33" s="1445"/>
      <c r="J33" s="1444"/>
      <c r="K33" s="1463"/>
      <c r="L33" s="1444"/>
      <c r="M33" s="1468"/>
      <c r="N33" s="726"/>
      <c r="O33" s="719"/>
      <c r="P33" s="719"/>
      <c r="Q33" s="719"/>
      <c r="R33" s="719"/>
      <c r="S33" s="719"/>
      <c r="T33" s="719"/>
      <c r="U33" s="719"/>
      <c r="V33" s="719"/>
      <c r="W33" s="719"/>
      <c r="X33" s="719"/>
      <c r="Y33" s="719"/>
      <c r="Z33" s="719"/>
      <c r="AA33" s="719"/>
      <c r="AB33" s="719"/>
      <c r="AC33" s="719"/>
      <c r="AD33" s="719"/>
      <c r="AE33" s="719"/>
      <c r="AF33" s="719"/>
      <c r="AG33" s="719"/>
      <c r="AH33" s="719"/>
      <c r="AI33" s="719"/>
      <c r="AJ33" s="719"/>
      <c r="AK33" s="719"/>
      <c r="AL33" s="719"/>
      <c r="AM33" s="719"/>
      <c r="AN33" s="719"/>
      <c r="AO33" s="719"/>
      <c r="AP33" s="719"/>
    </row>
    <row r="34" spans="1:42">
      <c r="A34" s="719"/>
      <c r="B34" s="1442" t="s">
        <v>191</v>
      </c>
      <c r="C34" s="1443"/>
      <c r="D34" s="1443"/>
      <c r="E34" s="1444"/>
      <c r="F34" s="1463"/>
      <c r="G34" s="1444"/>
      <c r="H34" s="1463"/>
      <c r="I34" s="1445"/>
      <c r="J34" s="1444"/>
      <c r="K34" s="1463"/>
      <c r="L34" s="1444"/>
      <c r="M34" s="1468"/>
      <c r="N34" s="726"/>
      <c r="O34" s="719"/>
      <c r="P34" s="719"/>
      <c r="Q34" s="719"/>
      <c r="R34" s="719"/>
      <c r="S34" s="719"/>
      <c r="T34" s="719"/>
      <c r="U34" s="719"/>
      <c r="V34" s="719"/>
      <c r="W34" s="719"/>
      <c r="X34" s="719"/>
      <c r="Y34" s="719"/>
      <c r="Z34" s="719"/>
      <c r="AA34" s="719"/>
      <c r="AB34" s="719"/>
      <c r="AC34" s="719"/>
      <c r="AD34" s="719"/>
      <c r="AE34" s="719"/>
      <c r="AF34" s="719"/>
      <c r="AG34" s="719"/>
      <c r="AH34" s="719"/>
      <c r="AI34" s="719"/>
      <c r="AJ34" s="719"/>
      <c r="AK34" s="719"/>
      <c r="AL34" s="719"/>
      <c r="AM34" s="719"/>
      <c r="AN34" s="719"/>
      <c r="AO34" s="719"/>
      <c r="AP34" s="719"/>
    </row>
    <row r="35" spans="1:42">
      <c r="A35" s="719"/>
      <c r="B35" s="1442" t="s">
        <v>192</v>
      </c>
      <c r="C35" s="1443"/>
      <c r="D35" s="1443"/>
      <c r="E35" s="1444"/>
      <c r="F35" s="1463"/>
      <c r="G35" s="1444"/>
      <c r="H35" s="1463"/>
      <c r="I35" s="1445"/>
      <c r="J35" s="1444"/>
      <c r="K35" s="1463"/>
      <c r="L35" s="1444"/>
      <c r="M35" s="1468"/>
      <c r="N35" s="726"/>
      <c r="O35" s="719"/>
      <c r="P35" s="719"/>
      <c r="Q35" s="719"/>
      <c r="R35" s="719"/>
      <c r="S35" s="719"/>
      <c r="T35" s="719"/>
      <c r="U35" s="719"/>
      <c r="V35" s="719"/>
      <c r="W35" s="719"/>
      <c r="X35" s="719"/>
      <c r="Y35" s="719"/>
      <c r="Z35" s="719"/>
      <c r="AA35" s="719"/>
      <c r="AB35" s="719"/>
      <c r="AC35" s="719"/>
      <c r="AD35" s="719"/>
      <c r="AE35" s="719"/>
      <c r="AF35" s="719"/>
      <c r="AG35" s="719"/>
      <c r="AH35" s="719"/>
      <c r="AI35" s="719"/>
      <c r="AJ35" s="719"/>
      <c r="AK35" s="719"/>
      <c r="AL35" s="719"/>
      <c r="AM35" s="719"/>
      <c r="AN35" s="719"/>
      <c r="AO35" s="719"/>
      <c r="AP35" s="719"/>
    </row>
    <row r="36" spans="1:42">
      <c r="A36" s="719"/>
      <c r="B36" s="1442" t="s">
        <v>193</v>
      </c>
      <c r="C36" s="1443"/>
      <c r="D36" s="1443"/>
      <c r="E36" s="1444"/>
      <c r="F36" s="1463"/>
      <c r="G36" s="1444"/>
      <c r="H36" s="1463"/>
      <c r="I36" s="1445"/>
      <c r="J36" s="1444"/>
      <c r="K36" s="1463"/>
      <c r="L36" s="1444"/>
      <c r="M36" s="1468"/>
      <c r="N36" s="726"/>
      <c r="O36" s="719"/>
      <c r="P36" s="719"/>
      <c r="Q36" s="719"/>
      <c r="R36" s="719"/>
      <c r="S36" s="719"/>
      <c r="T36" s="719"/>
      <c r="U36" s="719"/>
      <c r="V36" s="719"/>
      <c r="W36" s="719"/>
      <c r="X36" s="719"/>
      <c r="Y36" s="719"/>
      <c r="Z36" s="719"/>
      <c r="AA36" s="719"/>
      <c r="AB36" s="719"/>
      <c r="AC36" s="719"/>
      <c r="AD36" s="719"/>
      <c r="AE36" s="719"/>
      <c r="AF36" s="719"/>
      <c r="AG36" s="719"/>
      <c r="AH36" s="719"/>
      <c r="AI36" s="719"/>
      <c r="AJ36" s="719"/>
      <c r="AK36" s="719"/>
      <c r="AL36" s="719"/>
      <c r="AM36" s="719"/>
      <c r="AN36" s="719"/>
      <c r="AO36" s="719"/>
      <c r="AP36" s="719"/>
    </row>
    <row r="37" spans="1:42">
      <c r="A37" s="719"/>
      <c r="B37" s="1442" t="s">
        <v>194</v>
      </c>
      <c r="C37" s="1443"/>
      <c r="D37" s="1443"/>
      <c r="E37" s="1444"/>
      <c r="F37" s="1463"/>
      <c r="G37" s="1444"/>
      <c r="H37" s="1463"/>
      <c r="I37" s="1445"/>
      <c r="J37" s="1444"/>
      <c r="K37" s="1463"/>
      <c r="L37" s="1444"/>
      <c r="M37" s="1468"/>
      <c r="N37" s="726"/>
      <c r="O37" s="719"/>
      <c r="P37" s="719"/>
      <c r="Q37" s="719"/>
      <c r="R37" s="719"/>
      <c r="S37" s="719"/>
      <c r="T37" s="719"/>
      <c r="U37" s="719"/>
      <c r="V37" s="719"/>
      <c r="W37" s="719"/>
      <c r="X37" s="719"/>
      <c r="Y37" s="719"/>
      <c r="Z37" s="719"/>
      <c r="AA37" s="719"/>
      <c r="AB37" s="719"/>
      <c r="AC37" s="719"/>
      <c r="AD37" s="719"/>
      <c r="AE37" s="719"/>
      <c r="AF37" s="719"/>
      <c r="AG37" s="719"/>
      <c r="AH37" s="719"/>
      <c r="AI37" s="719"/>
      <c r="AJ37" s="719"/>
      <c r="AK37" s="719"/>
      <c r="AL37" s="719"/>
      <c r="AM37" s="719"/>
      <c r="AN37" s="719"/>
      <c r="AO37" s="719"/>
      <c r="AP37" s="719"/>
    </row>
    <row r="38" spans="1:42">
      <c r="A38" s="719"/>
      <c r="B38" s="1442" t="s">
        <v>195</v>
      </c>
      <c r="C38" s="1443"/>
      <c r="D38" s="1443"/>
      <c r="E38" s="1444"/>
      <c r="F38" s="1463"/>
      <c r="G38" s="1444"/>
      <c r="H38" s="1463"/>
      <c r="I38" s="1445"/>
      <c r="J38" s="1444"/>
      <c r="K38" s="1463"/>
      <c r="L38" s="1444"/>
      <c r="M38" s="1468"/>
      <c r="N38" s="726"/>
      <c r="O38" s="719"/>
      <c r="P38" s="719"/>
      <c r="Q38" s="719"/>
      <c r="R38" s="719"/>
      <c r="S38" s="719"/>
      <c r="T38" s="719"/>
      <c r="U38" s="719"/>
      <c r="V38" s="719"/>
      <c r="W38" s="719"/>
      <c r="X38" s="719"/>
      <c r="Y38" s="719"/>
      <c r="Z38" s="719"/>
      <c r="AA38" s="719"/>
      <c r="AB38" s="719"/>
      <c r="AC38" s="719"/>
      <c r="AD38" s="719"/>
      <c r="AE38" s="719"/>
      <c r="AF38" s="719"/>
      <c r="AG38" s="719"/>
      <c r="AH38" s="719"/>
      <c r="AI38" s="719"/>
      <c r="AJ38" s="719"/>
      <c r="AK38" s="719"/>
      <c r="AL38" s="719"/>
      <c r="AM38" s="719"/>
    </row>
    <row r="39" spans="1:42">
      <c r="A39" s="719"/>
      <c r="B39" s="1442" t="s">
        <v>196</v>
      </c>
      <c r="C39" s="1443"/>
      <c r="D39" s="1443"/>
      <c r="E39" s="1444"/>
      <c r="F39" s="1463"/>
      <c r="G39" s="1444"/>
      <c r="H39" s="1463"/>
      <c r="I39" s="1445"/>
      <c r="J39" s="1444"/>
      <c r="K39" s="1463"/>
      <c r="L39" s="1444"/>
      <c r="M39" s="1468"/>
      <c r="N39" s="726"/>
      <c r="O39" s="719"/>
      <c r="P39" s="719"/>
      <c r="Q39" s="719"/>
      <c r="R39" s="719"/>
      <c r="S39" s="719"/>
      <c r="T39" s="719"/>
      <c r="U39" s="719"/>
      <c r="V39" s="719"/>
      <c r="W39" s="719"/>
      <c r="X39" s="719"/>
      <c r="Y39" s="719"/>
      <c r="Z39" s="719"/>
      <c r="AA39" s="719"/>
      <c r="AB39" s="719"/>
      <c r="AC39" s="719"/>
      <c r="AD39" s="719"/>
      <c r="AE39" s="719"/>
      <c r="AF39" s="719"/>
      <c r="AG39" s="719"/>
      <c r="AH39" s="719"/>
      <c r="AI39" s="719"/>
      <c r="AJ39" s="719"/>
      <c r="AK39" s="719"/>
      <c r="AL39" s="719"/>
      <c r="AM39" s="719"/>
    </row>
    <row r="40" spans="1:42">
      <c r="A40" s="719"/>
      <c r="B40" s="1442" t="s">
        <v>197</v>
      </c>
      <c r="C40" s="1443"/>
      <c r="D40" s="1443"/>
      <c r="E40" s="1444"/>
      <c r="F40" s="1463"/>
      <c r="G40" s="1444"/>
      <c r="H40" s="1463"/>
      <c r="I40" s="1445"/>
      <c r="J40" s="1444"/>
      <c r="K40" s="1463"/>
      <c r="L40" s="1444"/>
      <c r="M40" s="1468"/>
      <c r="N40" s="726"/>
      <c r="O40" s="719"/>
      <c r="P40" s="719"/>
      <c r="Q40" s="719"/>
      <c r="R40" s="719"/>
      <c r="S40" s="719"/>
      <c r="T40" s="719"/>
      <c r="U40" s="719"/>
      <c r="V40" s="719"/>
      <c r="W40" s="719"/>
      <c r="X40" s="719"/>
      <c r="Y40" s="719"/>
      <c r="Z40" s="719"/>
      <c r="AA40" s="719"/>
      <c r="AB40" s="719"/>
      <c r="AC40" s="719"/>
      <c r="AD40" s="719"/>
      <c r="AE40" s="719"/>
      <c r="AF40" s="719"/>
      <c r="AG40" s="719"/>
      <c r="AH40" s="719"/>
      <c r="AI40" s="719"/>
      <c r="AJ40" s="719"/>
      <c r="AK40" s="719"/>
      <c r="AL40" s="719"/>
      <c r="AM40" s="719"/>
    </row>
    <row r="41" spans="1:42">
      <c r="A41" s="719"/>
      <c r="B41" s="1442" t="s">
        <v>198</v>
      </c>
      <c r="C41" s="1443"/>
      <c r="D41" s="1443"/>
      <c r="E41" s="1444"/>
      <c r="F41" s="1463"/>
      <c r="G41" s="1444"/>
      <c r="H41" s="1463"/>
      <c r="I41" s="1445"/>
      <c r="J41" s="1444"/>
      <c r="K41" s="1463"/>
      <c r="L41" s="1444"/>
      <c r="M41" s="1468"/>
      <c r="N41" s="726"/>
      <c r="O41" s="719"/>
      <c r="P41" s="719"/>
      <c r="Q41" s="719"/>
      <c r="R41" s="719"/>
      <c r="S41" s="719"/>
      <c r="T41" s="719"/>
      <c r="U41" s="719"/>
      <c r="V41" s="719"/>
      <c r="W41" s="719"/>
      <c r="X41" s="719"/>
      <c r="Y41" s="719"/>
      <c r="Z41" s="719"/>
      <c r="AA41" s="719"/>
      <c r="AB41" s="719"/>
      <c r="AC41" s="719"/>
      <c r="AD41" s="719"/>
      <c r="AE41" s="719"/>
      <c r="AF41" s="719"/>
      <c r="AG41" s="719"/>
      <c r="AH41" s="719"/>
      <c r="AI41" s="719"/>
      <c r="AJ41" s="719"/>
      <c r="AK41" s="719"/>
      <c r="AL41" s="719"/>
      <c r="AM41" s="719"/>
    </row>
    <row r="42" spans="1:42">
      <c r="A42" s="719"/>
      <c r="B42" s="1446"/>
      <c r="C42" s="1126"/>
      <c r="D42" s="1126"/>
      <c r="E42" s="1444"/>
      <c r="F42" s="1463"/>
      <c r="G42" s="1444"/>
      <c r="H42" s="1463"/>
      <c r="I42" s="1445"/>
      <c r="J42" s="1444"/>
      <c r="K42" s="1463"/>
      <c r="L42" s="1444"/>
      <c r="M42" s="1468"/>
      <c r="N42" s="726"/>
      <c r="O42" s="719"/>
      <c r="P42" s="719"/>
      <c r="Q42" s="719"/>
      <c r="R42" s="719"/>
      <c r="S42" s="719"/>
      <c r="T42" s="719"/>
      <c r="U42" s="719"/>
      <c r="V42" s="719"/>
      <c r="W42" s="719"/>
      <c r="X42" s="719"/>
      <c r="Y42" s="719"/>
      <c r="Z42" s="719"/>
      <c r="AA42" s="719"/>
      <c r="AB42" s="719"/>
      <c r="AC42" s="719"/>
      <c r="AD42" s="719"/>
      <c r="AE42" s="719"/>
      <c r="AF42" s="719"/>
      <c r="AG42" s="719"/>
      <c r="AH42" s="719"/>
      <c r="AI42" s="719"/>
      <c r="AJ42" s="719"/>
      <c r="AK42" s="719"/>
      <c r="AL42" s="719"/>
      <c r="AM42" s="719"/>
    </row>
    <row r="43" spans="1:42" ht="10.9" customHeight="1">
      <c r="A43" s="719"/>
      <c r="B43" s="1447"/>
      <c r="C43" s="1448"/>
      <c r="D43" s="1449"/>
      <c r="E43" s="1444"/>
      <c r="F43" s="1464"/>
      <c r="G43" s="1444"/>
      <c r="H43" s="1465"/>
      <c r="I43" s="1445"/>
      <c r="J43" s="1444"/>
      <c r="K43" s="1467"/>
      <c r="L43" s="1444"/>
      <c r="M43" s="1470"/>
      <c r="N43" s="726"/>
      <c r="O43" s="719"/>
      <c r="P43" s="719"/>
      <c r="Q43" s="719"/>
      <c r="R43" s="719"/>
      <c r="S43" s="719"/>
      <c r="T43" s="719"/>
      <c r="U43" s="719"/>
      <c r="V43" s="719"/>
      <c r="W43" s="719"/>
      <c r="X43" s="719"/>
      <c r="Y43" s="719"/>
      <c r="Z43" s="719"/>
      <c r="AA43" s="719"/>
      <c r="AB43" s="719"/>
      <c r="AC43" s="719"/>
      <c r="AD43" s="719"/>
      <c r="AE43" s="719"/>
      <c r="AF43" s="719"/>
      <c r="AG43" s="719"/>
      <c r="AH43" s="719"/>
      <c r="AI43" s="719"/>
      <c r="AJ43" s="719"/>
      <c r="AK43" s="719"/>
      <c r="AL43" s="719"/>
      <c r="AM43" s="719"/>
    </row>
    <row r="44" spans="1:42">
      <c r="A44" s="719"/>
      <c r="B44" s="1447"/>
      <c r="C44" s="1448"/>
      <c r="D44" s="1449" t="s">
        <v>199</v>
      </c>
      <c r="E44" s="1444"/>
      <c r="F44" s="1507">
        <f>SUM(F29:F42)</f>
        <v>0</v>
      </c>
      <c r="G44" s="1444"/>
      <c r="H44" s="1508">
        <f>SUM(H29:H42)</f>
        <v>0</v>
      </c>
      <c r="I44" s="1445"/>
      <c r="J44" s="1444"/>
      <c r="K44" s="1509">
        <f>SUM(K29:K42)</f>
        <v>0</v>
      </c>
      <c r="L44" s="1444"/>
      <c r="M44" s="1510">
        <f>SUM(M29:M42)</f>
        <v>0</v>
      </c>
      <c r="N44" s="726"/>
      <c r="O44" s="719"/>
      <c r="P44" s="719"/>
      <c r="Q44" s="719"/>
      <c r="R44" s="719"/>
      <c r="S44" s="719"/>
      <c r="T44" s="719"/>
      <c r="U44" s="719"/>
      <c r="V44" s="719"/>
      <c r="W44" s="719"/>
      <c r="X44" s="719"/>
      <c r="Y44" s="719"/>
      <c r="Z44" s="719"/>
      <c r="AA44" s="719"/>
      <c r="AB44" s="719"/>
      <c r="AC44" s="719"/>
      <c r="AD44" s="719"/>
      <c r="AE44" s="719"/>
      <c r="AF44" s="719"/>
      <c r="AG44" s="719"/>
      <c r="AH44" s="719"/>
      <c r="AI44" s="719"/>
      <c r="AJ44" s="719"/>
      <c r="AK44" s="719"/>
      <c r="AL44" s="719"/>
      <c r="AM44" s="719"/>
    </row>
    <row r="45" spans="1:42">
      <c r="A45" s="719"/>
      <c r="B45" s="1458"/>
      <c r="C45" s="1444"/>
      <c r="D45" s="1109"/>
      <c r="E45" s="1444"/>
      <c r="F45" s="1444"/>
      <c r="G45" s="1444"/>
      <c r="H45" s="1472" t="s">
        <v>89</v>
      </c>
      <c r="I45" s="1448"/>
      <c r="J45" s="1448"/>
      <c r="K45" s="1448"/>
      <c r="L45" s="1448"/>
      <c r="M45" s="1474" t="s">
        <v>89</v>
      </c>
      <c r="N45" s="726"/>
      <c r="O45" s="719"/>
      <c r="P45" s="719"/>
      <c r="Q45" s="719"/>
      <c r="R45" s="719"/>
      <c r="S45" s="719"/>
      <c r="T45" s="719"/>
      <c r="U45" s="719"/>
      <c r="V45" s="719"/>
      <c r="W45" s="719"/>
      <c r="X45" s="719"/>
      <c r="Y45" s="719"/>
      <c r="Z45" s="719"/>
      <c r="AA45" s="719"/>
      <c r="AB45" s="719"/>
      <c r="AC45" s="719"/>
      <c r="AD45" s="719"/>
      <c r="AE45" s="719"/>
      <c r="AF45" s="719"/>
      <c r="AG45" s="719"/>
      <c r="AH45" s="719"/>
      <c r="AI45" s="719"/>
      <c r="AJ45" s="719"/>
      <c r="AK45" s="719"/>
      <c r="AL45" s="719"/>
      <c r="AM45" s="719"/>
    </row>
    <row r="46" spans="1:42">
      <c r="A46" s="719"/>
      <c r="B46" s="1458"/>
      <c r="C46" s="1444"/>
      <c r="D46" s="1109"/>
      <c r="E46" s="1444"/>
      <c r="F46" s="1444"/>
      <c r="G46" s="1450" t="str">
        <f>IF(ISBLANK(H46), "            &lt;Select&gt;", "")</f>
        <v xml:space="preserve">            &lt;Select&gt;</v>
      </c>
      <c r="H46" s="1471"/>
      <c r="I46" s="1444"/>
      <c r="J46" s="1444"/>
      <c r="K46" s="1444"/>
      <c r="L46" s="1450" t="str">
        <f>IF(ISBLANK(M46), "            &lt;Select&gt;", "")</f>
        <v xml:space="preserve">            &lt;Select&gt;</v>
      </c>
      <c r="M46" s="1473"/>
      <c r="N46" s="726"/>
      <c r="O46" s="719"/>
      <c r="P46" s="719"/>
      <c r="Q46" s="719"/>
      <c r="R46" s="719"/>
      <c r="S46" s="719"/>
      <c r="T46" s="719"/>
      <c r="U46" s="719"/>
      <c r="V46" s="719"/>
      <c r="W46" s="719"/>
      <c r="X46" s="719"/>
      <c r="Y46" s="719"/>
      <c r="Z46" s="719"/>
      <c r="AA46" s="719"/>
      <c r="AB46" s="719"/>
      <c r="AC46" s="719"/>
      <c r="AD46" s="719"/>
      <c r="AE46" s="719"/>
      <c r="AF46" s="719"/>
      <c r="AG46" s="719"/>
      <c r="AH46" s="719"/>
      <c r="AI46" s="719"/>
      <c r="AJ46" s="719"/>
      <c r="AK46" s="719"/>
      <c r="AL46" s="719"/>
      <c r="AM46" s="719"/>
    </row>
    <row r="47" spans="1:42">
      <c r="A47" s="719"/>
      <c r="B47" s="1459"/>
      <c r="C47" s="1460"/>
      <c r="D47" s="1460"/>
      <c r="E47" s="1460"/>
      <c r="F47" s="1460"/>
      <c r="G47" s="1460"/>
      <c r="H47" s="1461"/>
      <c r="I47" s="1460"/>
      <c r="J47" s="1460"/>
      <c r="K47" s="1460"/>
      <c r="L47" s="1460"/>
      <c r="M47" s="1462"/>
      <c r="N47" s="719"/>
      <c r="O47" s="719"/>
      <c r="P47" s="719"/>
      <c r="Q47" s="719"/>
      <c r="R47" s="719"/>
      <c r="S47" s="719"/>
      <c r="T47" s="719"/>
      <c r="U47" s="719"/>
      <c r="V47" s="719"/>
      <c r="W47" s="719"/>
      <c r="X47" s="719"/>
      <c r="Y47" s="719"/>
      <c r="Z47" s="719"/>
      <c r="AA47" s="719"/>
      <c r="AB47" s="719"/>
      <c r="AC47" s="719"/>
      <c r="AD47" s="719"/>
      <c r="AE47" s="719"/>
      <c r="AF47" s="719"/>
      <c r="AG47" s="719"/>
      <c r="AH47" s="719"/>
      <c r="AI47" s="719"/>
      <c r="AJ47" s="719"/>
      <c r="AK47" s="719"/>
      <c r="AL47" s="719"/>
      <c r="AM47" s="719"/>
    </row>
    <row r="48" spans="1:42">
      <c r="A48" s="719"/>
      <c r="B48" s="1430" t="s">
        <v>204</v>
      </c>
      <c r="C48" s="1431"/>
      <c r="D48" s="1432"/>
      <c r="E48" s="1431"/>
      <c r="F48" s="1431"/>
      <c r="G48" s="1431"/>
      <c r="H48" s="1431"/>
      <c r="I48" s="1431"/>
      <c r="J48" s="1431"/>
      <c r="K48" s="1433"/>
      <c r="L48" s="1431"/>
      <c r="M48" s="1434"/>
      <c r="N48" s="719"/>
      <c r="O48" s="719"/>
      <c r="P48" s="719"/>
      <c r="Q48" s="719"/>
      <c r="R48" s="719"/>
      <c r="S48" s="719"/>
      <c r="T48" s="719"/>
      <c r="U48" s="719"/>
      <c r="V48" s="719"/>
      <c r="W48" s="719"/>
      <c r="X48" s="719"/>
      <c r="Y48" s="719"/>
      <c r="Z48" s="719"/>
      <c r="AA48" s="719"/>
      <c r="AB48" s="719"/>
      <c r="AC48" s="719"/>
      <c r="AD48" s="719"/>
      <c r="AE48" s="719"/>
      <c r="AF48" s="719"/>
      <c r="AG48" s="719"/>
      <c r="AH48" s="719"/>
      <c r="AI48" s="719"/>
      <c r="AJ48" s="719"/>
      <c r="AK48" s="719"/>
      <c r="AL48" s="719"/>
      <c r="AM48" s="719"/>
    </row>
    <row r="49" spans="2:21" s="719" customFormat="1" ht="16.5" customHeight="1">
      <c r="B49" s="1317" t="str">
        <f>'Servicing Calc'!B71</f>
        <v>Version 15/05/2026</v>
      </c>
      <c r="C49" s="1318"/>
      <c r="D49" s="1318"/>
      <c r="E49" s="1318"/>
      <c r="F49" s="1318"/>
      <c r="G49" s="1318"/>
      <c r="H49" s="1318"/>
      <c r="I49" s="1318"/>
      <c r="J49" s="1318"/>
      <c r="K49" s="1319"/>
      <c r="L49" s="1318"/>
      <c r="M49" s="1320"/>
      <c r="N49" s="657"/>
      <c r="O49" s="656"/>
      <c r="P49" s="656"/>
      <c r="Q49" s="657"/>
      <c r="R49" s="656"/>
      <c r="S49" s="656"/>
      <c r="T49" s="657"/>
      <c r="U49" s="661"/>
    </row>
    <row r="50" spans="2:21" s="719" customFormat="1" ht="14.25" customHeight="1">
      <c r="B50" s="1321" t="s">
        <v>495</v>
      </c>
      <c r="C50" s="1322"/>
      <c r="D50" s="1322"/>
      <c r="E50" s="1322"/>
      <c r="F50" s="1322"/>
      <c r="G50" s="1322"/>
      <c r="H50" s="1322"/>
      <c r="I50" s="1322"/>
      <c r="J50" s="1322"/>
      <c r="K50" s="1322"/>
      <c r="L50" s="1322"/>
      <c r="M50" s="1323"/>
      <c r="N50" s="1023"/>
      <c r="O50" s="1023"/>
      <c r="P50" s="1023"/>
      <c r="Q50" s="1023"/>
      <c r="R50" s="1023"/>
      <c r="S50" s="1023"/>
      <c r="T50" s="1023"/>
      <c r="U50" s="1023"/>
    </row>
    <row r="51" spans="2:21" s="719" customFormat="1">
      <c r="B51" s="1324"/>
      <c r="C51" s="1322"/>
      <c r="D51" s="1322"/>
      <c r="E51" s="1322"/>
      <c r="F51" s="1322"/>
      <c r="G51" s="1322"/>
      <c r="H51" s="1322"/>
      <c r="I51" s="1322"/>
      <c r="J51" s="1322"/>
      <c r="K51" s="1322"/>
      <c r="L51" s="1322"/>
      <c r="M51" s="1323"/>
      <c r="N51" s="1023"/>
      <c r="O51" s="1023"/>
      <c r="P51" s="1023"/>
      <c r="Q51" s="1023"/>
      <c r="R51" s="1023"/>
      <c r="S51" s="1023"/>
      <c r="T51" s="1023"/>
      <c r="U51" s="1023"/>
    </row>
    <row r="52" spans="2:21" s="719" customFormat="1" ht="18.75" customHeight="1">
      <c r="B52" s="1324"/>
      <c r="C52" s="1322"/>
      <c r="D52" s="1322"/>
      <c r="E52" s="1322"/>
      <c r="F52" s="1322"/>
      <c r="G52" s="1322"/>
      <c r="H52" s="1322"/>
      <c r="I52" s="1322"/>
      <c r="J52" s="1322"/>
      <c r="K52" s="1322"/>
      <c r="L52" s="1322"/>
      <c r="M52" s="1323"/>
      <c r="N52" s="1023"/>
      <c r="O52" s="1023"/>
      <c r="P52" s="1023"/>
      <c r="Q52" s="1023"/>
      <c r="R52" s="1023"/>
      <c r="S52" s="1023"/>
      <c r="T52" s="1023"/>
      <c r="U52" s="1023"/>
    </row>
    <row r="53" spans="2:21" s="719" customFormat="1" ht="20.25" customHeight="1">
      <c r="B53" s="1324"/>
      <c r="C53" s="1322"/>
      <c r="D53" s="1322"/>
      <c r="E53" s="1322"/>
      <c r="F53" s="1322"/>
      <c r="G53" s="1322"/>
      <c r="H53" s="1322"/>
      <c r="I53" s="1322"/>
      <c r="J53" s="1322"/>
      <c r="K53" s="1322"/>
      <c r="L53" s="1322"/>
      <c r="M53" s="1323"/>
      <c r="N53" s="1023"/>
      <c r="O53" s="1023"/>
      <c r="P53" s="1023"/>
      <c r="Q53" s="1023"/>
      <c r="R53" s="1023"/>
      <c r="S53" s="1023"/>
      <c r="T53" s="1023"/>
      <c r="U53" s="1023"/>
    </row>
    <row r="54" spans="2:21" s="719" customFormat="1" ht="18.75" customHeight="1">
      <c r="B54" s="1324"/>
      <c r="C54" s="1322"/>
      <c r="D54" s="1322"/>
      <c r="E54" s="1322"/>
      <c r="F54" s="1322"/>
      <c r="G54" s="1322"/>
      <c r="H54" s="1322"/>
      <c r="I54" s="1322"/>
      <c r="J54" s="1322"/>
      <c r="K54" s="1322"/>
      <c r="L54" s="1322"/>
      <c r="M54" s="1323"/>
      <c r="N54" s="1023"/>
      <c r="O54" s="1023"/>
      <c r="P54" s="1023"/>
      <c r="Q54" s="1023"/>
      <c r="R54" s="1023"/>
      <c r="S54" s="1023"/>
      <c r="T54" s="1023"/>
      <c r="U54" s="1023"/>
    </row>
    <row r="55" spans="2:21" s="719" customFormat="1" ht="24" customHeight="1">
      <c r="B55" s="1324"/>
      <c r="C55" s="1322"/>
      <c r="D55" s="1322"/>
      <c r="E55" s="1322"/>
      <c r="F55" s="1322"/>
      <c r="G55" s="1322"/>
      <c r="H55" s="1322"/>
      <c r="I55" s="1322"/>
      <c r="J55" s="1322"/>
      <c r="K55" s="1322"/>
      <c r="L55" s="1322"/>
      <c r="M55" s="1323"/>
      <c r="N55" s="1023"/>
      <c r="O55" s="1023"/>
      <c r="P55" s="1023"/>
      <c r="Q55" s="1023"/>
      <c r="R55" s="1023"/>
      <c r="S55" s="1023"/>
      <c r="T55" s="1023"/>
      <c r="U55" s="1023"/>
    </row>
    <row r="56" spans="2:21" s="719" customFormat="1" ht="21" customHeight="1">
      <c r="B56" s="1324"/>
      <c r="C56" s="1322"/>
      <c r="D56" s="1322"/>
      <c r="E56" s="1322"/>
      <c r="F56" s="1322"/>
      <c r="G56" s="1322"/>
      <c r="H56" s="1322"/>
      <c r="I56" s="1322"/>
      <c r="J56" s="1322"/>
      <c r="K56" s="1322"/>
      <c r="L56" s="1322"/>
      <c r="M56" s="1323"/>
    </row>
    <row r="57" spans="2:21" s="719" customFormat="1" ht="13.5" customHeight="1">
      <c r="B57" s="1324"/>
      <c r="C57" s="1322"/>
      <c r="D57" s="1322"/>
      <c r="E57" s="1322"/>
      <c r="F57" s="1322"/>
      <c r="G57" s="1322"/>
      <c r="H57" s="1322"/>
      <c r="I57" s="1322"/>
      <c r="J57" s="1322"/>
      <c r="K57" s="1322"/>
      <c r="L57" s="1322"/>
      <c r="M57" s="1323"/>
    </row>
    <row r="58" spans="2:21" s="719" customFormat="1" ht="13.5" customHeight="1">
      <c r="B58" s="1325"/>
      <c r="C58" s="1326"/>
      <c r="D58" s="1326"/>
      <c r="E58" s="1326"/>
      <c r="F58" s="1326"/>
      <c r="G58" s="1326"/>
      <c r="H58" s="1326"/>
      <c r="I58" s="1326"/>
      <c r="J58" s="1326"/>
      <c r="K58" s="1326"/>
      <c r="L58" s="1326"/>
      <c r="M58" s="1327"/>
    </row>
    <row r="59" spans="2:21" s="719" customFormat="1">
      <c r="B59" s="1022"/>
      <c r="C59" s="1022"/>
      <c r="D59" s="1022"/>
      <c r="E59" s="1022"/>
      <c r="F59" s="1022"/>
      <c r="G59" s="1022"/>
      <c r="H59" s="1022"/>
      <c r="I59" s="1022"/>
      <c r="J59" s="1022"/>
      <c r="K59" s="1022"/>
      <c r="L59" s="1022"/>
      <c r="M59" s="1022"/>
    </row>
    <row r="60" spans="2:21" s="719" customFormat="1">
      <c r="B60" s="1022"/>
      <c r="C60" s="1022"/>
      <c r="D60" s="1022"/>
      <c r="E60" s="1022"/>
      <c r="F60" s="1022"/>
      <c r="G60" s="1022"/>
      <c r="H60" s="1022"/>
      <c r="I60" s="1022"/>
      <c r="J60" s="1022"/>
      <c r="K60" s="1022"/>
      <c r="L60" s="1022"/>
      <c r="M60" s="1022"/>
    </row>
    <row r="61" spans="2:21" s="719" customFormat="1">
      <c r="B61" s="1022"/>
      <c r="C61" s="1022"/>
      <c r="D61" s="1022"/>
      <c r="E61" s="1022"/>
      <c r="F61" s="1022"/>
      <c r="G61" s="1022"/>
      <c r="H61" s="1022"/>
      <c r="I61" s="1022"/>
      <c r="J61" s="1022"/>
      <c r="K61" s="1022"/>
      <c r="L61" s="1022"/>
      <c r="M61" s="1022"/>
    </row>
    <row r="62" spans="2:21" s="719" customFormat="1">
      <c r="B62" s="1022"/>
      <c r="C62" s="1022"/>
      <c r="D62" s="1022"/>
      <c r="E62" s="1022"/>
      <c r="F62" s="1022"/>
      <c r="G62" s="1022"/>
      <c r="H62" s="1022"/>
      <c r="I62" s="1022"/>
      <c r="J62" s="1022"/>
      <c r="K62" s="1022"/>
      <c r="L62" s="1022"/>
      <c r="M62" s="1022"/>
    </row>
    <row r="63" spans="2:21" s="719" customFormat="1">
      <c r="B63" s="1022"/>
      <c r="C63" s="1022"/>
      <c r="D63" s="1022"/>
      <c r="E63" s="1022"/>
      <c r="F63" s="1022"/>
      <c r="G63" s="1022"/>
      <c r="H63" s="1022"/>
      <c r="I63" s="1022"/>
      <c r="J63" s="1022"/>
      <c r="K63" s="1022"/>
      <c r="L63" s="1022"/>
      <c r="M63" s="1022"/>
    </row>
    <row r="64" spans="2:21" s="719" customFormat="1">
      <c r="B64" s="1022"/>
      <c r="C64" s="1022"/>
      <c r="D64" s="1022"/>
      <c r="E64" s="1022"/>
      <c r="F64" s="1022"/>
      <c r="G64" s="1022"/>
      <c r="H64" s="1022"/>
      <c r="I64" s="1022"/>
      <c r="J64" s="1022"/>
      <c r="K64" s="1022"/>
      <c r="L64" s="1022"/>
      <c r="M64" s="1022"/>
    </row>
    <row r="65" spans="2:13" s="719" customFormat="1">
      <c r="B65" s="1022"/>
      <c r="C65" s="1022"/>
      <c r="D65" s="1022"/>
      <c r="E65" s="1022"/>
      <c r="F65" s="1022"/>
      <c r="G65" s="1022"/>
      <c r="H65" s="1022"/>
      <c r="I65" s="1022"/>
      <c r="J65" s="1022"/>
      <c r="K65" s="1022"/>
      <c r="L65" s="1022"/>
      <c r="M65" s="1022"/>
    </row>
    <row r="66" spans="2:13" s="719" customFormat="1">
      <c r="B66" s="1022"/>
      <c r="C66" s="1022"/>
      <c r="D66" s="1022"/>
      <c r="E66" s="1022"/>
      <c r="F66" s="1022"/>
      <c r="G66" s="1022"/>
      <c r="H66" s="1022"/>
      <c r="I66" s="1022"/>
      <c r="J66" s="1022"/>
      <c r="K66" s="1022"/>
      <c r="L66" s="1022"/>
      <c r="M66" s="1022"/>
    </row>
    <row r="67" spans="2:13" s="719" customFormat="1">
      <c r="B67" s="1022"/>
      <c r="C67" s="1022"/>
      <c r="D67" s="1022"/>
      <c r="E67" s="1022"/>
      <c r="F67" s="1022"/>
      <c r="G67" s="1022"/>
      <c r="H67" s="1022"/>
      <c r="I67" s="1022"/>
      <c r="J67" s="1022"/>
      <c r="K67" s="1022"/>
      <c r="L67" s="1022"/>
      <c r="M67" s="1022"/>
    </row>
    <row r="68" spans="2:13" s="719" customFormat="1">
      <c r="B68" s="1022"/>
      <c r="C68" s="1022"/>
      <c r="D68" s="1022"/>
      <c r="E68" s="1022"/>
      <c r="F68" s="1022"/>
      <c r="G68" s="1022"/>
      <c r="H68" s="1022"/>
      <c r="I68" s="1022"/>
      <c r="J68" s="1022"/>
      <c r="K68" s="1022"/>
      <c r="L68" s="1022"/>
      <c r="M68" s="1022"/>
    </row>
    <row r="69" spans="2:13" s="719" customFormat="1">
      <c r="B69" s="1022"/>
      <c r="C69" s="1022"/>
      <c r="D69" s="1022"/>
      <c r="E69" s="1022"/>
      <c r="F69" s="1022"/>
      <c r="G69" s="1022"/>
      <c r="H69" s="1022"/>
      <c r="I69" s="1022"/>
      <c r="J69" s="1022"/>
      <c r="K69" s="1022"/>
      <c r="L69" s="1022"/>
      <c r="M69" s="1022"/>
    </row>
    <row r="70" spans="2:13" s="719" customFormat="1">
      <c r="B70" s="1022"/>
      <c r="C70" s="1022"/>
      <c r="D70" s="1022"/>
      <c r="E70" s="1022"/>
      <c r="F70" s="1022"/>
      <c r="G70" s="1022"/>
      <c r="H70" s="1022"/>
      <c r="I70" s="1022"/>
      <c r="J70" s="1022"/>
      <c r="K70" s="1022"/>
      <c r="L70" s="1022"/>
      <c r="M70" s="1022"/>
    </row>
    <row r="71" spans="2:13" s="719" customFormat="1">
      <c r="B71" s="1022"/>
      <c r="C71" s="1022"/>
      <c r="D71" s="1022"/>
      <c r="E71" s="1022"/>
      <c r="F71" s="1022"/>
      <c r="G71" s="1022"/>
      <c r="H71" s="1022"/>
      <c r="I71" s="1022"/>
      <c r="J71" s="1022"/>
      <c r="K71" s="1022"/>
      <c r="L71" s="1022"/>
      <c r="M71" s="1022"/>
    </row>
    <row r="72" spans="2:13" s="719" customFormat="1">
      <c r="B72" s="1022"/>
      <c r="C72" s="1022"/>
      <c r="D72" s="1022"/>
      <c r="E72" s="1022"/>
      <c r="F72" s="1022"/>
      <c r="G72" s="1022"/>
      <c r="H72" s="1022"/>
      <c r="I72" s="1022"/>
      <c r="J72" s="1022"/>
      <c r="K72" s="1022"/>
      <c r="L72" s="1022"/>
      <c r="M72" s="1022"/>
    </row>
    <row r="73" spans="2:13" s="719" customFormat="1">
      <c r="B73" s="1022"/>
      <c r="C73" s="1022"/>
      <c r="D73" s="1022"/>
      <c r="E73" s="1022"/>
      <c r="F73" s="1022"/>
      <c r="G73" s="1022"/>
      <c r="H73" s="1022"/>
      <c r="I73" s="1022"/>
      <c r="J73" s="1022"/>
      <c r="K73" s="1022"/>
      <c r="L73" s="1022"/>
      <c r="M73" s="1022"/>
    </row>
    <row r="74" spans="2:13" s="719" customFormat="1">
      <c r="B74" s="1022"/>
      <c r="C74" s="1022"/>
      <c r="D74" s="1022"/>
      <c r="E74" s="1022"/>
      <c r="F74" s="1022"/>
      <c r="G74" s="1022"/>
      <c r="H74" s="1022"/>
      <c r="I74" s="1022"/>
      <c r="J74" s="1022"/>
      <c r="K74" s="1022"/>
      <c r="L74" s="1022"/>
      <c r="M74" s="1022"/>
    </row>
    <row r="75" spans="2:13" s="719" customFormat="1">
      <c r="B75" s="1022"/>
      <c r="C75" s="1022"/>
      <c r="D75" s="1022"/>
      <c r="E75" s="1022"/>
      <c r="F75" s="1022"/>
      <c r="G75" s="1022"/>
      <c r="H75" s="1022"/>
      <c r="I75" s="1022"/>
      <c r="J75" s="1022"/>
      <c r="K75" s="1022"/>
      <c r="L75" s="1022"/>
      <c r="M75" s="1022"/>
    </row>
    <row r="76" spans="2:13" s="719" customFormat="1">
      <c r="B76" s="1022"/>
      <c r="C76" s="1022"/>
      <c r="D76" s="1022"/>
      <c r="E76" s="1022"/>
      <c r="F76" s="1022"/>
      <c r="G76" s="1022"/>
      <c r="H76" s="1022"/>
      <c r="I76" s="1022"/>
      <c r="J76" s="1022"/>
      <c r="K76" s="1022"/>
      <c r="L76" s="1022"/>
      <c r="M76" s="1022"/>
    </row>
    <row r="77" spans="2:13" s="719" customFormat="1">
      <c r="B77" s="1022"/>
      <c r="C77" s="1022"/>
      <c r="D77" s="1022"/>
      <c r="E77" s="1022"/>
      <c r="F77" s="1022"/>
      <c r="G77" s="1022"/>
      <c r="H77" s="1022"/>
      <c r="I77" s="1022"/>
      <c r="J77" s="1022"/>
      <c r="K77" s="1022"/>
      <c r="L77" s="1022"/>
      <c r="M77" s="1022"/>
    </row>
    <row r="78" spans="2:13" s="719" customFormat="1">
      <c r="B78" s="1022"/>
      <c r="C78" s="1022"/>
      <c r="D78" s="1022"/>
      <c r="E78" s="1022"/>
      <c r="F78" s="1022"/>
      <c r="G78" s="1022"/>
      <c r="H78" s="1022"/>
      <c r="I78" s="1022"/>
      <c r="J78" s="1022"/>
      <c r="K78" s="1022"/>
      <c r="L78" s="1022"/>
      <c r="M78" s="1022"/>
    </row>
    <row r="79" spans="2:13" s="719" customFormat="1">
      <c r="B79" s="1022"/>
      <c r="C79" s="1022"/>
      <c r="D79" s="1022"/>
      <c r="E79" s="1022"/>
      <c r="F79" s="1022"/>
      <c r="G79" s="1022"/>
      <c r="H79" s="1022"/>
      <c r="I79" s="1022"/>
      <c r="J79" s="1022"/>
      <c r="K79" s="1022"/>
      <c r="L79" s="1022"/>
      <c r="M79" s="1022"/>
    </row>
    <row r="80" spans="2:13" s="719" customFormat="1">
      <c r="B80" s="1022"/>
      <c r="C80" s="1022"/>
      <c r="D80" s="1022"/>
      <c r="E80" s="1022"/>
      <c r="F80" s="1022"/>
      <c r="G80" s="1022"/>
      <c r="H80" s="1022"/>
      <c r="I80" s="1022"/>
      <c r="J80" s="1022"/>
      <c r="K80" s="1022"/>
      <c r="L80" s="1022"/>
      <c r="M80" s="1022"/>
    </row>
    <row r="81" spans="2:13" s="719" customFormat="1">
      <c r="B81" s="1022"/>
      <c r="C81" s="1022"/>
      <c r="D81" s="1022"/>
      <c r="E81" s="1022"/>
      <c r="F81" s="1022"/>
      <c r="G81" s="1022"/>
      <c r="H81" s="1022"/>
      <c r="I81" s="1022"/>
      <c r="J81" s="1022"/>
      <c r="K81" s="1022"/>
      <c r="L81" s="1022"/>
      <c r="M81" s="1022"/>
    </row>
    <row r="82" spans="2:13" s="719" customFormat="1">
      <c r="B82" s="1022"/>
      <c r="C82" s="1022"/>
      <c r="D82" s="1022"/>
      <c r="E82" s="1022"/>
      <c r="F82" s="1022"/>
      <c r="G82" s="1022"/>
      <c r="H82" s="1022"/>
      <c r="I82" s="1022"/>
      <c r="J82" s="1022"/>
      <c r="K82" s="1022"/>
      <c r="L82" s="1022"/>
      <c r="M82" s="1022"/>
    </row>
    <row r="83" spans="2:13" s="719" customFormat="1">
      <c r="B83" s="1022"/>
      <c r="C83" s="1022"/>
      <c r="D83" s="1022"/>
      <c r="E83" s="1022"/>
      <c r="F83" s="1022"/>
      <c r="G83" s="1022"/>
      <c r="H83" s="1022"/>
      <c r="I83" s="1022"/>
      <c r="J83" s="1022"/>
      <c r="K83" s="1022"/>
      <c r="L83" s="1022"/>
      <c r="M83" s="1022"/>
    </row>
    <row r="84" spans="2:13" s="719" customFormat="1">
      <c r="B84" s="1022"/>
      <c r="C84" s="1022"/>
      <c r="D84" s="1022"/>
      <c r="E84" s="1022"/>
      <c r="F84" s="1022"/>
      <c r="G84" s="1022"/>
      <c r="H84" s="1022"/>
      <c r="I84" s="1022"/>
      <c r="J84" s="1022"/>
      <c r="K84" s="1022"/>
      <c r="L84" s="1022"/>
      <c r="M84" s="1022"/>
    </row>
    <row r="85" spans="2:13" s="719" customFormat="1">
      <c r="B85" s="1022"/>
      <c r="C85" s="1022"/>
      <c r="D85" s="1022"/>
      <c r="E85" s="1022"/>
      <c r="F85" s="1022"/>
      <c r="G85" s="1022"/>
      <c r="H85" s="1022"/>
      <c r="I85" s="1022"/>
      <c r="J85" s="1022"/>
      <c r="K85" s="1022"/>
      <c r="L85" s="1022"/>
      <c r="M85" s="1022"/>
    </row>
    <row r="86" spans="2:13" s="719" customFormat="1">
      <c r="B86" s="1022"/>
      <c r="C86" s="1022"/>
      <c r="D86" s="1022"/>
      <c r="E86" s="1022"/>
      <c r="F86" s="1022"/>
      <c r="G86" s="1022"/>
      <c r="H86" s="1022"/>
      <c r="I86" s="1022"/>
      <c r="J86" s="1022"/>
      <c r="K86" s="1022"/>
      <c r="L86" s="1022"/>
      <c r="M86" s="1022"/>
    </row>
    <row r="87" spans="2:13" s="719" customFormat="1">
      <c r="B87" s="1022"/>
      <c r="C87" s="1022"/>
      <c r="D87" s="1022"/>
      <c r="E87" s="1022"/>
      <c r="F87" s="1022"/>
      <c r="G87" s="1022"/>
      <c r="H87" s="1022"/>
      <c r="I87" s="1022"/>
      <c r="J87" s="1022"/>
      <c r="K87" s="1022"/>
      <c r="L87" s="1022"/>
      <c r="M87" s="1022"/>
    </row>
    <row r="88" spans="2:13" s="719" customFormat="1">
      <c r="B88" s="1022"/>
      <c r="C88" s="1022"/>
      <c r="D88" s="1022"/>
      <c r="E88" s="1022"/>
      <c r="F88" s="1022"/>
      <c r="G88" s="1022"/>
      <c r="H88" s="1022"/>
      <c r="I88" s="1022"/>
      <c r="J88" s="1022"/>
      <c r="K88" s="1022"/>
      <c r="L88" s="1022"/>
      <c r="M88" s="1022"/>
    </row>
    <row r="89" spans="2:13" s="719" customFormat="1">
      <c r="B89" s="1022"/>
      <c r="C89" s="1022"/>
      <c r="D89" s="1022"/>
      <c r="E89" s="1022"/>
      <c r="F89" s="1022"/>
      <c r="G89" s="1022"/>
      <c r="H89" s="1022"/>
      <c r="I89" s="1022"/>
      <c r="J89" s="1022"/>
      <c r="K89" s="1022"/>
      <c r="L89" s="1022"/>
      <c r="M89" s="1022"/>
    </row>
    <row r="90" spans="2:13" s="719" customFormat="1">
      <c r="B90" s="1022"/>
      <c r="C90" s="1022"/>
      <c r="D90" s="1022"/>
      <c r="E90" s="1022"/>
      <c r="F90" s="1022"/>
      <c r="G90" s="1022"/>
      <c r="H90" s="1022"/>
      <c r="I90" s="1022"/>
      <c r="J90" s="1022"/>
      <c r="K90" s="1022"/>
      <c r="L90" s="1022"/>
      <c r="M90" s="1022"/>
    </row>
    <row r="91" spans="2:13" s="719" customFormat="1">
      <c r="B91" s="1022"/>
      <c r="C91" s="1022"/>
      <c r="D91" s="1022"/>
      <c r="E91" s="1022"/>
      <c r="F91" s="1022"/>
      <c r="G91" s="1022"/>
      <c r="H91" s="1022"/>
      <c r="I91" s="1022"/>
      <c r="J91" s="1022"/>
      <c r="K91" s="1022"/>
      <c r="L91" s="1022"/>
      <c r="M91" s="1022"/>
    </row>
    <row r="92" spans="2:13" s="719" customFormat="1">
      <c r="B92" s="1022"/>
      <c r="C92" s="1022"/>
      <c r="D92" s="1022"/>
      <c r="E92" s="1022"/>
      <c r="F92" s="1022"/>
      <c r="G92" s="1022"/>
      <c r="H92" s="1022"/>
      <c r="I92" s="1022"/>
      <c r="J92" s="1022"/>
      <c r="K92" s="1022"/>
      <c r="L92" s="1022"/>
      <c r="M92" s="1022"/>
    </row>
    <row r="93" spans="2:13" s="719" customFormat="1">
      <c r="B93" s="1022"/>
      <c r="C93" s="1022"/>
      <c r="D93" s="1022"/>
      <c r="E93" s="1022"/>
      <c r="F93" s="1022"/>
      <c r="G93" s="1022"/>
      <c r="H93" s="1022"/>
      <c r="I93" s="1022"/>
      <c r="J93" s="1022"/>
      <c r="K93" s="1022"/>
      <c r="L93" s="1022"/>
      <c r="M93" s="1022"/>
    </row>
    <row r="94" spans="2:13" s="719" customFormat="1">
      <c r="B94" s="1022"/>
      <c r="C94" s="1022"/>
      <c r="D94" s="1022"/>
      <c r="E94" s="1022"/>
      <c r="F94" s="1022"/>
      <c r="G94" s="1022"/>
      <c r="H94" s="1022"/>
      <c r="I94" s="1022"/>
      <c r="J94" s="1022"/>
      <c r="K94" s="1022"/>
      <c r="L94" s="1022"/>
      <c r="M94" s="1022"/>
    </row>
    <row r="95" spans="2:13" s="719" customFormat="1">
      <c r="B95" s="1022"/>
      <c r="C95" s="1022"/>
      <c r="D95" s="1022"/>
      <c r="E95" s="1022"/>
      <c r="F95" s="1022"/>
      <c r="G95" s="1022"/>
      <c r="H95" s="1022"/>
      <c r="I95" s="1022"/>
      <c r="J95" s="1022"/>
      <c r="K95" s="1022"/>
      <c r="L95" s="1022"/>
      <c r="M95" s="1022"/>
    </row>
    <row r="96" spans="2:13" s="719" customFormat="1">
      <c r="B96" s="1022"/>
      <c r="C96" s="1022"/>
      <c r="D96" s="1022"/>
      <c r="E96" s="1022"/>
      <c r="F96" s="1022"/>
      <c r="G96" s="1022"/>
      <c r="H96" s="1022"/>
      <c r="I96" s="1022"/>
      <c r="J96" s="1022"/>
      <c r="K96" s="1022"/>
      <c r="L96" s="1022"/>
      <c r="M96" s="1022"/>
    </row>
    <row r="97" spans="2:13" s="719" customFormat="1">
      <c r="B97" s="1022"/>
      <c r="C97" s="1022"/>
      <c r="D97" s="1022"/>
      <c r="E97" s="1022"/>
      <c r="F97" s="1022"/>
      <c r="G97" s="1022"/>
      <c r="H97" s="1022"/>
      <c r="I97" s="1022"/>
      <c r="J97" s="1022"/>
      <c r="K97" s="1022"/>
      <c r="L97" s="1022"/>
      <c r="M97" s="1022"/>
    </row>
    <row r="98" spans="2:13" s="719" customFormat="1">
      <c r="B98" s="1022"/>
      <c r="C98" s="1022"/>
      <c r="D98" s="1022"/>
      <c r="E98" s="1022"/>
      <c r="F98" s="1022"/>
      <c r="G98" s="1022"/>
      <c r="H98" s="1022"/>
      <c r="I98" s="1022"/>
      <c r="J98" s="1022"/>
      <c r="K98" s="1022"/>
      <c r="L98" s="1022"/>
      <c r="M98" s="1022"/>
    </row>
    <row r="99" spans="2:13" s="719" customFormat="1">
      <c r="B99" s="1022"/>
      <c r="C99" s="1022"/>
      <c r="D99" s="1022"/>
      <c r="E99" s="1022"/>
      <c r="F99" s="1022"/>
      <c r="G99" s="1022"/>
      <c r="H99" s="1022"/>
      <c r="I99" s="1022"/>
      <c r="J99" s="1022"/>
      <c r="K99" s="1022"/>
      <c r="L99" s="1022"/>
      <c r="M99" s="1022"/>
    </row>
    <row r="100" spans="2:13" s="719" customFormat="1">
      <c r="B100" s="1022"/>
      <c r="C100" s="1022"/>
      <c r="D100" s="1022"/>
      <c r="E100" s="1022"/>
      <c r="F100" s="1022"/>
      <c r="G100" s="1022"/>
      <c r="H100" s="1022"/>
      <c r="I100" s="1022"/>
      <c r="J100" s="1022"/>
      <c r="K100" s="1022"/>
      <c r="L100" s="1022"/>
      <c r="M100" s="1022"/>
    </row>
    <row r="101" spans="2:13" s="719" customFormat="1">
      <c r="B101" s="1022"/>
      <c r="C101" s="1022"/>
      <c r="D101" s="1022"/>
      <c r="E101" s="1022"/>
      <c r="F101" s="1022"/>
      <c r="G101" s="1022"/>
      <c r="H101" s="1022"/>
      <c r="I101" s="1022"/>
      <c r="J101" s="1022"/>
      <c r="K101" s="1022"/>
      <c r="L101" s="1022"/>
      <c r="M101" s="1022"/>
    </row>
    <row r="102" spans="2:13" s="719" customFormat="1">
      <c r="B102" s="1022"/>
      <c r="C102" s="1022"/>
      <c r="D102" s="1022"/>
      <c r="E102" s="1022"/>
      <c r="F102" s="1022"/>
      <c r="G102" s="1022"/>
      <c r="H102" s="1022"/>
      <c r="I102" s="1022"/>
      <c r="J102" s="1022"/>
      <c r="K102" s="1022"/>
      <c r="L102" s="1022"/>
      <c r="M102" s="1022"/>
    </row>
    <row r="103" spans="2:13" s="719" customFormat="1">
      <c r="B103" s="1022"/>
      <c r="C103" s="1022"/>
      <c r="D103" s="1022"/>
      <c r="E103" s="1022"/>
      <c r="F103" s="1022"/>
      <c r="G103" s="1022"/>
      <c r="H103" s="1022"/>
      <c r="I103" s="1022"/>
      <c r="J103" s="1022"/>
      <c r="K103" s="1022"/>
      <c r="L103" s="1022"/>
      <c r="M103" s="1022"/>
    </row>
    <row r="104" spans="2:13" s="719" customFormat="1">
      <c r="B104" s="1022"/>
      <c r="C104" s="1022"/>
      <c r="D104" s="1022"/>
      <c r="E104" s="1022"/>
      <c r="F104" s="1022"/>
      <c r="G104" s="1022"/>
      <c r="H104" s="1022"/>
      <c r="I104" s="1022"/>
      <c r="J104" s="1022"/>
      <c r="K104" s="1022"/>
      <c r="L104" s="1022"/>
      <c r="M104" s="1022"/>
    </row>
    <row r="105" spans="2:13" s="719" customFormat="1">
      <c r="B105" s="1022"/>
      <c r="C105" s="1022"/>
      <c r="D105" s="1022"/>
      <c r="E105" s="1022"/>
      <c r="F105" s="1022"/>
      <c r="G105" s="1022"/>
      <c r="H105" s="1022"/>
      <c r="I105" s="1022"/>
      <c r="J105" s="1022"/>
      <c r="K105" s="1022"/>
      <c r="L105" s="1022"/>
      <c r="M105" s="1022"/>
    </row>
    <row r="106" spans="2:13" s="719" customFormat="1">
      <c r="B106" s="1022"/>
      <c r="C106" s="1022"/>
      <c r="D106" s="1022"/>
      <c r="E106" s="1022"/>
      <c r="F106" s="1022"/>
      <c r="G106" s="1022"/>
      <c r="H106" s="1022"/>
      <c r="I106" s="1022"/>
      <c r="J106" s="1022"/>
      <c r="K106" s="1022"/>
      <c r="L106" s="1022"/>
      <c r="M106" s="1022"/>
    </row>
    <row r="107" spans="2:13" s="719" customFormat="1">
      <c r="B107" s="1022"/>
      <c r="C107" s="1022"/>
      <c r="D107" s="1022"/>
      <c r="E107" s="1022"/>
      <c r="F107" s="1022"/>
      <c r="G107" s="1022"/>
      <c r="H107" s="1022"/>
      <c r="I107" s="1022"/>
      <c r="J107" s="1022"/>
      <c r="K107" s="1022"/>
      <c r="L107" s="1022"/>
      <c r="M107" s="1022"/>
    </row>
    <row r="108" spans="2:13" s="719" customFormat="1">
      <c r="B108" s="1022"/>
      <c r="C108" s="1022"/>
      <c r="D108" s="1022"/>
      <c r="E108" s="1022"/>
      <c r="F108" s="1022"/>
      <c r="G108" s="1022"/>
      <c r="H108" s="1022"/>
      <c r="I108" s="1022"/>
      <c r="J108" s="1022"/>
      <c r="K108" s="1022"/>
      <c r="L108" s="1022"/>
      <c r="M108" s="1022"/>
    </row>
    <row r="109" spans="2:13" s="719" customFormat="1">
      <c r="B109" s="1022"/>
      <c r="C109" s="1022"/>
      <c r="D109" s="1022"/>
      <c r="E109" s="1022"/>
      <c r="F109" s="1022"/>
      <c r="G109" s="1022"/>
      <c r="H109" s="1022"/>
      <c r="I109" s="1022"/>
      <c r="J109" s="1022"/>
      <c r="K109" s="1022"/>
      <c r="L109" s="1022"/>
      <c r="M109" s="1022"/>
    </row>
    <row r="110" spans="2:13" s="719" customFormat="1">
      <c r="B110" s="1022"/>
      <c r="C110" s="1022"/>
      <c r="D110" s="1022"/>
      <c r="E110" s="1022"/>
      <c r="F110" s="1022"/>
      <c r="G110" s="1022"/>
      <c r="H110" s="1022"/>
      <c r="I110" s="1022"/>
      <c r="J110" s="1022"/>
      <c r="K110" s="1022"/>
      <c r="L110" s="1022"/>
      <c r="M110" s="1022"/>
    </row>
    <row r="111" spans="2:13" s="719" customFormat="1">
      <c r="B111" s="1022"/>
      <c r="C111" s="1022"/>
      <c r="D111" s="1022"/>
      <c r="E111" s="1022"/>
      <c r="F111" s="1022"/>
      <c r="G111" s="1022"/>
      <c r="H111" s="1022"/>
      <c r="I111" s="1022"/>
      <c r="J111" s="1022"/>
      <c r="K111" s="1022"/>
      <c r="L111" s="1022"/>
      <c r="M111" s="1022"/>
    </row>
    <row r="112" spans="2:13" s="719" customFormat="1">
      <c r="B112" s="1022"/>
      <c r="C112" s="1022"/>
      <c r="D112" s="1022"/>
      <c r="E112" s="1022"/>
      <c r="F112" s="1022"/>
      <c r="G112" s="1022"/>
      <c r="H112" s="1022"/>
      <c r="I112" s="1022"/>
      <c r="J112" s="1022"/>
      <c r="K112" s="1022"/>
      <c r="L112" s="1022"/>
      <c r="M112" s="1022"/>
    </row>
    <row r="113" spans="2:13" s="719" customFormat="1">
      <c r="B113" s="1022"/>
      <c r="C113" s="1022"/>
      <c r="D113" s="1022"/>
      <c r="E113" s="1022"/>
      <c r="F113" s="1022"/>
      <c r="G113" s="1022"/>
      <c r="H113" s="1022"/>
      <c r="I113" s="1022"/>
      <c r="J113" s="1022"/>
      <c r="K113" s="1022"/>
      <c r="L113" s="1022"/>
      <c r="M113" s="1022"/>
    </row>
    <row r="114" spans="2:13" s="719" customFormat="1">
      <c r="B114" s="1022"/>
      <c r="C114" s="1022"/>
      <c r="D114" s="1022"/>
      <c r="E114" s="1022"/>
      <c r="F114" s="1022"/>
      <c r="G114" s="1022"/>
      <c r="H114" s="1022"/>
      <c r="I114" s="1022"/>
      <c r="J114" s="1022"/>
      <c r="K114" s="1022"/>
      <c r="L114" s="1022"/>
      <c r="M114" s="1022"/>
    </row>
    <row r="115" spans="2:13" s="719" customFormat="1">
      <c r="B115" s="1022"/>
      <c r="C115" s="1022"/>
      <c r="D115" s="1022"/>
      <c r="E115" s="1022"/>
      <c r="F115" s="1022"/>
      <c r="G115" s="1022"/>
      <c r="H115" s="1022"/>
      <c r="I115" s="1022"/>
      <c r="J115" s="1022"/>
      <c r="K115" s="1022"/>
      <c r="L115" s="1022"/>
      <c r="M115" s="1022"/>
    </row>
    <row r="116" spans="2:13" s="719" customFormat="1">
      <c r="B116" s="1022"/>
      <c r="C116" s="1022"/>
      <c r="D116" s="1022"/>
      <c r="E116" s="1022"/>
      <c r="F116" s="1022"/>
      <c r="G116" s="1022"/>
      <c r="H116" s="1022"/>
      <c r="I116" s="1022"/>
      <c r="J116" s="1022"/>
      <c r="K116" s="1022"/>
      <c r="L116" s="1022"/>
      <c r="M116" s="1022"/>
    </row>
    <row r="117" spans="2:13" s="719" customFormat="1">
      <c r="B117" s="1022"/>
      <c r="C117" s="1022"/>
      <c r="D117" s="1022"/>
      <c r="E117" s="1022"/>
      <c r="F117" s="1022"/>
      <c r="G117" s="1022"/>
      <c r="H117" s="1022"/>
      <c r="I117" s="1022"/>
      <c r="J117" s="1022"/>
      <c r="K117" s="1022"/>
      <c r="L117" s="1022"/>
      <c r="M117" s="1022"/>
    </row>
    <row r="118" spans="2:13" s="719" customFormat="1">
      <c r="B118" s="1022"/>
      <c r="C118" s="1022"/>
      <c r="D118" s="1022"/>
      <c r="E118" s="1022"/>
      <c r="F118" s="1022"/>
      <c r="G118" s="1022"/>
      <c r="H118" s="1022"/>
      <c r="I118" s="1022"/>
      <c r="J118" s="1022"/>
      <c r="K118" s="1022"/>
      <c r="L118" s="1022"/>
      <c r="M118" s="1022"/>
    </row>
    <row r="119" spans="2:13" s="719" customFormat="1">
      <c r="B119" s="1022"/>
      <c r="C119" s="1022"/>
      <c r="D119" s="1022"/>
      <c r="E119" s="1022"/>
      <c r="F119" s="1022"/>
      <c r="G119" s="1022"/>
      <c r="H119" s="1022"/>
      <c r="I119" s="1022"/>
      <c r="J119" s="1022"/>
      <c r="K119" s="1022"/>
      <c r="L119" s="1022"/>
      <c r="M119" s="1022"/>
    </row>
    <row r="120" spans="2:13" s="719" customFormat="1">
      <c r="B120" s="1022"/>
      <c r="C120" s="1022"/>
      <c r="D120" s="1022"/>
      <c r="E120" s="1022"/>
      <c r="F120" s="1022"/>
      <c r="G120" s="1022"/>
      <c r="H120" s="1022"/>
      <c r="I120" s="1022"/>
      <c r="J120" s="1022"/>
      <c r="K120" s="1022"/>
      <c r="L120" s="1022"/>
      <c r="M120" s="1022"/>
    </row>
    <row r="121" spans="2:13" s="719" customFormat="1">
      <c r="B121" s="1022"/>
      <c r="C121" s="1022"/>
      <c r="D121" s="1022"/>
      <c r="E121" s="1022"/>
      <c r="F121" s="1022"/>
      <c r="G121" s="1022"/>
      <c r="H121" s="1022"/>
      <c r="I121" s="1022"/>
      <c r="J121" s="1022"/>
      <c r="K121" s="1022"/>
      <c r="L121" s="1022"/>
      <c r="M121" s="1022"/>
    </row>
    <row r="122" spans="2:13" s="719" customFormat="1">
      <c r="B122" s="1022"/>
      <c r="C122" s="1022"/>
      <c r="D122" s="1022"/>
      <c r="E122" s="1022"/>
      <c r="F122" s="1022"/>
      <c r="G122" s="1022"/>
      <c r="H122" s="1022"/>
      <c r="I122" s="1022"/>
      <c r="J122" s="1022"/>
      <c r="K122" s="1022"/>
      <c r="L122" s="1022"/>
      <c r="M122" s="1022"/>
    </row>
    <row r="123" spans="2:13" s="719" customFormat="1">
      <c r="B123" s="1022"/>
      <c r="C123" s="1022"/>
      <c r="D123" s="1022"/>
      <c r="E123" s="1022"/>
      <c r="F123" s="1022"/>
      <c r="G123" s="1022"/>
      <c r="H123" s="1022"/>
      <c r="I123" s="1022"/>
      <c r="J123" s="1022"/>
      <c r="K123" s="1022"/>
      <c r="L123" s="1022"/>
      <c r="M123" s="1022"/>
    </row>
    <row r="124" spans="2:13" s="719" customFormat="1">
      <c r="B124" s="1022"/>
      <c r="C124" s="1022"/>
      <c r="D124" s="1022"/>
      <c r="E124" s="1022"/>
      <c r="F124" s="1022"/>
      <c r="G124" s="1022"/>
      <c r="H124" s="1022"/>
      <c r="I124" s="1022"/>
      <c r="J124" s="1022"/>
      <c r="K124" s="1022"/>
      <c r="L124" s="1022"/>
      <c r="M124" s="1022"/>
    </row>
    <row r="125" spans="2:13" s="719" customFormat="1">
      <c r="B125" s="1022"/>
      <c r="C125" s="1022"/>
      <c r="D125" s="1022"/>
      <c r="E125" s="1022"/>
      <c r="F125" s="1022"/>
      <c r="G125" s="1022"/>
      <c r="H125" s="1022"/>
      <c r="I125" s="1022"/>
      <c r="J125" s="1022"/>
      <c r="K125" s="1022"/>
      <c r="L125" s="1022"/>
      <c r="M125" s="1022"/>
    </row>
    <row r="126" spans="2:13" s="719" customFormat="1">
      <c r="B126" s="1022"/>
      <c r="C126" s="1022"/>
      <c r="D126" s="1022"/>
      <c r="E126" s="1022"/>
      <c r="F126" s="1022"/>
      <c r="G126" s="1022"/>
      <c r="H126" s="1022"/>
      <c r="I126" s="1022"/>
      <c r="J126" s="1022"/>
      <c r="K126" s="1022"/>
      <c r="L126" s="1022"/>
      <c r="M126" s="1022"/>
    </row>
    <row r="127" spans="2:13" s="719" customFormat="1">
      <c r="B127" s="1022"/>
      <c r="C127" s="1022"/>
      <c r="D127" s="1022"/>
      <c r="E127" s="1022"/>
      <c r="F127" s="1022"/>
      <c r="G127" s="1022"/>
      <c r="H127" s="1022"/>
      <c r="I127" s="1022"/>
      <c r="J127" s="1022"/>
      <c r="K127" s="1022"/>
      <c r="L127" s="1022"/>
      <c r="M127" s="1022"/>
    </row>
    <row r="128" spans="2:13" s="719" customFormat="1">
      <c r="B128" s="1022"/>
      <c r="C128" s="1022"/>
      <c r="D128" s="1022"/>
      <c r="E128" s="1022"/>
      <c r="F128" s="1022"/>
      <c r="G128" s="1022"/>
      <c r="H128" s="1022"/>
      <c r="I128" s="1022"/>
      <c r="J128" s="1022"/>
      <c r="K128" s="1022"/>
      <c r="L128" s="1022"/>
      <c r="M128" s="1022"/>
    </row>
    <row r="129" spans="2:13" s="719" customFormat="1">
      <c r="B129" s="1022"/>
      <c r="C129" s="1022"/>
      <c r="D129" s="1022"/>
      <c r="E129" s="1022"/>
      <c r="F129" s="1022"/>
      <c r="G129" s="1022"/>
      <c r="H129" s="1022"/>
      <c r="I129" s="1022"/>
      <c r="J129" s="1022"/>
      <c r="K129" s="1022"/>
      <c r="L129" s="1022"/>
      <c r="M129" s="1022"/>
    </row>
    <row r="130" spans="2:13" s="719" customFormat="1">
      <c r="B130" s="1022"/>
      <c r="C130" s="1022"/>
      <c r="D130" s="1022"/>
      <c r="E130" s="1022"/>
      <c r="F130" s="1022"/>
      <c r="G130" s="1022"/>
      <c r="H130" s="1022"/>
      <c r="I130" s="1022"/>
      <c r="J130" s="1022"/>
      <c r="K130" s="1022"/>
      <c r="L130" s="1022"/>
      <c r="M130" s="1022"/>
    </row>
    <row r="131" spans="2:13" s="719" customFormat="1">
      <c r="B131" s="1022"/>
      <c r="C131" s="1022"/>
      <c r="D131" s="1022"/>
      <c r="E131" s="1022"/>
      <c r="F131" s="1022"/>
      <c r="G131" s="1022"/>
      <c r="H131" s="1022"/>
      <c r="I131" s="1022"/>
      <c r="J131" s="1022"/>
      <c r="K131" s="1022"/>
      <c r="L131" s="1022"/>
      <c r="M131" s="1022"/>
    </row>
    <row r="132" spans="2:13" s="719" customFormat="1">
      <c r="B132" s="1022"/>
      <c r="C132" s="1022"/>
      <c r="D132" s="1022"/>
      <c r="E132" s="1022"/>
      <c r="F132" s="1022"/>
      <c r="G132" s="1022"/>
      <c r="H132" s="1022"/>
      <c r="I132" s="1022"/>
      <c r="J132" s="1022"/>
      <c r="K132" s="1022"/>
      <c r="L132" s="1022"/>
      <c r="M132" s="1022"/>
    </row>
    <row r="133" spans="2:13" s="719" customFormat="1">
      <c r="B133" s="1022"/>
      <c r="C133" s="1022"/>
      <c r="D133" s="1022"/>
      <c r="E133" s="1022"/>
      <c r="F133" s="1022"/>
      <c r="G133" s="1022"/>
      <c r="H133" s="1022"/>
      <c r="I133" s="1022"/>
      <c r="J133" s="1022"/>
      <c r="K133" s="1022"/>
      <c r="L133" s="1022"/>
      <c r="M133" s="1022"/>
    </row>
    <row r="134" spans="2:13" s="719" customFormat="1">
      <c r="B134" s="1022"/>
      <c r="C134" s="1022"/>
      <c r="D134" s="1022"/>
      <c r="E134" s="1022"/>
      <c r="F134" s="1022"/>
      <c r="G134" s="1022"/>
      <c r="H134" s="1022"/>
      <c r="I134" s="1022"/>
      <c r="J134" s="1022"/>
      <c r="K134" s="1022"/>
      <c r="L134" s="1022"/>
      <c r="M134" s="1022"/>
    </row>
    <row r="135" spans="2:13" s="719" customFormat="1">
      <c r="B135" s="1022"/>
      <c r="C135" s="1022"/>
      <c r="D135" s="1022"/>
      <c r="E135" s="1022"/>
      <c r="F135" s="1022"/>
      <c r="G135" s="1022"/>
      <c r="H135" s="1022"/>
      <c r="I135" s="1022"/>
      <c r="J135" s="1022"/>
      <c r="K135" s="1022"/>
      <c r="L135" s="1022"/>
      <c r="M135" s="1022"/>
    </row>
    <row r="136" spans="2:13" s="719" customFormat="1">
      <c r="B136" s="1022"/>
      <c r="C136" s="1022"/>
      <c r="D136" s="1022"/>
      <c r="E136" s="1022"/>
      <c r="F136" s="1022"/>
      <c r="G136" s="1022"/>
      <c r="H136" s="1022"/>
      <c r="I136" s="1022"/>
      <c r="J136" s="1022"/>
      <c r="K136" s="1022"/>
      <c r="L136" s="1022"/>
      <c r="M136" s="1022"/>
    </row>
    <row r="137" spans="2:13" s="719" customFormat="1">
      <c r="B137" s="1022"/>
      <c r="C137" s="1022"/>
      <c r="D137" s="1022"/>
      <c r="E137" s="1022"/>
      <c r="F137" s="1022"/>
      <c r="G137" s="1022"/>
      <c r="H137" s="1022"/>
      <c r="I137" s="1022"/>
      <c r="J137" s="1022"/>
      <c r="K137" s="1022"/>
      <c r="L137" s="1022"/>
      <c r="M137" s="1022"/>
    </row>
    <row r="138" spans="2:13" s="719" customFormat="1">
      <c r="B138" s="1022"/>
      <c r="C138" s="1022"/>
      <c r="D138" s="1022"/>
      <c r="E138" s="1022"/>
      <c r="F138" s="1022"/>
      <c r="G138" s="1022"/>
      <c r="H138" s="1022"/>
      <c r="I138" s="1022"/>
      <c r="J138" s="1022"/>
      <c r="K138" s="1022"/>
      <c r="L138" s="1022"/>
      <c r="M138" s="1022"/>
    </row>
    <row r="139" spans="2:13" s="719" customFormat="1">
      <c r="B139" s="1022"/>
      <c r="C139" s="1022"/>
      <c r="D139" s="1022"/>
      <c r="E139" s="1022"/>
      <c r="F139" s="1022"/>
      <c r="G139" s="1022"/>
      <c r="H139" s="1022"/>
      <c r="I139" s="1022"/>
      <c r="J139" s="1022"/>
      <c r="K139" s="1022"/>
      <c r="L139" s="1022"/>
      <c r="M139" s="1022"/>
    </row>
    <row r="140" spans="2:13" s="719" customFormat="1">
      <c r="B140" s="1022"/>
      <c r="C140" s="1022"/>
      <c r="D140" s="1022"/>
      <c r="E140" s="1022"/>
      <c r="F140" s="1022"/>
      <c r="G140" s="1022"/>
      <c r="H140" s="1022"/>
      <c r="I140" s="1022"/>
      <c r="J140" s="1022"/>
      <c r="K140" s="1022"/>
      <c r="L140" s="1022"/>
      <c r="M140" s="1022"/>
    </row>
    <row r="141" spans="2:13" s="719" customFormat="1">
      <c r="B141" s="1022"/>
      <c r="C141" s="1022"/>
      <c r="D141" s="1022"/>
      <c r="E141" s="1022"/>
      <c r="F141" s="1022"/>
      <c r="G141" s="1022"/>
      <c r="H141" s="1022"/>
      <c r="I141" s="1022"/>
      <c r="J141" s="1022"/>
      <c r="K141" s="1022"/>
      <c r="L141" s="1022"/>
      <c r="M141" s="1022"/>
    </row>
    <row r="142" spans="2:13" s="719" customFormat="1">
      <c r="B142" s="1022"/>
      <c r="C142" s="1022"/>
      <c r="D142" s="1022"/>
      <c r="E142" s="1022"/>
      <c r="F142" s="1022"/>
      <c r="G142" s="1022"/>
      <c r="H142" s="1022"/>
      <c r="I142" s="1022"/>
      <c r="J142" s="1022"/>
      <c r="K142" s="1022"/>
      <c r="L142" s="1022"/>
      <c r="M142" s="1022"/>
    </row>
    <row r="143" spans="2:13" s="719" customFormat="1">
      <c r="B143" s="1022"/>
      <c r="C143" s="1022"/>
      <c r="D143" s="1022"/>
      <c r="E143" s="1022"/>
      <c r="F143" s="1022"/>
      <c r="G143" s="1022"/>
      <c r="H143" s="1022"/>
      <c r="I143" s="1022"/>
      <c r="J143" s="1022"/>
      <c r="K143" s="1022"/>
      <c r="L143" s="1022"/>
      <c r="M143" s="1022"/>
    </row>
    <row r="144" spans="2:13" s="719" customFormat="1">
      <c r="B144" s="1022"/>
      <c r="C144" s="1022"/>
      <c r="D144" s="1022"/>
      <c r="E144" s="1022"/>
      <c r="F144" s="1022"/>
      <c r="G144" s="1022"/>
      <c r="H144" s="1022"/>
      <c r="I144" s="1022"/>
      <c r="J144" s="1022"/>
      <c r="K144" s="1022"/>
      <c r="L144" s="1022"/>
      <c r="M144" s="1022"/>
    </row>
    <row r="145" spans="2:13" s="719" customFormat="1">
      <c r="B145" s="1022"/>
      <c r="C145" s="1022"/>
      <c r="D145" s="1022"/>
      <c r="E145" s="1022"/>
      <c r="F145" s="1022"/>
      <c r="G145" s="1022"/>
      <c r="H145" s="1022"/>
      <c r="I145" s="1022"/>
      <c r="J145" s="1022"/>
      <c r="K145" s="1022"/>
      <c r="L145" s="1022"/>
      <c r="M145" s="1022"/>
    </row>
    <row r="146" spans="2:13" s="719" customFormat="1">
      <c r="B146" s="1022"/>
      <c r="C146" s="1022"/>
      <c r="D146" s="1022"/>
      <c r="E146" s="1022"/>
      <c r="F146" s="1022"/>
      <c r="G146" s="1022"/>
      <c r="H146" s="1022"/>
      <c r="I146" s="1022"/>
      <c r="J146" s="1022"/>
      <c r="K146" s="1022"/>
      <c r="L146" s="1022"/>
      <c r="M146" s="1022"/>
    </row>
    <row r="147" spans="2:13" s="719" customFormat="1">
      <c r="B147" s="1022"/>
      <c r="C147" s="1022"/>
      <c r="D147" s="1022"/>
      <c r="E147" s="1022"/>
      <c r="F147" s="1022"/>
      <c r="G147" s="1022"/>
      <c r="H147" s="1022"/>
      <c r="I147" s="1022"/>
      <c r="J147" s="1022"/>
      <c r="K147" s="1022"/>
      <c r="L147" s="1022"/>
      <c r="M147" s="1022"/>
    </row>
    <row r="148" spans="2:13" s="719" customFormat="1">
      <c r="B148" s="1022"/>
      <c r="C148" s="1022"/>
      <c r="D148" s="1022"/>
      <c r="E148" s="1022"/>
      <c r="F148" s="1022"/>
      <c r="G148" s="1022"/>
      <c r="H148" s="1022"/>
      <c r="I148" s="1022"/>
      <c r="J148" s="1022"/>
      <c r="K148" s="1022"/>
      <c r="L148" s="1022"/>
      <c r="M148" s="1022"/>
    </row>
    <row r="149" spans="2:13" s="719" customFormat="1">
      <c r="B149" s="1022"/>
      <c r="C149" s="1022"/>
      <c r="D149" s="1022"/>
      <c r="E149" s="1022"/>
      <c r="F149" s="1022"/>
      <c r="G149" s="1022"/>
      <c r="H149" s="1022"/>
      <c r="I149" s="1022"/>
      <c r="J149" s="1022"/>
      <c r="K149" s="1022"/>
      <c r="L149" s="1022"/>
      <c r="M149" s="1022"/>
    </row>
    <row r="150" spans="2:13" s="719" customFormat="1">
      <c r="B150" s="1022"/>
      <c r="C150" s="1022"/>
      <c r="D150" s="1022"/>
      <c r="E150" s="1022"/>
      <c r="F150" s="1022"/>
      <c r="G150" s="1022"/>
      <c r="H150" s="1022"/>
      <c r="I150" s="1022"/>
      <c r="J150" s="1022"/>
      <c r="K150" s="1022"/>
      <c r="L150" s="1022"/>
      <c r="M150" s="1022"/>
    </row>
    <row r="151" spans="2:13" s="719" customFormat="1">
      <c r="B151" s="1022"/>
      <c r="C151" s="1022"/>
      <c r="D151" s="1022"/>
      <c r="E151" s="1022"/>
      <c r="F151" s="1022"/>
      <c r="G151" s="1022"/>
      <c r="H151" s="1022"/>
      <c r="I151" s="1022"/>
      <c r="J151" s="1022"/>
      <c r="K151" s="1022"/>
      <c r="L151" s="1022"/>
      <c r="M151" s="1022"/>
    </row>
    <row r="152" spans="2:13" s="719" customFormat="1">
      <c r="B152" s="1022"/>
      <c r="C152" s="1022"/>
      <c r="D152" s="1022"/>
      <c r="E152" s="1022"/>
      <c r="F152" s="1022"/>
      <c r="G152" s="1022"/>
      <c r="H152" s="1022"/>
      <c r="I152" s="1022"/>
      <c r="J152" s="1022"/>
      <c r="K152" s="1022"/>
      <c r="L152" s="1022"/>
      <c r="M152" s="1022"/>
    </row>
    <row r="153" spans="2:13" s="719" customFormat="1">
      <c r="B153" s="1022"/>
      <c r="C153" s="1022"/>
      <c r="D153" s="1022"/>
      <c r="E153" s="1022"/>
      <c r="F153" s="1022"/>
      <c r="G153" s="1022"/>
      <c r="H153" s="1022"/>
      <c r="I153" s="1022"/>
      <c r="J153" s="1022"/>
      <c r="K153" s="1022"/>
      <c r="L153" s="1022"/>
      <c r="M153" s="1022"/>
    </row>
    <row r="154" spans="2:13" s="719" customFormat="1">
      <c r="B154" s="1022"/>
      <c r="C154" s="1022"/>
      <c r="D154" s="1022"/>
      <c r="E154" s="1022"/>
      <c r="F154" s="1022"/>
      <c r="G154" s="1022"/>
      <c r="H154" s="1022"/>
      <c r="I154" s="1022"/>
      <c r="J154" s="1022"/>
      <c r="K154" s="1022"/>
      <c r="L154" s="1022"/>
      <c r="M154" s="1022"/>
    </row>
    <row r="155" spans="2:13" s="719" customFormat="1">
      <c r="B155" s="1022"/>
      <c r="C155" s="1022"/>
      <c r="D155" s="1022"/>
      <c r="E155" s="1022"/>
      <c r="F155" s="1022"/>
      <c r="G155" s="1022"/>
      <c r="H155" s="1022"/>
      <c r="I155" s="1022"/>
      <c r="J155" s="1022"/>
      <c r="K155" s="1022"/>
      <c r="L155" s="1022"/>
      <c r="M155" s="1022"/>
    </row>
    <row r="156" spans="2:13" s="719" customFormat="1">
      <c r="B156" s="1022"/>
      <c r="C156" s="1022"/>
      <c r="D156" s="1022"/>
      <c r="E156" s="1022"/>
      <c r="F156" s="1022"/>
      <c r="G156" s="1022"/>
      <c r="H156" s="1022"/>
      <c r="I156" s="1022"/>
      <c r="J156" s="1022"/>
      <c r="K156" s="1022"/>
      <c r="L156" s="1022"/>
      <c r="M156" s="1022"/>
    </row>
    <row r="157" spans="2:13" s="719" customFormat="1">
      <c r="B157" s="1022"/>
      <c r="C157" s="1022"/>
      <c r="D157" s="1022"/>
      <c r="E157" s="1022"/>
      <c r="F157" s="1022"/>
      <c r="G157" s="1022"/>
      <c r="H157" s="1022"/>
      <c r="I157" s="1022"/>
      <c r="J157" s="1022"/>
      <c r="K157" s="1022"/>
      <c r="L157" s="1022"/>
      <c r="M157" s="1022"/>
    </row>
    <row r="158" spans="2:13" s="719" customFormat="1">
      <c r="B158" s="1022"/>
      <c r="C158" s="1022"/>
      <c r="D158" s="1022"/>
      <c r="E158" s="1022"/>
      <c r="F158" s="1022"/>
      <c r="G158" s="1022"/>
      <c r="H158" s="1022"/>
      <c r="I158" s="1022"/>
      <c r="J158" s="1022"/>
      <c r="K158" s="1022"/>
      <c r="L158" s="1022"/>
      <c r="M158" s="1022"/>
    </row>
    <row r="159" spans="2:13" s="719" customFormat="1">
      <c r="B159" s="1022"/>
      <c r="C159" s="1022"/>
      <c r="D159" s="1022"/>
      <c r="E159" s="1022"/>
      <c r="F159" s="1022"/>
      <c r="G159" s="1022"/>
      <c r="H159" s="1022"/>
      <c r="I159" s="1022"/>
      <c r="J159" s="1022"/>
      <c r="K159" s="1022"/>
      <c r="L159" s="1022"/>
      <c r="M159" s="1022"/>
    </row>
    <row r="160" spans="2:13" s="719" customFormat="1">
      <c r="B160" s="1022"/>
      <c r="C160" s="1022"/>
      <c r="D160" s="1022"/>
      <c r="E160" s="1022"/>
      <c r="F160" s="1022"/>
      <c r="G160" s="1022"/>
      <c r="H160" s="1022"/>
      <c r="I160" s="1022"/>
      <c r="J160" s="1022"/>
      <c r="K160" s="1022"/>
      <c r="L160" s="1022"/>
      <c r="M160" s="1022"/>
    </row>
    <row r="161" spans="2:13" s="719" customFormat="1">
      <c r="B161" s="1022"/>
      <c r="C161" s="1022"/>
      <c r="D161" s="1022"/>
      <c r="E161" s="1022"/>
      <c r="F161" s="1022"/>
      <c r="G161" s="1022"/>
      <c r="H161" s="1022"/>
      <c r="I161" s="1022"/>
      <c r="J161" s="1022"/>
      <c r="K161" s="1022"/>
      <c r="L161" s="1022"/>
      <c r="M161" s="1022"/>
    </row>
    <row r="162" spans="2:13" s="719" customFormat="1">
      <c r="B162" s="1022"/>
      <c r="C162" s="1022"/>
      <c r="D162" s="1022"/>
      <c r="E162" s="1022"/>
      <c r="F162" s="1022"/>
      <c r="G162" s="1022"/>
      <c r="H162" s="1022"/>
      <c r="I162" s="1022"/>
      <c r="J162" s="1022"/>
      <c r="K162" s="1022"/>
      <c r="L162" s="1022"/>
      <c r="M162" s="1022"/>
    </row>
    <row r="163" spans="2:13" s="719" customFormat="1">
      <c r="B163" s="1022"/>
      <c r="C163" s="1022"/>
      <c r="D163" s="1022"/>
      <c r="E163" s="1022"/>
      <c r="F163" s="1022"/>
      <c r="G163" s="1022"/>
      <c r="H163" s="1022"/>
      <c r="I163" s="1022"/>
      <c r="J163" s="1022"/>
      <c r="K163" s="1022"/>
      <c r="L163" s="1022"/>
      <c r="M163" s="1022"/>
    </row>
    <row r="164" spans="2:13" s="719" customFormat="1">
      <c r="B164" s="1022"/>
      <c r="C164" s="1022"/>
      <c r="D164" s="1022"/>
      <c r="E164" s="1022"/>
      <c r="F164" s="1022"/>
      <c r="G164" s="1022"/>
      <c r="H164" s="1022"/>
      <c r="I164" s="1022"/>
      <c r="J164" s="1022"/>
      <c r="K164" s="1022"/>
      <c r="L164" s="1022"/>
      <c r="M164" s="1022"/>
    </row>
    <row r="165" spans="2:13" s="719" customFormat="1">
      <c r="B165" s="1022"/>
      <c r="C165" s="1022"/>
      <c r="D165" s="1022"/>
      <c r="E165" s="1022"/>
      <c r="F165" s="1022"/>
      <c r="G165" s="1022"/>
      <c r="H165" s="1022"/>
      <c r="I165" s="1022"/>
      <c r="J165" s="1022"/>
      <c r="K165" s="1022"/>
      <c r="L165" s="1022"/>
      <c r="M165" s="1022"/>
    </row>
    <row r="166" spans="2:13" s="719" customFormat="1">
      <c r="B166" s="1022"/>
      <c r="C166" s="1022"/>
      <c r="D166" s="1022"/>
      <c r="E166" s="1022"/>
      <c r="F166" s="1022"/>
      <c r="G166" s="1022"/>
      <c r="H166" s="1022"/>
      <c r="I166" s="1022"/>
      <c r="J166" s="1022"/>
      <c r="K166" s="1022"/>
      <c r="L166" s="1022"/>
      <c r="M166" s="1022"/>
    </row>
    <row r="167" spans="2:13" s="719" customFormat="1">
      <c r="B167" s="1022"/>
      <c r="C167" s="1022"/>
      <c r="D167" s="1022"/>
      <c r="E167" s="1022"/>
      <c r="F167" s="1022"/>
      <c r="G167" s="1022"/>
      <c r="H167" s="1022"/>
      <c r="I167" s="1022"/>
      <c r="J167" s="1022"/>
      <c r="K167" s="1022"/>
      <c r="L167" s="1022"/>
      <c r="M167" s="1022"/>
    </row>
    <row r="168" spans="2:13" s="719" customFormat="1">
      <c r="B168" s="1022"/>
      <c r="C168" s="1022"/>
      <c r="D168" s="1022"/>
      <c r="E168" s="1022"/>
      <c r="F168" s="1022"/>
      <c r="G168" s="1022"/>
      <c r="H168" s="1022"/>
      <c r="I168" s="1022"/>
      <c r="J168" s="1022"/>
      <c r="K168" s="1022"/>
      <c r="L168" s="1022"/>
      <c r="M168" s="1022"/>
    </row>
    <row r="169" spans="2:13" s="719" customFormat="1">
      <c r="B169" s="1022"/>
      <c r="C169" s="1022"/>
      <c r="D169" s="1022"/>
      <c r="E169" s="1022"/>
      <c r="F169" s="1022"/>
      <c r="G169" s="1022"/>
      <c r="H169" s="1022"/>
      <c r="I169" s="1022"/>
      <c r="J169" s="1022"/>
      <c r="K169" s="1022"/>
      <c r="L169" s="1022"/>
      <c r="M169" s="1022"/>
    </row>
    <row r="170" spans="2:13" s="719" customFormat="1">
      <c r="B170" s="1022"/>
      <c r="C170" s="1022"/>
      <c r="D170" s="1022"/>
      <c r="E170" s="1022"/>
      <c r="F170" s="1022"/>
      <c r="G170" s="1022"/>
      <c r="H170" s="1022"/>
      <c r="I170" s="1022"/>
      <c r="J170" s="1022"/>
      <c r="K170" s="1022"/>
      <c r="L170" s="1022"/>
      <c r="M170" s="1022"/>
    </row>
    <row r="171" spans="2:13" s="719" customFormat="1">
      <c r="B171" s="1022"/>
      <c r="C171" s="1022"/>
      <c r="D171" s="1022"/>
      <c r="E171" s="1022"/>
      <c r="F171" s="1022"/>
      <c r="G171" s="1022"/>
      <c r="H171" s="1022"/>
      <c r="I171" s="1022"/>
      <c r="J171" s="1022"/>
      <c r="K171" s="1022"/>
      <c r="L171" s="1022"/>
      <c r="M171" s="1022"/>
    </row>
    <row r="172" spans="2:13" s="719" customFormat="1">
      <c r="B172" s="1022"/>
      <c r="C172" s="1022"/>
      <c r="D172" s="1022"/>
      <c r="E172" s="1022"/>
      <c r="F172" s="1022"/>
      <c r="G172" s="1022"/>
      <c r="H172" s="1022"/>
      <c r="I172" s="1022"/>
      <c r="J172" s="1022"/>
      <c r="K172" s="1022"/>
      <c r="L172" s="1022"/>
      <c r="M172" s="1022"/>
    </row>
    <row r="173" spans="2:13" s="719" customFormat="1">
      <c r="B173" s="1022"/>
      <c r="C173" s="1022"/>
      <c r="D173" s="1022"/>
      <c r="E173" s="1022"/>
      <c r="F173" s="1022"/>
      <c r="G173" s="1022"/>
      <c r="H173" s="1022"/>
      <c r="I173" s="1022"/>
      <c r="J173" s="1022"/>
      <c r="K173" s="1022"/>
      <c r="L173" s="1022"/>
      <c r="M173" s="1022"/>
    </row>
    <row r="174" spans="2:13" s="719" customFormat="1">
      <c r="B174" s="1022"/>
      <c r="C174" s="1022"/>
      <c r="D174" s="1022"/>
      <c r="E174" s="1022"/>
      <c r="F174" s="1022"/>
      <c r="G174" s="1022"/>
      <c r="H174" s="1022"/>
      <c r="I174" s="1022"/>
      <c r="J174" s="1022"/>
      <c r="K174" s="1022"/>
      <c r="L174" s="1022"/>
      <c r="M174" s="1022"/>
    </row>
    <row r="175" spans="2:13" s="719" customFormat="1">
      <c r="B175" s="1022"/>
      <c r="C175" s="1022"/>
      <c r="D175" s="1022"/>
      <c r="E175" s="1022"/>
      <c r="F175" s="1022"/>
      <c r="G175" s="1022"/>
      <c r="H175" s="1022"/>
      <c r="I175" s="1022"/>
      <c r="J175" s="1022"/>
      <c r="K175" s="1022"/>
      <c r="L175" s="1022"/>
      <c r="M175" s="1022"/>
    </row>
    <row r="176" spans="2:13" s="719" customFormat="1">
      <c r="B176" s="1022"/>
      <c r="C176" s="1022"/>
      <c r="D176" s="1022"/>
      <c r="E176" s="1022"/>
      <c r="F176" s="1022"/>
      <c r="G176" s="1022"/>
      <c r="H176" s="1022"/>
      <c r="I176" s="1022"/>
      <c r="J176" s="1022"/>
      <c r="K176" s="1022"/>
      <c r="L176" s="1022"/>
      <c r="M176" s="1022"/>
    </row>
    <row r="177" spans="2:13" s="719" customFormat="1">
      <c r="B177" s="1022"/>
      <c r="C177" s="1022"/>
      <c r="D177" s="1022"/>
      <c r="E177" s="1022"/>
      <c r="F177" s="1022"/>
      <c r="G177" s="1022"/>
      <c r="H177" s="1022"/>
      <c r="I177" s="1022"/>
      <c r="J177" s="1022"/>
      <c r="K177" s="1022"/>
      <c r="L177" s="1022"/>
      <c r="M177" s="1022"/>
    </row>
    <row r="178" spans="2:13" s="719" customFormat="1">
      <c r="B178" s="1022"/>
      <c r="C178" s="1022"/>
      <c r="D178" s="1022"/>
      <c r="E178" s="1022"/>
      <c r="F178" s="1022"/>
      <c r="G178" s="1022"/>
      <c r="H178" s="1022"/>
      <c r="I178" s="1022"/>
      <c r="J178" s="1022"/>
      <c r="K178" s="1022"/>
      <c r="L178" s="1022"/>
      <c r="M178" s="1022"/>
    </row>
    <row r="179" spans="2:13" s="719" customFormat="1">
      <c r="B179" s="1022"/>
      <c r="C179" s="1022"/>
      <c r="D179" s="1022"/>
      <c r="E179" s="1022"/>
      <c r="F179" s="1022"/>
      <c r="G179" s="1022"/>
      <c r="H179" s="1022"/>
      <c r="I179" s="1022"/>
      <c r="J179" s="1022"/>
      <c r="K179" s="1022"/>
      <c r="L179" s="1022"/>
      <c r="M179" s="1022"/>
    </row>
    <row r="180" spans="2:13" s="719" customFormat="1">
      <c r="B180" s="1022"/>
      <c r="C180" s="1022"/>
      <c r="D180" s="1022"/>
      <c r="E180" s="1022"/>
      <c r="F180" s="1022"/>
      <c r="G180" s="1022"/>
      <c r="H180" s="1022"/>
      <c r="I180" s="1022"/>
      <c r="J180" s="1022"/>
      <c r="K180" s="1022"/>
      <c r="L180" s="1022"/>
      <c r="M180" s="1022"/>
    </row>
    <row r="181" spans="2:13" s="719" customFormat="1">
      <c r="B181" s="1022"/>
      <c r="C181" s="1022"/>
      <c r="D181" s="1022"/>
      <c r="E181" s="1022"/>
      <c r="F181" s="1022"/>
      <c r="G181" s="1022"/>
      <c r="H181" s="1022"/>
      <c r="I181" s="1022"/>
      <c r="J181" s="1022"/>
      <c r="K181" s="1022"/>
      <c r="L181" s="1022"/>
      <c r="M181" s="1022"/>
    </row>
    <row r="182" spans="2:13" s="719" customFormat="1">
      <c r="B182" s="1022"/>
      <c r="C182" s="1022"/>
      <c r="D182" s="1022"/>
      <c r="E182" s="1022"/>
      <c r="F182" s="1022"/>
      <c r="G182" s="1022"/>
      <c r="H182" s="1022"/>
      <c r="I182" s="1022"/>
      <c r="J182" s="1022"/>
      <c r="K182" s="1022"/>
      <c r="L182" s="1022"/>
      <c r="M182" s="1022"/>
    </row>
    <row r="183" spans="2:13" s="719" customFormat="1">
      <c r="B183" s="1022"/>
      <c r="C183" s="1022"/>
      <c r="D183" s="1022"/>
      <c r="E183" s="1022"/>
      <c r="F183" s="1022"/>
      <c r="G183" s="1022"/>
      <c r="H183" s="1022"/>
      <c r="I183" s="1022"/>
      <c r="J183" s="1022"/>
      <c r="K183" s="1022"/>
      <c r="L183" s="1022"/>
      <c r="M183" s="1022"/>
    </row>
    <row r="184" spans="2:13" s="719" customFormat="1">
      <c r="B184" s="1022"/>
      <c r="C184" s="1022"/>
      <c r="D184" s="1022"/>
      <c r="E184" s="1022"/>
      <c r="F184" s="1022"/>
      <c r="G184" s="1022"/>
      <c r="H184" s="1022"/>
      <c r="I184" s="1022"/>
      <c r="J184" s="1022"/>
      <c r="K184" s="1022"/>
      <c r="L184" s="1022"/>
      <c r="M184" s="1022"/>
    </row>
    <row r="185" spans="2:13" s="719" customFormat="1">
      <c r="B185" s="1022"/>
      <c r="C185" s="1022"/>
      <c r="D185" s="1022"/>
      <c r="E185" s="1022"/>
      <c r="F185" s="1022"/>
      <c r="G185" s="1022"/>
      <c r="H185" s="1022"/>
      <c r="I185" s="1022"/>
      <c r="J185" s="1022"/>
      <c r="K185" s="1022"/>
      <c r="L185" s="1022"/>
      <c r="M185" s="1022"/>
    </row>
    <row r="186" spans="2:13" s="719" customFormat="1">
      <c r="B186" s="1022"/>
      <c r="C186" s="1022"/>
      <c r="D186" s="1022"/>
      <c r="E186" s="1022"/>
      <c r="F186" s="1022"/>
      <c r="G186" s="1022"/>
      <c r="H186" s="1022"/>
      <c r="I186" s="1022"/>
      <c r="J186" s="1022"/>
      <c r="K186" s="1022"/>
      <c r="L186" s="1022"/>
      <c r="M186" s="1022"/>
    </row>
    <row r="187" spans="2:13" s="719" customFormat="1">
      <c r="B187" s="1022"/>
      <c r="C187" s="1022"/>
      <c r="D187" s="1022"/>
      <c r="E187" s="1022"/>
      <c r="F187" s="1022"/>
      <c r="G187" s="1022"/>
      <c r="H187" s="1022"/>
      <c r="I187" s="1022"/>
      <c r="J187" s="1022"/>
      <c r="K187" s="1022"/>
      <c r="L187" s="1022"/>
      <c r="M187" s="1022"/>
    </row>
    <row r="188" spans="2:13" s="719" customFormat="1">
      <c r="B188" s="1022"/>
      <c r="C188" s="1022"/>
      <c r="D188" s="1022"/>
      <c r="E188" s="1022"/>
      <c r="F188" s="1022"/>
      <c r="G188" s="1022"/>
      <c r="H188" s="1022"/>
      <c r="I188" s="1022"/>
      <c r="J188" s="1022"/>
      <c r="K188" s="1022"/>
      <c r="L188" s="1022"/>
      <c r="M188" s="1022"/>
    </row>
    <row r="189" spans="2:13" s="719" customFormat="1">
      <c r="B189" s="1022"/>
      <c r="C189" s="1022"/>
      <c r="D189" s="1022"/>
      <c r="E189" s="1022"/>
      <c r="F189" s="1022"/>
      <c r="G189" s="1022"/>
      <c r="H189" s="1022"/>
      <c r="I189" s="1022"/>
      <c r="J189" s="1022"/>
      <c r="K189" s="1022"/>
      <c r="L189" s="1022"/>
      <c r="M189" s="1022"/>
    </row>
    <row r="190" spans="2:13" s="719" customFormat="1">
      <c r="B190" s="1022"/>
      <c r="C190" s="1022"/>
      <c r="D190" s="1022"/>
      <c r="E190" s="1022"/>
      <c r="F190" s="1022"/>
      <c r="G190" s="1022"/>
      <c r="H190" s="1022"/>
      <c r="I190" s="1022"/>
      <c r="J190" s="1022"/>
      <c r="K190" s="1022"/>
      <c r="L190" s="1022"/>
      <c r="M190" s="1022"/>
    </row>
    <row r="191" spans="2:13" s="719" customFormat="1">
      <c r="B191" s="1022"/>
      <c r="C191" s="1022"/>
      <c r="D191" s="1022"/>
      <c r="E191" s="1022"/>
      <c r="F191" s="1022"/>
      <c r="G191" s="1022"/>
      <c r="H191" s="1022"/>
      <c r="I191" s="1022"/>
      <c r="J191" s="1022"/>
      <c r="K191" s="1022"/>
      <c r="L191" s="1022"/>
      <c r="M191" s="1022"/>
    </row>
    <row r="192" spans="2:13" s="719" customFormat="1">
      <c r="B192" s="1022"/>
      <c r="C192" s="1022"/>
      <c r="D192" s="1022"/>
      <c r="E192" s="1022"/>
      <c r="F192" s="1022"/>
      <c r="G192" s="1022"/>
      <c r="H192" s="1022"/>
      <c r="I192" s="1022"/>
      <c r="J192" s="1022"/>
      <c r="K192" s="1022"/>
      <c r="L192" s="1022"/>
      <c r="M192" s="1022"/>
    </row>
    <row r="193" spans="2:13" s="719" customFormat="1">
      <c r="B193" s="1022"/>
      <c r="C193" s="1022"/>
      <c r="D193" s="1022"/>
      <c r="E193" s="1022"/>
      <c r="F193" s="1022"/>
      <c r="G193" s="1022"/>
      <c r="H193" s="1022"/>
      <c r="I193" s="1022"/>
      <c r="J193" s="1022"/>
      <c r="K193" s="1022"/>
      <c r="L193" s="1022"/>
      <c r="M193" s="1022"/>
    </row>
    <row r="194" spans="2:13" s="719" customFormat="1">
      <c r="B194" s="1022"/>
      <c r="C194" s="1022"/>
      <c r="D194" s="1022"/>
      <c r="E194" s="1022"/>
      <c r="F194" s="1022"/>
      <c r="G194" s="1022"/>
      <c r="H194" s="1022"/>
      <c r="I194" s="1022"/>
      <c r="J194" s="1022"/>
      <c r="K194" s="1022"/>
      <c r="L194" s="1022"/>
      <c r="M194" s="1022"/>
    </row>
    <row r="195" spans="2:13" s="719" customFormat="1">
      <c r="B195" s="1022"/>
      <c r="C195" s="1022"/>
      <c r="D195" s="1022"/>
      <c r="E195" s="1022"/>
      <c r="F195" s="1022"/>
      <c r="G195" s="1022"/>
      <c r="H195" s="1022"/>
      <c r="I195" s="1022"/>
      <c r="J195" s="1022"/>
      <c r="K195" s="1022"/>
      <c r="L195" s="1022"/>
      <c r="M195" s="1022"/>
    </row>
    <row r="196" spans="2:13" s="719" customFormat="1">
      <c r="B196" s="1022"/>
      <c r="C196" s="1022"/>
      <c r="D196" s="1022"/>
      <c r="E196" s="1022"/>
      <c r="F196" s="1022"/>
      <c r="G196" s="1022"/>
      <c r="H196" s="1022"/>
      <c r="I196" s="1022"/>
      <c r="J196" s="1022"/>
      <c r="K196" s="1022"/>
      <c r="L196" s="1022"/>
      <c r="M196" s="1022"/>
    </row>
    <row r="197" spans="2:13" s="719" customFormat="1">
      <c r="B197" s="1022"/>
      <c r="C197" s="1022"/>
      <c r="D197" s="1022"/>
      <c r="E197" s="1022"/>
      <c r="F197" s="1022"/>
      <c r="G197" s="1022"/>
      <c r="H197" s="1022"/>
      <c r="I197" s="1022"/>
      <c r="J197" s="1022"/>
      <c r="K197" s="1022"/>
      <c r="L197" s="1022"/>
      <c r="M197" s="1022"/>
    </row>
    <row r="198" spans="2:13" s="719" customFormat="1">
      <c r="B198" s="1022"/>
      <c r="C198" s="1022"/>
      <c r="D198" s="1022"/>
      <c r="E198" s="1022"/>
      <c r="F198" s="1022"/>
      <c r="G198" s="1022"/>
      <c r="H198" s="1022"/>
      <c r="I198" s="1022"/>
      <c r="J198" s="1022"/>
      <c r="K198" s="1022"/>
      <c r="L198" s="1022"/>
      <c r="M198" s="1022"/>
    </row>
    <row r="199" spans="2:13" s="719" customFormat="1">
      <c r="B199" s="1022"/>
      <c r="C199" s="1022"/>
      <c r="D199" s="1022"/>
      <c r="E199" s="1022"/>
      <c r="F199" s="1022"/>
      <c r="G199" s="1022"/>
      <c r="H199" s="1022"/>
      <c r="I199" s="1022"/>
      <c r="J199" s="1022"/>
      <c r="K199" s="1022"/>
      <c r="L199" s="1022"/>
      <c r="M199" s="1022"/>
    </row>
    <row r="200" spans="2:13" s="719" customFormat="1">
      <c r="B200" s="1022"/>
      <c r="C200" s="1022"/>
      <c r="D200" s="1022"/>
      <c r="E200" s="1022"/>
      <c r="F200" s="1022"/>
      <c r="G200" s="1022"/>
      <c r="H200" s="1022"/>
      <c r="I200" s="1022"/>
      <c r="J200" s="1022"/>
      <c r="K200" s="1022"/>
      <c r="L200" s="1022"/>
      <c r="M200" s="1022"/>
    </row>
    <row r="201" spans="2:13" s="719" customFormat="1">
      <c r="B201" s="1022"/>
      <c r="C201" s="1022"/>
      <c r="D201" s="1022"/>
      <c r="E201" s="1022"/>
      <c r="F201" s="1022"/>
      <c r="G201" s="1022"/>
      <c r="H201" s="1022"/>
      <c r="I201" s="1022"/>
      <c r="J201" s="1022"/>
      <c r="K201" s="1022"/>
      <c r="L201" s="1022"/>
      <c r="M201" s="1022"/>
    </row>
    <row r="202" spans="2:13" s="719" customFormat="1">
      <c r="B202" s="1022"/>
      <c r="C202" s="1022"/>
      <c r="D202" s="1022"/>
      <c r="E202" s="1022"/>
      <c r="F202" s="1022"/>
      <c r="G202" s="1022"/>
      <c r="H202" s="1022"/>
      <c r="I202" s="1022"/>
      <c r="J202" s="1022"/>
      <c r="K202" s="1022"/>
      <c r="L202" s="1022"/>
      <c r="M202" s="1022"/>
    </row>
    <row r="203" spans="2:13" s="719" customFormat="1">
      <c r="B203" s="1022"/>
      <c r="C203" s="1022"/>
      <c r="D203" s="1022"/>
      <c r="E203" s="1022"/>
      <c r="F203" s="1022"/>
      <c r="G203" s="1022"/>
      <c r="H203" s="1022"/>
      <c r="I203" s="1022"/>
      <c r="J203" s="1022"/>
      <c r="K203" s="1022"/>
      <c r="L203" s="1022"/>
      <c r="M203" s="1022"/>
    </row>
    <row r="204" spans="2:13" s="719" customFormat="1">
      <c r="B204" s="1022"/>
      <c r="C204" s="1022"/>
      <c r="D204" s="1022"/>
      <c r="E204" s="1022"/>
      <c r="F204" s="1022"/>
      <c r="G204" s="1022"/>
      <c r="H204" s="1022"/>
      <c r="I204" s="1022"/>
      <c r="J204" s="1022"/>
      <c r="K204" s="1022"/>
      <c r="L204" s="1022"/>
      <c r="M204" s="1022"/>
    </row>
    <row r="205" spans="2:13" s="719" customFormat="1">
      <c r="B205" s="1022"/>
      <c r="C205" s="1022"/>
      <c r="D205" s="1022"/>
      <c r="E205" s="1022"/>
      <c r="F205" s="1022"/>
      <c r="G205" s="1022"/>
      <c r="H205" s="1022"/>
      <c r="I205" s="1022"/>
      <c r="J205" s="1022"/>
      <c r="K205" s="1022"/>
      <c r="L205" s="1022"/>
      <c r="M205" s="1022"/>
    </row>
    <row r="206" spans="2:13" s="719" customFormat="1">
      <c r="B206" s="1022"/>
      <c r="C206" s="1022"/>
      <c r="D206" s="1022"/>
      <c r="E206" s="1022"/>
      <c r="F206" s="1022"/>
      <c r="G206" s="1022"/>
      <c r="H206" s="1022"/>
      <c r="I206" s="1022"/>
      <c r="J206" s="1022"/>
      <c r="K206" s="1022"/>
      <c r="L206" s="1022"/>
      <c r="M206" s="1022"/>
    </row>
    <row r="207" spans="2:13" s="719" customFormat="1">
      <c r="B207" s="1022"/>
      <c r="C207" s="1022"/>
      <c r="D207" s="1022"/>
      <c r="E207" s="1022"/>
      <c r="F207" s="1022"/>
      <c r="G207" s="1022"/>
      <c r="H207" s="1022"/>
      <c r="I207" s="1022"/>
      <c r="J207" s="1022"/>
      <c r="K207" s="1022"/>
      <c r="L207" s="1022"/>
      <c r="M207" s="1022"/>
    </row>
    <row r="208" spans="2:13" s="719" customFormat="1">
      <c r="B208" s="1022"/>
      <c r="C208" s="1022"/>
      <c r="D208" s="1022"/>
      <c r="E208" s="1022"/>
      <c r="F208" s="1022"/>
      <c r="G208" s="1022"/>
      <c r="H208" s="1022"/>
      <c r="I208" s="1022"/>
      <c r="J208" s="1022"/>
      <c r="K208" s="1022"/>
      <c r="L208" s="1022"/>
      <c r="M208" s="1022"/>
    </row>
    <row r="209" spans="2:13" s="719" customFormat="1">
      <c r="B209" s="1022"/>
      <c r="C209" s="1022"/>
      <c r="D209" s="1022"/>
      <c r="E209" s="1022"/>
      <c r="F209" s="1022"/>
      <c r="G209" s="1022"/>
      <c r="H209" s="1022"/>
      <c r="I209" s="1022"/>
      <c r="J209" s="1022"/>
      <c r="K209" s="1022"/>
      <c r="L209" s="1022"/>
      <c r="M209" s="1022"/>
    </row>
    <row r="210" spans="2:13" s="719" customFormat="1">
      <c r="B210" s="1022"/>
      <c r="C210" s="1022"/>
      <c r="D210" s="1022"/>
      <c r="E210" s="1022"/>
      <c r="F210" s="1022"/>
      <c r="G210" s="1022"/>
      <c r="H210" s="1022"/>
      <c r="I210" s="1022"/>
      <c r="J210" s="1022"/>
      <c r="K210" s="1022"/>
      <c r="L210" s="1022"/>
      <c r="M210" s="1022"/>
    </row>
    <row r="211" spans="2:13" s="719" customFormat="1">
      <c r="B211" s="1022"/>
      <c r="C211" s="1022"/>
      <c r="D211" s="1022"/>
      <c r="E211" s="1022"/>
      <c r="F211" s="1022"/>
      <c r="G211" s="1022"/>
      <c r="H211" s="1022"/>
      <c r="I211" s="1022"/>
      <c r="J211" s="1022"/>
      <c r="K211" s="1022"/>
      <c r="L211" s="1022"/>
      <c r="M211" s="1022"/>
    </row>
    <row r="212" spans="2:13" s="719" customFormat="1">
      <c r="B212" s="1022"/>
      <c r="C212" s="1022"/>
      <c r="D212" s="1022"/>
      <c r="E212" s="1022"/>
      <c r="F212" s="1022"/>
      <c r="G212" s="1022"/>
      <c r="H212" s="1022"/>
      <c r="I212" s="1022"/>
      <c r="J212" s="1022"/>
      <c r="K212" s="1022"/>
      <c r="L212" s="1022"/>
      <c r="M212" s="1022"/>
    </row>
    <row r="213" spans="2:13" s="719" customFormat="1">
      <c r="B213" s="1022"/>
      <c r="C213" s="1022"/>
      <c r="D213" s="1022"/>
      <c r="E213" s="1022"/>
      <c r="F213" s="1022"/>
      <c r="G213" s="1022"/>
      <c r="H213" s="1022"/>
      <c r="I213" s="1022"/>
      <c r="J213" s="1022"/>
      <c r="K213" s="1022"/>
      <c r="L213" s="1022"/>
      <c r="M213" s="1022"/>
    </row>
    <row r="214" spans="2:13" s="719" customFormat="1">
      <c r="B214" s="1022"/>
      <c r="C214" s="1022"/>
      <c r="D214" s="1022"/>
      <c r="E214" s="1022"/>
      <c r="F214" s="1022"/>
      <c r="G214" s="1022"/>
      <c r="H214" s="1022"/>
      <c r="I214" s="1022"/>
      <c r="J214" s="1022"/>
      <c r="K214" s="1022"/>
      <c r="L214" s="1022"/>
      <c r="M214" s="1022"/>
    </row>
    <row r="215" spans="2:13" s="719" customFormat="1">
      <c r="B215" s="1022"/>
      <c r="C215" s="1022"/>
      <c r="D215" s="1022"/>
      <c r="E215" s="1022"/>
      <c r="F215" s="1022"/>
      <c r="G215" s="1022"/>
      <c r="H215" s="1022"/>
      <c r="I215" s="1022"/>
      <c r="J215" s="1022"/>
      <c r="K215" s="1022"/>
      <c r="L215" s="1022"/>
      <c r="M215" s="1022"/>
    </row>
    <row r="216" spans="2:13" s="719" customFormat="1">
      <c r="B216" s="1022"/>
      <c r="C216" s="1022"/>
      <c r="D216" s="1022"/>
      <c r="E216" s="1022"/>
      <c r="F216" s="1022"/>
      <c r="G216" s="1022"/>
      <c r="H216" s="1022"/>
      <c r="I216" s="1022"/>
      <c r="J216" s="1022"/>
      <c r="K216" s="1022"/>
      <c r="L216" s="1022"/>
      <c r="M216" s="1022"/>
    </row>
    <row r="217" spans="2:13" s="719" customFormat="1">
      <c r="B217" s="1022"/>
      <c r="C217" s="1022"/>
      <c r="D217" s="1022"/>
      <c r="E217" s="1022"/>
      <c r="F217" s="1022"/>
      <c r="G217" s="1022"/>
      <c r="H217" s="1022"/>
      <c r="I217" s="1022"/>
      <c r="J217" s="1022"/>
      <c r="K217" s="1022"/>
      <c r="L217" s="1022"/>
      <c r="M217" s="1022"/>
    </row>
    <row r="218" spans="2:13" s="719" customFormat="1">
      <c r="B218" s="1022"/>
      <c r="C218" s="1022"/>
      <c r="D218" s="1022"/>
      <c r="E218" s="1022"/>
      <c r="F218" s="1022"/>
      <c r="G218" s="1022"/>
      <c r="H218" s="1022"/>
      <c r="I218" s="1022"/>
      <c r="J218" s="1022"/>
      <c r="K218" s="1022"/>
      <c r="L218" s="1022"/>
      <c r="M218" s="1022"/>
    </row>
    <row r="219" spans="2:13" s="719" customFormat="1">
      <c r="B219" s="1022"/>
      <c r="C219" s="1022"/>
      <c r="D219" s="1022"/>
      <c r="E219" s="1022"/>
      <c r="F219" s="1022"/>
      <c r="G219" s="1022"/>
      <c r="H219" s="1022"/>
      <c r="I219" s="1022"/>
      <c r="J219" s="1022"/>
      <c r="K219" s="1022"/>
      <c r="L219" s="1022"/>
      <c r="M219" s="1022"/>
    </row>
    <row r="220" spans="2:13" s="719" customFormat="1">
      <c r="B220" s="1022"/>
      <c r="C220" s="1022"/>
      <c r="D220" s="1022"/>
      <c r="E220" s="1022"/>
      <c r="F220" s="1022"/>
      <c r="G220" s="1022"/>
      <c r="H220" s="1022"/>
      <c r="I220" s="1022"/>
      <c r="J220" s="1022"/>
      <c r="K220" s="1022"/>
      <c r="L220" s="1022"/>
      <c r="M220" s="1022"/>
    </row>
    <row r="221" spans="2:13" s="719" customFormat="1">
      <c r="B221" s="1022"/>
      <c r="C221" s="1022"/>
      <c r="D221" s="1022"/>
      <c r="E221" s="1022"/>
      <c r="F221" s="1022"/>
      <c r="G221" s="1022"/>
      <c r="H221" s="1022"/>
      <c r="I221" s="1022"/>
      <c r="J221" s="1022"/>
      <c r="K221" s="1022"/>
      <c r="L221" s="1022"/>
      <c r="M221" s="1022"/>
    </row>
    <row r="222" spans="2:13" s="719" customFormat="1">
      <c r="B222" s="1022"/>
      <c r="C222" s="1022"/>
      <c r="D222" s="1022"/>
      <c r="E222" s="1022"/>
      <c r="F222" s="1022"/>
      <c r="G222" s="1022"/>
      <c r="H222" s="1022"/>
      <c r="I222" s="1022"/>
      <c r="J222" s="1022"/>
      <c r="K222" s="1022"/>
      <c r="L222" s="1022"/>
      <c r="M222" s="1022"/>
    </row>
    <row r="223" spans="2:13" s="719" customFormat="1">
      <c r="B223" s="1022"/>
      <c r="C223" s="1022"/>
      <c r="D223" s="1022"/>
      <c r="E223" s="1022"/>
      <c r="F223" s="1022"/>
      <c r="G223" s="1022"/>
      <c r="H223" s="1022"/>
      <c r="I223" s="1022"/>
      <c r="J223" s="1022"/>
      <c r="K223" s="1022"/>
      <c r="L223" s="1022"/>
      <c r="M223" s="1022"/>
    </row>
    <row r="224" spans="2:13" s="719" customFormat="1">
      <c r="B224" s="1022"/>
      <c r="C224" s="1022"/>
      <c r="D224" s="1022"/>
      <c r="E224" s="1022"/>
      <c r="F224" s="1022"/>
      <c r="G224" s="1022"/>
      <c r="H224" s="1022"/>
      <c r="I224" s="1022"/>
      <c r="J224" s="1022"/>
      <c r="K224" s="1022"/>
      <c r="L224" s="1022"/>
      <c r="M224" s="1022"/>
    </row>
    <row r="225" spans="2:13" s="719" customFormat="1">
      <c r="B225" s="1022"/>
      <c r="C225" s="1022"/>
      <c r="D225" s="1022"/>
      <c r="E225" s="1022"/>
      <c r="F225" s="1022"/>
      <c r="G225" s="1022"/>
      <c r="H225" s="1022"/>
      <c r="I225" s="1022"/>
      <c r="J225" s="1022"/>
      <c r="K225" s="1022"/>
      <c r="L225" s="1022"/>
      <c r="M225" s="1022"/>
    </row>
    <row r="226" spans="2:13" s="719" customFormat="1">
      <c r="B226" s="1022"/>
      <c r="C226" s="1022"/>
      <c r="D226" s="1022"/>
      <c r="E226" s="1022"/>
      <c r="F226" s="1022"/>
      <c r="G226" s="1022"/>
      <c r="H226" s="1022"/>
      <c r="I226" s="1022"/>
      <c r="J226" s="1022"/>
      <c r="K226" s="1022"/>
      <c r="L226" s="1022"/>
      <c r="M226" s="1022"/>
    </row>
    <row r="227" spans="2:13" s="719" customFormat="1">
      <c r="B227" s="1022"/>
      <c r="C227" s="1022"/>
      <c r="D227" s="1022"/>
      <c r="E227" s="1022"/>
      <c r="F227" s="1022"/>
      <c r="G227" s="1022"/>
      <c r="H227" s="1022"/>
      <c r="I227" s="1022"/>
      <c r="J227" s="1022"/>
      <c r="K227" s="1022"/>
      <c r="L227" s="1022"/>
      <c r="M227" s="1022"/>
    </row>
    <row r="228" spans="2:13" s="719" customFormat="1">
      <c r="B228" s="1022"/>
      <c r="C228" s="1022"/>
      <c r="D228" s="1022"/>
      <c r="E228" s="1022"/>
      <c r="F228" s="1022"/>
      <c r="G228" s="1022"/>
      <c r="H228" s="1022"/>
      <c r="I228" s="1022"/>
      <c r="J228" s="1022"/>
      <c r="K228" s="1022"/>
      <c r="L228" s="1022"/>
      <c r="M228" s="1022"/>
    </row>
    <row r="229" spans="2:13" s="719" customFormat="1">
      <c r="B229" s="1022"/>
      <c r="C229" s="1022"/>
      <c r="D229" s="1022"/>
      <c r="E229" s="1022"/>
      <c r="F229" s="1022"/>
      <c r="G229" s="1022"/>
      <c r="H229" s="1022"/>
      <c r="I229" s="1022"/>
      <c r="J229" s="1022"/>
      <c r="K229" s="1022"/>
      <c r="L229" s="1022"/>
      <c r="M229" s="1022"/>
    </row>
    <row r="230" spans="2:13" s="719" customFormat="1">
      <c r="B230" s="1022"/>
      <c r="C230" s="1022"/>
      <c r="D230" s="1022"/>
      <c r="E230" s="1022"/>
      <c r="F230" s="1022"/>
      <c r="G230" s="1022"/>
      <c r="H230" s="1022"/>
      <c r="I230" s="1022"/>
      <c r="J230" s="1022"/>
      <c r="K230" s="1022"/>
      <c r="L230" s="1022"/>
      <c r="M230" s="1022"/>
    </row>
    <row r="231" spans="2:13" s="719" customFormat="1">
      <c r="B231" s="1022"/>
      <c r="C231" s="1022"/>
      <c r="D231" s="1022"/>
      <c r="E231" s="1022"/>
      <c r="F231" s="1022"/>
      <c r="G231" s="1022"/>
      <c r="H231" s="1022"/>
      <c r="I231" s="1022"/>
      <c r="J231" s="1022"/>
      <c r="K231" s="1022"/>
      <c r="L231" s="1022"/>
      <c r="M231" s="1022"/>
    </row>
    <row r="232" spans="2:13" s="719" customFormat="1">
      <c r="B232" s="1022"/>
      <c r="C232" s="1022"/>
      <c r="D232" s="1022"/>
      <c r="E232" s="1022"/>
      <c r="F232" s="1022"/>
      <c r="G232" s="1022"/>
      <c r="H232" s="1022"/>
      <c r="I232" s="1022"/>
      <c r="J232" s="1022"/>
      <c r="K232" s="1022"/>
      <c r="L232" s="1022"/>
      <c r="M232" s="1022"/>
    </row>
    <row r="233" spans="2:13" s="719" customFormat="1">
      <c r="B233" s="1022"/>
      <c r="C233" s="1022"/>
      <c r="D233" s="1022"/>
      <c r="E233" s="1022"/>
      <c r="F233" s="1022"/>
      <c r="G233" s="1022"/>
      <c r="H233" s="1022"/>
      <c r="I233" s="1022"/>
      <c r="J233" s="1022"/>
      <c r="K233" s="1022"/>
      <c r="L233" s="1022"/>
      <c r="M233" s="1022"/>
    </row>
    <row r="234" spans="2:13" s="719" customFormat="1">
      <c r="B234" s="1022"/>
      <c r="C234" s="1022"/>
      <c r="D234" s="1022"/>
      <c r="E234" s="1022"/>
      <c r="F234" s="1022"/>
      <c r="G234" s="1022"/>
      <c r="H234" s="1022"/>
      <c r="I234" s="1022"/>
      <c r="J234" s="1022"/>
      <c r="K234" s="1022"/>
      <c r="L234" s="1022"/>
      <c r="M234" s="1022"/>
    </row>
    <row r="235" spans="2:13" s="719" customFormat="1">
      <c r="B235" s="1022"/>
      <c r="C235" s="1022"/>
      <c r="D235" s="1022"/>
      <c r="E235" s="1022"/>
      <c r="F235" s="1022"/>
      <c r="G235" s="1022"/>
      <c r="H235" s="1022"/>
      <c r="I235" s="1022"/>
      <c r="J235" s="1022"/>
      <c r="K235" s="1022"/>
      <c r="L235" s="1022"/>
      <c r="M235" s="1022"/>
    </row>
    <row r="236" spans="2:13" s="719" customFormat="1">
      <c r="B236" s="1022"/>
      <c r="C236" s="1022"/>
      <c r="D236" s="1022"/>
      <c r="E236" s="1022"/>
      <c r="F236" s="1022"/>
      <c r="G236" s="1022"/>
      <c r="H236" s="1022"/>
      <c r="I236" s="1022"/>
      <c r="J236" s="1022"/>
      <c r="K236" s="1022"/>
      <c r="L236" s="1022"/>
      <c r="M236" s="1022"/>
    </row>
    <row r="237" spans="2:13" s="719" customFormat="1">
      <c r="B237" s="1022"/>
      <c r="C237" s="1022"/>
      <c r="D237" s="1022"/>
      <c r="E237" s="1022"/>
      <c r="F237" s="1022"/>
      <c r="G237" s="1022"/>
      <c r="H237" s="1022"/>
      <c r="I237" s="1022"/>
      <c r="J237" s="1022"/>
      <c r="K237" s="1022"/>
      <c r="L237" s="1022"/>
      <c r="M237" s="1022"/>
    </row>
    <row r="238" spans="2:13" s="719" customFormat="1">
      <c r="B238" s="1022"/>
      <c r="C238" s="1022"/>
      <c r="D238" s="1022"/>
      <c r="E238" s="1022"/>
      <c r="F238" s="1022"/>
      <c r="G238" s="1022"/>
      <c r="H238" s="1022"/>
      <c r="I238" s="1022"/>
      <c r="J238" s="1022"/>
      <c r="K238" s="1022"/>
      <c r="L238" s="1022"/>
      <c r="M238" s="1022"/>
    </row>
    <row r="239" spans="2:13" s="719" customFormat="1">
      <c r="B239" s="1022"/>
      <c r="C239" s="1022"/>
      <c r="D239" s="1022"/>
      <c r="E239" s="1022"/>
      <c r="F239" s="1022"/>
      <c r="G239" s="1022"/>
      <c r="H239" s="1022"/>
      <c r="I239" s="1022"/>
      <c r="J239" s="1022"/>
      <c r="K239" s="1022"/>
      <c r="L239" s="1022"/>
      <c r="M239" s="1022"/>
    </row>
    <row r="240" spans="2:13" s="719" customFormat="1">
      <c r="B240" s="1022"/>
      <c r="C240" s="1022"/>
      <c r="D240" s="1022"/>
      <c r="E240" s="1022"/>
      <c r="F240" s="1022"/>
      <c r="G240" s="1022"/>
      <c r="H240" s="1022"/>
      <c r="I240" s="1022"/>
      <c r="J240" s="1022"/>
      <c r="K240" s="1022"/>
      <c r="L240" s="1022"/>
      <c r="M240" s="1022"/>
    </row>
    <row r="241" spans="2:13" s="719" customFormat="1">
      <c r="B241" s="1022"/>
      <c r="C241" s="1022"/>
      <c r="D241" s="1022"/>
      <c r="E241" s="1022"/>
      <c r="F241" s="1022"/>
      <c r="G241" s="1022"/>
      <c r="H241" s="1022"/>
      <c r="I241" s="1022"/>
      <c r="J241" s="1022"/>
      <c r="K241" s="1022"/>
      <c r="L241" s="1022"/>
      <c r="M241" s="1022"/>
    </row>
    <row r="242" spans="2:13" s="719" customFormat="1">
      <c r="B242" s="1022"/>
      <c r="C242" s="1022"/>
      <c r="D242" s="1022"/>
      <c r="E242" s="1022"/>
      <c r="F242" s="1022"/>
      <c r="G242" s="1022"/>
      <c r="H242" s="1022"/>
      <c r="I242" s="1022"/>
      <c r="J242" s="1022"/>
      <c r="K242" s="1022"/>
      <c r="L242" s="1022"/>
      <c r="M242" s="1022"/>
    </row>
    <row r="243" spans="2:13" s="719" customFormat="1">
      <c r="B243" s="1022"/>
      <c r="C243" s="1022"/>
      <c r="D243" s="1022"/>
      <c r="E243" s="1022"/>
      <c r="F243" s="1022"/>
      <c r="G243" s="1022"/>
      <c r="H243" s="1022"/>
      <c r="I243" s="1022"/>
      <c r="J243" s="1022"/>
      <c r="K243" s="1022"/>
      <c r="L243" s="1022"/>
      <c r="M243" s="1022"/>
    </row>
    <row r="244" spans="2:13" s="719" customFormat="1">
      <c r="B244" s="1022"/>
      <c r="C244" s="1022"/>
      <c r="D244" s="1022"/>
      <c r="E244" s="1022"/>
      <c r="F244" s="1022"/>
      <c r="G244" s="1022"/>
      <c r="H244" s="1022"/>
      <c r="I244" s="1022"/>
      <c r="J244" s="1022"/>
      <c r="K244" s="1022"/>
      <c r="L244" s="1022"/>
      <c r="M244" s="1022"/>
    </row>
    <row r="245" spans="2:13" s="719" customFormat="1">
      <c r="B245" s="1022"/>
      <c r="C245" s="1022"/>
      <c r="D245" s="1022"/>
      <c r="E245" s="1022"/>
      <c r="F245" s="1022"/>
      <c r="G245" s="1022"/>
      <c r="H245" s="1022"/>
      <c r="I245" s="1022"/>
      <c r="J245" s="1022"/>
      <c r="K245" s="1022"/>
      <c r="L245" s="1022"/>
      <c r="M245" s="1022"/>
    </row>
    <row r="246" spans="2:13" s="719" customFormat="1">
      <c r="B246" s="1022"/>
      <c r="C246" s="1022"/>
      <c r="D246" s="1022"/>
      <c r="E246" s="1022"/>
      <c r="F246" s="1022"/>
      <c r="G246" s="1022"/>
      <c r="H246" s="1022"/>
      <c r="I246" s="1022"/>
      <c r="J246" s="1022"/>
      <c r="K246" s="1022"/>
      <c r="L246" s="1022"/>
      <c r="M246" s="1022"/>
    </row>
    <row r="247" spans="2:13" s="719" customFormat="1">
      <c r="B247" s="1022"/>
      <c r="C247" s="1022"/>
      <c r="D247" s="1022"/>
      <c r="E247" s="1022"/>
      <c r="F247" s="1022"/>
      <c r="G247" s="1022"/>
      <c r="H247" s="1022"/>
      <c r="I247" s="1022"/>
      <c r="J247" s="1022"/>
      <c r="K247" s="1022"/>
      <c r="L247" s="1022"/>
      <c r="M247" s="1022"/>
    </row>
    <row r="248" spans="2:13" s="719" customFormat="1">
      <c r="B248" s="1022"/>
      <c r="C248" s="1022"/>
      <c r="D248" s="1022"/>
      <c r="E248" s="1022"/>
      <c r="F248" s="1022"/>
      <c r="G248" s="1022"/>
      <c r="H248" s="1022"/>
      <c r="I248" s="1022"/>
      <c r="J248" s="1022"/>
      <c r="K248" s="1022"/>
      <c r="L248" s="1022"/>
      <c r="M248" s="1022"/>
    </row>
    <row r="249" spans="2:13" s="719" customFormat="1">
      <c r="B249" s="1022"/>
      <c r="C249" s="1022"/>
      <c r="D249" s="1022"/>
      <c r="E249" s="1022"/>
      <c r="F249" s="1022"/>
      <c r="G249" s="1022"/>
      <c r="H249" s="1022"/>
      <c r="I249" s="1022"/>
      <c r="J249" s="1022"/>
      <c r="K249" s="1022"/>
      <c r="L249" s="1022"/>
      <c r="M249" s="1022"/>
    </row>
    <row r="250" spans="2:13" s="719" customFormat="1">
      <c r="B250" s="1022"/>
      <c r="C250" s="1022"/>
      <c r="D250" s="1022"/>
      <c r="E250" s="1022"/>
      <c r="F250" s="1022"/>
      <c r="G250" s="1022"/>
      <c r="H250" s="1022"/>
      <c r="I250" s="1022"/>
      <c r="J250" s="1022"/>
      <c r="K250" s="1022"/>
      <c r="L250" s="1022"/>
      <c r="M250" s="1022"/>
    </row>
    <row r="251" spans="2:13" s="719" customFormat="1">
      <c r="B251" s="1022"/>
      <c r="C251" s="1022"/>
      <c r="D251" s="1022"/>
      <c r="E251" s="1022"/>
      <c r="F251" s="1022"/>
      <c r="G251" s="1022"/>
      <c r="H251" s="1022"/>
      <c r="I251" s="1022"/>
      <c r="J251" s="1022"/>
      <c r="K251" s="1022"/>
      <c r="L251" s="1022"/>
      <c r="M251" s="1022"/>
    </row>
    <row r="252" spans="2:13" s="719" customFormat="1"/>
    <row r="253" spans="2:13" s="719" customFormat="1" hidden="1"/>
    <row r="254" spans="2:13" s="719" customFormat="1" hidden="1"/>
    <row r="255" spans="2:13" s="719" customFormat="1" hidden="1"/>
    <row r="256" spans="2:13" s="719" customFormat="1" hidden="1"/>
    <row r="257" s="719" customFormat="1" hidden="1"/>
    <row r="258" s="719" customFormat="1" hidden="1"/>
    <row r="259" s="719" customFormat="1" hidden="1"/>
    <row r="260" s="719" customFormat="1" hidden="1"/>
    <row r="261" s="719" customFormat="1" hidden="1"/>
    <row r="262" s="719" customFormat="1" hidden="1"/>
    <row r="263" s="719" customFormat="1" hidden="1"/>
    <row r="264" s="719" customFormat="1" hidden="1"/>
    <row r="265" s="719" customFormat="1" hidden="1"/>
    <row r="266" s="719" customFormat="1" hidden="1"/>
    <row r="267" s="719" customFormat="1" hidden="1"/>
    <row r="268" s="719" customFormat="1" hidden="1"/>
    <row r="269" s="719" customFormat="1" hidden="1"/>
    <row r="270" s="719" customFormat="1" hidden="1"/>
    <row r="271" s="719" customFormat="1" hidden="1"/>
    <row r="272" s="719" customFormat="1" hidden="1"/>
    <row r="273" s="719" customFormat="1" hidden="1"/>
    <row r="274" s="719" customFormat="1" hidden="1"/>
    <row r="275" s="719" customFormat="1" hidden="1"/>
    <row r="276" s="719" customFormat="1" hidden="1"/>
    <row r="277" s="719" customFormat="1" hidden="1"/>
    <row r="278" s="719" customFormat="1" hidden="1"/>
    <row r="279" s="719" customFormat="1" hidden="1"/>
    <row r="280" s="719" customFormat="1" hidden="1"/>
    <row r="281" s="719" customFormat="1" hidden="1"/>
    <row r="282" s="719" customFormat="1" hidden="1"/>
    <row r="283" s="719" customFormat="1" hidden="1"/>
    <row r="284" s="719" customFormat="1" hidden="1"/>
    <row r="285" s="719" customFormat="1" hidden="1"/>
    <row r="286" s="719" customFormat="1" hidden="1"/>
    <row r="287" s="719" customFormat="1" hidden="1"/>
    <row r="288" s="719" customFormat="1" hidden="1"/>
    <row r="289" s="719" customFormat="1" hidden="1"/>
    <row r="290" s="719" customFormat="1" hidden="1"/>
    <row r="291" s="719" customFormat="1" hidden="1"/>
    <row r="292" s="719" customFormat="1" hidden="1"/>
    <row r="293" s="719" customFormat="1" hidden="1"/>
    <row r="294" s="719" customFormat="1" hidden="1"/>
    <row r="295" s="719" customFormat="1" hidden="1"/>
    <row r="296" s="719" customFormat="1" hidden="1"/>
    <row r="297" s="719" customFormat="1" hidden="1"/>
    <row r="298" s="719" customFormat="1" hidden="1"/>
    <row r="299" s="719" customFormat="1" hidden="1"/>
    <row r="300" s="719" customFormat="1" hidden="1"/>
    <row r="301" s="719" customFormat="1" hidden="1"/>
    <row r="302" s="719" customFormat="1" hidden="1"/>
    <row r="303" s="719" customFormat="1" hidden="1"/>
    <row r="304" s="719" customFormat="1" hidden="1"/>
    <row r="305" s="719" customFormat="1" hidden="1"/>
    <row r="306" s="719" customFormat="1" hidden="1"/>
    <row r="307" s="719" customFormat="1" hidden="1"/>
    <row r="308" s="719" customFormat="1" hidden="1"/>
    <row r="309" s="719" customFormat="1" hidden="1"/>
    <row r="310" s="719" customFormat="1" hidden="1"/>
    <row r="311" s="719" customFormat="1" hidden="1"/>
    <row r="312" s="719" customFormat="1" hidden="1"/>
    <row r="313" s="719" customFormat="1" hidden="1"/>
    <row r="314" s="719" customFormat="1" hidden="1"/>
    <row r="315" s="719" customFormat="1" hidden="1"/>
    <row r="316" s="719" customFormat="1" hidden="1"/>
    <row r="317" s="719" customFormat="1" hidden="1"/>
    <row r="318" s="719" customFormat="1" hidden="1"/>
    <row r="319" s="719" customFormat="1" hidden="1"/>
    <row r="320" s="719" customFormat="1" hidden="1"/>
    <row r="321" spans="1:14" s="719" customFormat="1" hidden="1"/>
    <row r="322" spans="1:14" s="719" customFormat="1" hidden="1"/>
    <row r="323" spans="1:14" s="719" customFormat="1" hidden="1"/>
    <row r="324" spans="1:14" s="719" customFormat="1" hidden="1"/>
    <row r="325" spans="1:14" s="719" customFormat="1" hidden="1"/>
    <row r="326" spans="1:14" s="719" customFormat="1" hidden="1"/>
    <row r="327" spans="1:14" s="719" customFormat="1" hidden="1"/>
    <row r="328" spans="1:14" s="719" customFormat="1" hidden="1"/>
    <row r="329" spans="1:14" s="719" customFormat="1" hidden="1"/>
    <row r="330" spans="1:14" s="719" customFormat="1" hidden="1"/>
    <row r="331" spans="1:14" s="719" customFormat="1" hidden="1"/>
    <row r="332" spans="1:14" hidden="1">
      <c r="A332" s="719"/>
      <c r="B332" s="719"/>
      <c r="C332" s="719"/>
      <c r="D332" s="719"/>
      <c r="E332" s="719"/>
      <c r="F332" s="719"/>
      <c r="G332" s="719"/>
      <c r="H332" s="719"/>
      <c r="I332" s="719"/>
      <c r="J332" s="719"/>
      <c r="K332" s="719"/>
      <c r="L332" s="719"/>
      <c r="M332" s="719"/>
      <c r="N332" s="719"/>
    </row>
    <row r="333" spans="1:14" hidden="1">
      <c r="A333" s="719"/>
      <c r="B333" s="719"/>
      <c r="C333" s="719"/>
      <c r="D333" s="719"/>
      <c r="E333" s="719"/>
      <c r="F333" s="719"/>
      <c r="G333" s="719"/>
      <c r="H333" s="719"/>
      <c r="I333" s="719"/>
      <c r="J333" s="719"/>
      <c r="K333" s="719"/>
      <c r="L333" s="719"/>
      <c r="M333" s="719"/>
      <c r="N333" s="719"/>
    </row>
    <row r="334" spans="1:14" hidden="1">
      <c r="A334" s="719"/>
      <c r="B334" s="719"/>
      <c r="C334" s="719"/>
      <c r="D334" s="719"/>
      <c r="E334" s="719"/>
      <c r="F334" s="719"/>
      <c r="G334" s="719"/>
      <c r="H334" s="719"/>
      <c r="I334" s="719"/>
      <c r="J334" s="719"/>
      <c r="K334" s="719"/>
      <c r="L334" s="719"/>
      <c r="M334" s="719"/>
      <c r="N334" s="719"/>
    </row>
    <row r="335" spans="1:14" hidden="1">
      <c r="A335" s="719"/>
      <c r="B335" s="719"/>
      <c r="C335" s="719"/>
      <c r="D335" s="719"/>
      <c r="E335" s="719"/>
      <c r="F335" s="719"/>
      <c r="G335" s="719"/>
      <c r="H335" s="719"/>
      <c r="I335" s="719"/>
      <c r="J335" s="719"/>
      <c r="K335" s="719"/>
      <c r="L335" s="719"/>
      <c r="M335" s="719"/>
      <c r="N335" s="719"/>
    </row>
    <row r="336" spans="1:14" hidden="1">
      <c r="A336" s="719"/>
      <c r="B336" s="719"/>
      <c r="C336" s="719"/>
      <c r="D336" s="719"/>
      <c r="E336" s="719"/>
      <c r="F336" s="719"/>
      <c r="G336" s="719"/>
      <c r="H336" s="719"/>
      <c r="I336" s="719"/>
      <c r="J336" s="719"/>
      <c r="K336" s="719"/>
      <c r="L336" s="719"/>
      <c r="M336" s="719"/>
      <c r="N336" s="719"/>
    </row>
    <row r="337" spans="1:14" hidden="1">
      <c r="A337" s="719"/>
      <c r="B337" s="719"/>
      <c r="C337" s="719"/>
      <c r="D337" s="719"/>
      <c r="E337" s="719"/>
      <c r="F337" s="719"/>
      <c r="G337" s="719"/>
      <c r="H337" s="719"/>
      <c r="I337" s="719"/>
      <c r="J337" s="719"/>
      <c r="K337" s="719"/>
      <c r="L337" s="719"/>
      <c r="M337" s="719"/>
      <c r="N337" s="719"/>
    </row>
    <row r="338" spans="1:14" hidden="1">
      <c r="A338" s="719"/>
      <c r="B338" s="719"/>
      <c r="C338" s="719"/>
      <c r="D338" s="719"/>
      <c r="E338" s="719"/>
      <c r="F338" s="719"/>
      <c r="G338" s="719"/>
      <c r="H338" s="719"/>
      <c r="I338" s="719"/>
      <c r="J338" s="719"/>
      <c r="K338" s="719"/>
      <c r="L338" s="719"/>
      <c r="M338" s="719"/>
      <c r="N338" s="719"/>
    </row>
    <row r="339" spans="1:14" hidden="1">
      <c r="A339" s="719"/>
      <c r="B339" s="719"/>
      <c r="C339" s="719"/>
      <c r="D339" s="719"/>
      <c r="E339" s="719"/>
      <c r="F339" s="719"/>
      <c r="G339" s="719"/>
      <c r="H339" s="719"/>
      <c r="I339" s="719"/>
      <c r="J339" s="719"/>
      <c r="K339" s="719"/>
      <c r="L339" s="719"/>
      <c r="M339" s="719"/>
      <c r="N339" s="719"/>
    </row>
    <row r="340" spans="1:14" hidden="1">
      <c r="A340" s="719"/>
      <c r="B340" s="719"/>
      <c r="C340" s="719"/>
      <c r="D340" s="719"/>
      <c r="E340" s="719"/>
      <c r="F340" s="719"/>
      <c r="G340" s="719"/>
      <c r="H340" s="719"/>
      <c r="I340" s="719"/>
      <c r="J340" s="719"/>
      <c r="K340" s="719"/>
      <c r="L340" s="719"/>
      <c r="M340" s="719"/>
      <c r="N340" s="719"/>
    </row>
    <row r="341" spans="1:14" hidden="1">
      <c r="A341" s="719"/>
      <c r="B341" s="719"/>
      <c r="C341" s="719"/>
      <c r="D341" s="719"/>
      <c r="E341" s="719"/>
      <c r="F341" s="719"/>
      <c r="G341" s="719"/>
      <c r="H341" s="719"/>
      <c r="I341" s="719"/>
      <c r="J341" s="719"/>
      <c r="K341" s="719"/>
      <c r="L341" s="719"/>
      <c r="M341" s="719"/>
      <c r="N341" s="719"/>
    </row>
    <row r="342" spans="1:14" hidden="1">
      <c r="A342" s="719"/>
      <c r="B342" s="719"/>
      <c r="C342" s="719"/>
      <c r="D342" s="719"/>
      <c r="E342" s="719"/>
      <c r="F342" s="719"/>
      <c r="G342" s="719"/>
      <c r="H342" s="719"/>
      <c r="I342" s="719"/>
      <c r="J342" s="719"/>
      <c r="K342" s="719"/>
      <c r="L342" s="719"/>
      <c r="M342" s="719"/>
      <c r="N342" s="719"/>
    </row>
    <row r="343" spans="1:14" hidden="1">
      <c r="A343" s="719"/>
      <c r="B343" s="719"/>
      <c r="C343" s="719"/>
      <c r="D343" s="719"/>
      <c r="E343" s="719"/>
      <c r="F343" s="719"/>
      <c r="G343" s="719"/>
      <c r="H343" s="719"/>
      <c r="I343" s="719"/>
      <c r="J343" s="719"/>
      <c r="K343" s="719"/>
      <c r="L343" s="719"/>
      <c r="M343" s="719"/>
      <c r="N343" s="719"/>
    </row>
    <row r="344" spans="1:14" hidden="1">
      <c r="A344" s="719"/>
      <c r="B344" s="719"/>
      <c r="C344" s="719"/>
      <c r="D344" s="719"/>
      <c r="E344" s="719"/>
      <c r="F344" s="719"/>
      <c r="G344" s="719"/>
      <c r="H344" s="719"/>
      <c r="I344" s="719"/>
      <c r="J344" s="719"/>
      <c r="K344" s="719"/>
      <c r="L344" s="719"/>
      <c r="M344" s="719"/>
      <c r="N344" s="719"/>
    </row>
    <row r="345" spans="1:14" hidden="1">
      <c r="A345" s="719"/>
      <c r="B345" s="719"/>
      <c r="C345" s="719"/>
      <c r="D345" s="719"/>
      <c r="E345" s="719"/>
      <c r="F345" s="719"/>
      <c r="G345" s="719"/>
      <c r="H345" s="719"/>
      <c r="I345" s="719"/>
      <c r="J345" s="719"/>
      <c r="K345" s="719"/>
      <c r="L345" s="719"/>
      <c r="M345" s="719"/>
      <c r="N345" s="719"/>
    </row>
    <row r="346" spans="1:14" hidden="1">
      <c r="A346" s="719"/>
      <c r="B346" s="719"/>
      <c r="C346" s="719"/>
      <c r="D346" s="719"/>
      <c r="E346" s="719"/>
      <c r="F346" s="719"/>
      <c r="G346" s="719"/>
      <c r="H346" s="719"/>
      <c r="I346" s="719"/>
      <c r="J346" s="719"/>
      <c r="K346" s="719"/>
      <c r="L346" s="719"/>
      <c r="M346" s="719"/>
      <c r="N346" s="719"/>
    </row>
    <row r="347" spans="1:14" hidden="1">
      <c r="A347" s="719"/>
      <c r="B347" s="719"/>
      <c r="C347" s="719"/>
      <c r="D347" s="719"/>
      <c r="E347" s="719"/>
      <c r="F347" s="719"/>
      <c r="G347" s="719"/>
      <c r="H347" s="719"/>
      <c r="I347" s="719"/>
      <c r="J347" s="719"/>
      <c r="K347" s="719"/>
      <c r="L347" s="719"/>
      <c r="M347" s="719"/>
      <c r="N347" s="719"/>
    </row>
    <row r="348" spans="1:14" hidden="1">
      <c r="A348" s="719"/>
      <c r="B348" s="719"/>
      <c r="C348" s="719"/>
      <c r="D348" s="719"/>
      <c r="E348" s="719"/>
      <c r="F348" s="719"/>
      <c r="G348" s="719"/>
      <c r="H348" s="719"/>
      <c r="I348" s="719"/>
      <c r="J348" s="719"/>
      <c r="K348" s="719"/>
      <c r="L348" s="719"/>
      <c r="M348" s="719"/>
      <c r="N348" s="719"/>
    </row>
    <row r="349" spans="1:14" hidden="1">
      <c r="A349" s="719"/>
      <c r="B349" s="719"/>
      <c r="C349" s="719"/>
      <c r="D349" s="719"/>
      <c r="E349" s="719"/>
      <c r="F349" s="719"/>
      <c r="G349" s="719"/>
      <c r="H349" s="719"/>
      <c r="I349" s="719"/>
      <c r="J349" s="719"/>
      <c r="K349" s="719"/>
      <c r="L349" s="719"/>
      <c r="M349" s="719"/>
      <c r="N349" s="719"/>
    </row>
    <row r="350" spans="1:14" hidden="1">
      <c r="A350" s="719"/>
      <c r="B350" s="719"/>
      <c r="C350" s="719"/>
      <c r="D350" s="719"/>
      <c r="E350" s="719"/>
      <c r="F350" s="719"/>
      <c r="G350" s="719"/>
      <c r="H350" s="719"/>
      <c r="I350" s="719"/>
      <c r="J350" s="719"/>
      <c r="K350" s="719"/>
      <c r="L350" s="719"/>
      <c r="M350" s="719"/>
      <c r="N350" s="719"/>
    </row>
    <row r="351" spans="1:14" hidden="1">
      <c r="A351" s="719"/>
      <c r="B351" s="719"/>
      <c r="C351" s="719"/>
      <c r="D351" s="719"/>
      <c r="E351" s="719"/>
      <c r="F351" s="719"/>
      <c r="G351" s="719"/>
      <c r="H351" s="719"/>
      <c r="I351" s="719"/>
      <c r="J351" s="719"/>
      <c r="K351" s="719"/>
      <c r="L351" s="719"/>
      <c r="M351" s="719"/>
      <c r="N351" s="719"/>
    </row>
    <row r="352" spans="1:14" hidden="1">
      <c r="A352" s="719"/>
      <c r="B352" s="719"/>
      <c r="C352" s="719"/>
      <c r="D352" s="719"/>
      <c r="E352" s="719"/>
      <c r="F352" s="719"/>
      <c r="G352" s="719"/>
      <c r="H352" s="719"/>
      <c r="I352" s="719"/>
      <c r="J352" s="719"/>
      <c r="K352" s="719"/>
      <c r="L352" s="719"/>
      <c r="M352" s="719"/>
      <c r="N352" s="719"/>
    </row>
    <row r="353" spans="1:14" hidden="1">
      <c r="A353" s="719"/>
      <c r="B353" s="719"/>
      <c r="C353" s="719"/>
      <c r="D353" s="719"/>
      <c r="E353" s="719"/>
      <c r="F353" s="719"/>
      <c r="G353" s="719"/>
      <c r="H353" s="719"/>
      <c r="I353" s="719"/>
      <c r="J353" s="719"/>
      <c r="K353" s="719"/>
      <c r="L353" s="719"/>
      <c r="M353" s="719"/>
      <c r="N353" s="719"/>
    </row>
    <row r="354" spans="1:14" hidden="1">
      <c r="A354" s="719"/>
      <c r="B354" s="719"/>
      <c r="C354" s="719"/>
      <c r="D354" s="719"/>
      <c r="E354" s="719"/>
      <c r="F354" s="719"/>
      <c r="G354" s="719"/>
      <c r="H354" s="719"/>
      <c r="I354" s="719"/>
      <c r="J354" s="719"/>
      <c r="K354" s="719"/>
      <c r="L354" s="719"/>
      <c r="M354" s="719"/>
      <c r="N354" s="719"/>
    </row>
    <row r="355" spans="1:14" hidden="1">
      <c r="A355" s="719"/>
      <c r="B355" s="719"/>
      <c r="C355" s="719"/>
      <c r="D355" s="719"/>
      <c r="E355" s="719"/>
      <c r="F355" s="719"/>
      <c r="G355" s="719"/>
      <c r="H355" s="719"/>
      <c r="I355" s="719"/>
      <c r="J355" s="719"/>
      <c r="K355" s="719"/>
      <c r="L355" s="719"/>
      <c r="M355" s="719"/>
      <c r="N355" s="719"/>
    </row>
    <row r="356" spans="1:14" hidden="1">
      <c r="A356" s="719"/>
      <c r="B356" s="719"/>
      <c r="C356" s="719"/>
      <c r="D356" s="719"/>
      <c r="E356" s="719"/>
      <c r="F356" s="719"/>
      <c r="G356" s="719"/>
      <c r="H356" s="719"/>
      <c r="I356" s="719"/>
      <c r="J356" s="719"/>
      <c r="K356" s="719"/>
      <c r="L356" s="719"/>
      <c r="M356" s="719"/>
      <c r="N356" s="719"/>
    </row>
    <row r="357" spans="1:14" hidden="1">
      <c r="A357" s="719"/>
      <c r="B357" s="719"/>
      <c r="C357" s="719"/>
      <c r="D357" s="719"/>
      <c r="E357" s="719"/>
      <c r="F357" s="719"/>
      <c r="G357" s="719"/>
      <c r="H357" s="719"/>
      <c r="I357" s="719"/>
      <c r="J357" s="719"/>
      <c r="K357" s="719"/>
      <c r="L357" s="719"/>
      <c r="M357" s="719"/>
      <c r="N357" s="719"/>
    </row>
    <row r="358" spans="1:14" hidden="1">
      <c r="A358" s="719"/>
      <c r="B358" s="719"/>
      <c r="C358" s="719"/>
      <c r="D358" s="719"/>
      <c r="E358" s="719"/>
      <c r="F358" s="719"/>
      <c r="G358" s="719"/>
      <c r="H358" s="719"/>
      <c r="I358" s="719"/>
      <c r="J358" s="719"/>
      <c r="K358" s="719"/>
      <c r="L358" s="719"/>
      <c r="M358" s="719"/>
      <c r="N358" s="719"/>
    </row>
    <row r="359" spans="1:14" hidden="1">
      <c r="A359" s="719"/>
      <c r="B359" s="719"/>
      <c r="C359" s="719"/>
      <c r="D359" s="719"/>
      <c r="E359" s="719"/>
      <c r="F359" s="719"/>
      <c r="G359" s="719"/>
      <c r="H359" s="719"/>
      <c r="I359" s="719"/>
      <c r="J359" s="719"/>
      <c r="K359" s="719"/>
      <c r="L359" s="719"/>
      <c r="M359" s="719"/>
      <c r="N359" s="719"/>
    </row>
    <row r="360" spans="1:14" hidden="1">
      <c r="A360" s="719"/>
      <c r="B360" s="719"/>
      <c r="C360" s="719"/>
      <c r="D360" s="719"/>
      <c r="E360" s="719"/>
      <c r="F360" s="719"/>
      <c r="G360" s="719"/>
      <c r="H360" s="719"/>
      <c r="I360" s="719"/>
      <c r="J360" s="719"/>
      <c r="K360" s="719"/>
      <c r="L360" s="719"/>
      <c r="M360" s="719"/>
      <c r="N360" s="719"/>
    </row>
    <row r="361" spans="1:14" hidden="1">
      <c r="A361" s="719"/>
      <c r="B361" s="719"/>
      <c r="C361" s="719"/>
      <c r="D361" s="719"/>
      <c r="E361" s="719"/>
      <c r="F361" s="719"/>
      <c r="G361" s="719"/>
      <c r="H361" s="719"/>
      <c r="I361" s="719"/>
      <c r="J361" s="719"/>
      <c r="K361" s="719"/>
      <c r="L361" s="719"/>
      <c r="M361" s="719"/>
      <c r="N361" s="719"/>
    </row>
    <row r="362" spans="1:14" hidden="1">
      <c r="A362" s="719"/>
      <c r="B362" s="719"/>
      <c r="C362" s="719"/>
      <c r="D362" s="719"/>
      <c r="E362" s="719"/>
      <c r="F362" s="719"/>
      <c r="G362" s="719"/>
      <c r="H362" s="719"/>
      <c r="I362" s="719"/>
      <c r="J362" s="719"/>
      <c r="K362" s="719"/>
      <c r="L362" s="719"/>
      <c r="M362" s="719"/>
      <c r="N362" s="719"/>
    </row>
    <row r="363" spans="1:14" hidden="1">
      <c r="A363" s="719"/>
      <c r="B363" s="719"/>
      <c r="C363" s="719"/>
      <c r="D363" s="719"/>
      <c r="E363" s="719"/>
      <c r="F363" s="719"/>
      <c r="G363" s="719"/>
      <c r="H363" s="719"/>
      <c r="I363" s="719"/>
      <c r="J363" s="719"/>
      <c r="K363" s="719"/>
      <c r="L363" s="719"/>
      <c r="M363" s="719"/>
      <c r="N363" s="719"/>
    </row>
    <row r="364" spans="1:14" hidden="1">
      <c r="A364" s="719"/>
      <c r="B364" s="719"/>
      <c r="C364" s="719"/>
      <c r="D364" s="719"/>
      <c r="E364" s="719"/>
      <c r="F364" s="719"/>
      <c r="G364" s="719"/>
      <c r="H364" s="719"/>
      <c r="I364" s="719"/>
      <c r="J364" s="719"/>
      <c r="K364" s="719"/>
      <c r="L364" s="719"/>
      <c r="M364" s="719"/>
      <c r="N364" s="719"/>
    </row>
    <row r="365" spans="1:14" hidden="1">
      <c r="A365" s="719"/>
      <c r="B365" s="719"/>
      <c r="C365" s="719"/>
      <c r="D365" s="719"/>
      <c r="E365" s="719"/>
      <c r="F365" s="719"/>
      <c r="G365" s="719"/>
      <c r="H365" s="719"/>
      <c r="I365" s="719"/>
      <c r="J365" s="719"/>
      <c r="K365" s="719"/>
      <c r="L365" s="719"/>
      <c r="M365" s="719"/>
      <c r="N365" s="719"/>
    </row>
    <row r="366" spans="1:14" hidden="1">
      <c r="A366" s="719"/>
      <c r="B366" s="719"/>
      <c r="C366" s="719"/>
      <c r="D366" s="719"/>
      <c r="E366" s="719"/>
      <c r="F366" s="719"/>
      <c r="G366" s="719"/>
      <c r="H366" s="719"/>
      <c r="I366" s="719"/>
      <c r="J366" s="719"/>
      <c r="K366" s="719"/>
      <c r="L366" s="719"/>
      <c r="M366" s="719"/>
      <c r="N366" s="719"/>
    </row>
    <row r="367" spans="1:14" hidden="1">
      <c r="A367" s="719"/>
      <c r="B367" s="719"/>
      <c r="C367" s="719"/>
      <c r="D367" s="719"/>
      <c r="E367" s="719"/>
      <c r="F367" s="719"/>
      <c r="G367" s="719"/>
      <c r="H367" s="719"/>
      <c r="I367" s="719"/>
      <c r="J367" s="719"/>
      <c r="K367" s="719"/>
      <c r="L367" s="719"/>
      <c r="M367" s="719"/>
      <c r="N367" s="719"/>
    </row>
    <row r="368" spans="1:14" hidden="1">
      <c r="A368" s="719"/>
      <c r="B368" s="719"/>
      <c r="C368" s="719"/>
      <c r="D368" s="719"/>
      <c r="E368" s="719"/>
      <c r="F368" s="719"/>
      <c r="G368" s="719"/>
      <c r="H368" s="719"/>
      <c r="I368" s="719"/>
      <c r="J368" s="719"/>
      <c r="K368" s="719"/>
      <c r="L368" s="719"/>
      <c r="M368" s="719"/>
      <c r="N368" s="719"/>
    </row>
    <row r="369" spans="1:14" hidden="1">
      <c r="A369" s="719"/>
      <c r="B369" s="719"/>
      <c r="C369" s="719"/>
      <c r="D369" s="719"/>
      <c r="E369" s="719"/>
      <c r="F369" s="719"/>
      <c r="G369" s="719"/>
      <c r="H369" s="719"/>
      <c r="I369" s="719"/>
      <c r="J369" s="719"/>
      <c r="K369" s="719"/>
      <c r="L369" s="719"/>
      <c r="M369" s="719"/>
      <c r="N369" s="719"/>
    </row>
    <row r="370" spans="1:14" hidden="1">
      <c r="A370" s="719"/>
      <c r="B370" s="719"/>
      <c r="C370" s="719"/>
      <c r="D370" s="719"/>
      <c r="E370" s="719"/>
      <c r="F370" s="719"/>
      <c r="G370" s="719"/>
      <c r="H370" s="719"/>
      <c r="I370" s="719"/>
      <c r="J370" s="719"/>
      <c r="K370" s="719"/>
      <c r="L370" s="719"/>
      <c r="M370" s="719"/>
      <c r="N370" s="719"/>
    </row>
    <row r="371" spans="1:14" hidden="1">
      <c r="A371" s="719"/>
      <c r="B371" s="719"/>
      <c r="C371" s="719"/>
      <c r="D371" s="719"/>
      <c r="E371" s="719"/>
      <c r="F371" s="719"/>
      <c r="G371" s="719"/>
      <c r="H371" s="719"/>
      <c r="I371" s="719"/>
      <c r="J371" s="719"/>
      <c r="K371" s="719"/>
      <c r="L371" s="719"/>
      <c r="M371" s="719"/>
      <c r="N371" s="719"/>
    </row>
    <row r="372" spans="1:14" hidden="1">
      <c r="A372" s="719"/>
      <c r="B372" s="719"/>
      <c r="C372" s="719"/>
      <c r="D372" s="719"/>
      <c r="E372" s="719"/>
      <c r="F372" s="719"/>
      <c r="G372" s="719"/>
      <c r="H372" s="719"/>
      <c r="I372" s="719"/>
      <c r="J372" s="719"/>
      <c r="K372" s="719"/>
      <c r="L372" s="719"/>
      <c r="M372" s="719"/>
      <c r="N372" s="719"/>
    </row>
    <row r="373" spans="1:14" hidden="1">
      <c r="A373" s="719"/>
      <c r="B373" s="719"/>
      <c r="C373" s="719"/>
      <c r="D373" s="719"/>
      <c r="E373" s="719"/>
      <c r="F373" s="719"/>
      <c r="G373" s="719"/>
      <c r="H373" s="719"/>
      <c r="I373" s="719"/>
      <c r="J373" s="719"/>
      <c r="K373" s="719"/>
      <c r="L373" s="719"/>
      <c r="M373" s="719"/>
      <c r="N373" s="719"/>
    </row>
    <row r="374" spans="1:14" hidden="1">
      <c r="A374" s="719"/>
      <c r="B374" s="719"/>
      <c r="C374" s="719"/>
      <c r="D374" s="719"/>
      <c r="E374" s="719"/>
      <c r="F374" s="719"/>
      <c r="G374" s="719"/>
      <c r="H374" s="719"/>
      <c r="I374" s="719"/>
      <c r="J374" s="719"/>
      <c r="K374" s="719"/>
      <c r="L374" s="719"/>
      <c r="M374" s="719"/>
      <c r="N374" s="719"/>
    </row>
    <row r="375" spans="1:14" hidden="1">
      <c r="A375" s="719"/>
      <c r="B375" s="719"/>
      <c r="C375" s="719"/>
      <c r="D375" s="719"/>
      <c r="E375" s="719"/>
      <c r="F375" s="719"/>
      <c r="G375" s="719"/>
      <c r="H375" s="719"/>
      <c r="I375" s="719"/>
      <c r="J375" s="719"/>
      <c r="K375" s="719"/>
      <c r="L375" s="719"/>
      <c r="M375" s="719"/>
      <c r="N375" s="719"/>
    </row>
    <row r="376" spans="1:14" hidden="1">
      <c r="A376" s="719"/>
      <c r="B376" s="719"/>
      <c r="C376" s="719"/>
      <c r="D376" s="719"/>
      <c r="E376" s="719"/>
      <c r="F376" s="719"/>
      <c r="G376" s="719"/>
      <c r="H376" s="719"/>
      <c r="I376" s="719"/>
      <c r="J376" s="719"/>
      <c r="K376" s="719"/>
      <c r="L376" s="719"/>
      <c r="M376" s="719"/>
      <c r="N376" s="719"/>
    </row>
    <row r="377" spans="1:14" hidden="1">
      <c r="A377" s="719"/>
      <c r="B377" s="719"/>
      <c r="C377" s="719"/>
      <c r="D377" s="719"/>
      <c r="E377" s="719"/>
      <c r="F377" s="719"/>
      <c r="G377" s="719"/>
      <c r="H377" s="719"/>
      <c r="I377" s="719"/>
      <c r="J377" s="719"/>
      <c r="K377" s="719"/>
      <c r="L377" s="719"/>
      <c r="M377" s="719"/>
      <c r="N377" s="719"/>
    </row>
    <row r="378" spans="1:14" hidden="1">
      <c r="A378" s="719"/>
      <c r="B378" s="719"/>
      <c r="C378" s="719"/>
      <c r="D378" s="719"/>
      <c r="E378" s="719"/>
      <c r="F378" s="719"/>
      <c r="G378" s="719"/>
      <c r="H378" s="719"/>
      <c r="I378" s="719"/>
      <c r="J378" s="719"/>
      <c r="K378" s="719"/>
      <c r="L378" s="719"/>
      <c r="M378" s="719"/>
      <c r="N378" s="719"/>
    </row>
    <row r="379" spans="1:14" hidden="1">
      <c r="A379" s="719"/>
      <c r="B379" s="719"/>
      <c r="C379" s="719"/>
      <c r="D379" s="719"/>
      <c r="E379" s="719"/>
      <c r="F379" s="719"/>
      <c r="G379" s="719"/>
      <c r="H379" s="719"/>
      <c r="I379" s="719"/>
      <c r="J379" s="719"/>
      <c r="K379" s="719"/>
      <c r="L379" s="719"/>
      <c r="M379" s="719"/>
      <c r="N379" s="719"/>
    </row>
    <row r="380" spans="1:14" hidden="1">
      <c r="A380" s="719"/>
      <c r="B380" s="719"/>
      <c r="C380" s="719"/>
      <c r="D380" s="719"/>
      <c r="E380" s="719"/>
      <c r="F380" s="719"/>
      <c r="G380" s="719"/>
      <c r="H380" s="719"/>
      <c r="I380" s="719"/>
      <c r="J380" s="719"/>
      <c r="K380" s="719"/>
      <c r="L380" s="719"/>
      <c r="M380" s="719"/>
      <c r="N380" s="719"/>
    </row>
    <row r="381" spans="1:14" hidden="1">
      <c r="A381" s="719"/>
      <c r="B381" s="719"/>
      <c r="C381" s="719"/>
      <c r="D381" s="719"/>
      <c r="E381" s="719"/>
      <c r="F381" s="719"/>
      <c r="G381" s="719"/>
      <c r="H381" s="719"/>
      <c r="I381" s="719"/>
      <c r="J381" s="719"/>
      <c r="K381" s="719"/>
      <c r="L381" s="719"/>
      <c r="M381" s="719"/>
      <c r="N381" s="719"/>
    </row>
  </sheetData>
  <sheetProtection algorithmName="SHA-512" hashValue="+wEkm6AC5NuTET4enbdJsLJ/UlL0bGc0yVwkozLL3oDk+h5/CZBZ/naNYGZjd7K3iMkj3IO7Chws7z331qLATw==" saltValue="PTKvSrex0h5RbBW9DErl6g==" spinCount="100000" sheet="1" scenarios="1"/>
  <mergeCells count="32">
    <mergeCell ref="B2:N2"/>
    <mergeCell ref="B20:D20"/>
    <mergeCell ref="B7:D7"/>
    <mergeCell ref="B8:D8"/>
    <mergeCell ref="B9:D9"/>
    <mergeCell ref="B10:D10"/>
    <mergeCell ref="B11:D11"/>
    <mergeCell ref="B12:D12"/>
    <mergeCell ref="B13:D13"/>
    <mergeCell ref="B14:D14"/>
    <mergeCell ref="B15:D15"/>
    <mergeCell ref="B16:D16"/>
    <mergeCell ref="B17:D17"/>
    <mergeCell ref="B18:D18"/>
    <mergeCell ref="B19:D19"/>
    <mergeCell ref="O6:Q7"/>
    <mergeCell ref="O28:Q29"/>
    <mergeCell ref="B37:D37"/>
    <mergeCell ref="B36:D36"/>
    <mergeCell ref="B35:D35"/>
    <mergeCell ref="B34:D34"/>
    <mergeCell ref="B33:D33"/>
    <mergeCell ref="B50:M58"/>
    <mergeCell ref="B32:D32"/>
    <mergeCell ref="B31:D31"/>
    <mergeCell ref="B30:D30"/>
    <mergeCell ref="B29:D29"/>
    <mergeCell ref="B42:D42"/>
    <mergeCell ref="B41:D41"/>
    <mergeCell ref="B40:D40"/>
    <mergeCell ref="B39:D39"/>
    <mergeCell ref="B38:D38"/>
  </mergeCells>
  <hyperlinks>
    <hyperlink ref="O6:P7" location="'Servcing Calc'!A1" display="Back To Home" xr:uid="{BD6BEA8C-2237-4255-888D-57658DCDD0E1}"/>
    <hyperlink ref="O28:Q29" location="'Additional Borrowers'!E49" display="Back To Addional Bwrs" xr:uid="{BBE15E2C-7649-44D6-B868-9E87E07338E7}"/>
    <hyperlink ref="O6:Q7" location="'Servicing Calc'!E53" display="Back To Main Page" xr:uid="{83D49262-B19A-4BA9-A23A-ED258DD67A93}"/>
  </hyperlink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ACF6E2F-B6BB-4337-92C1-908771B17362}">
          <x14:formula1>
            <xm:f>'Exchange Rates'!$C$4:$C$16</xm:f>
          </x14:formula1>
          <xm:sqref>M24 M46 H46 H24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2343E-A554-4F57-B028-0946F9AED962}">
  <sheetPr codeName="Sheet5"/>
  <dimension ref="A1:DJ237"/>
  <sheetViews>
    <sheetView workbookViewId="0"/>
  </sheetViews>
  <sheetFormatPr defaultColWidth="0" defaultRowHeight="16.5" zeroHeight="1"/>
  <cols>
    <col min="1" max="1" width="3.7265625" style="719" customWidth="1"/>
    <col min="2" max="2" width="32.1796875" style="720" customWidth="1"/>
    <col min="3" max="3" width="2.54296875" style="720" customWidth="1"/>
    <col min="4" max="4" width="17.81640625" style="720" customWidth="1"/>
    <col min="5" max="5" width="1" style="720" customWidth="1"/>
    <col min="6" max="6" width="21.7265625" style="720" customWidth="1"/>
    <col min="7" max="7" width="16.26953125" style="720" customWidth="1"/>
    <col min="8" max="8" width="15.26953125" style="720" customWidth="1"/>
    <col min="9" max="9" width="15.81640625" style="720" customWidth="1"/>
    <col min="10" max="10" width="4.26953125" style="720" customWidth="1"/>
    <col min="11" max="11" width="0.1796875" style="720" customWidth="1"/>
    <col min="12" max="12" width="5" style="720" customWidth="1"/>
    <col min="13" max="13" width="6.1796875" style="720" customWidth="1"/>
    <col min="14" max="14" width="1.81640625" style="719" customWidth="1"/>
    <col min="15" max="15" width="9.81640625" style="719" hidden="1" customWidth="1"/>
    <col min="16" max="16" width="9.1796875" style="719" hidden="1" customWidth="1"/>
    <col min="17" max="17" width="26.26953125" style="720" hidden="1" customWidth="1"/>
    <col min="18" max="18" width="18.26953125" style="720" hidden="1" customWidth="1"/>
    <col min="19" max="19" width="16.26953125" style="720" hidden="1" customWidth="1"/>
    <col min="20" max="20" width="11.1796875" style="720" hidden="1" customWidth="1"/>
    <col min="21" max="21" width="18.1796875" style="720" hidden="1" customWidth="1"/>
    <col min="22" max="22" width="19" style="720" hidden="1" customWidth="1"/>
    <col min="23" max="23" width="14.26953125" style="720" hidden="1" customWidth="1"/>
    <col min="24" max="24" width="13.1796875" style="720" hidden="1" customWidth="1"/>
    <col min="25" max="25" width="13.81640625" style="720" hidden="1" customWidth="1"/>
    <col min="26" max="26" width="18.1796875" style="720" hidden="1" customWidth="1"/>
    <col min="27" max="27" width="9.54296875" style="720" hidden="1" customWidth="1"/>
    <col min="28" max="29" width="9.1796875" style="720" hidden="1" customWidth="1"/>
    <col min="30" max="79" width="9.1796875" style="719" hidden="1" customWidth="1"/>
    <col min="80" max="16384" width="9.1796875" style="720" hidden="1"/>
  </cols>
  <sheetData>
    <row r="1" spans="1:114" s="719" customFormat="1">
      <c r="R1" s="963">
        <v>44074</v>
      </c>
    </row>
    <row r="2" spans="1:114" s="719" customFormat="1" ht="18.75" customHeight="1">
      <c r="B2" s="1135"/>
      <c r="C2" s="1135"/>
      <c r="D2" s="1135"/>
      <c r="E2" s="1135"/>
      <c r="F2" s="1135"/>
      <c r="G2" s="1135"/>
      <c r="H2" s="1135"/>
      <c r="I2" s="1135"/>
      <c r="J2" s="1135"/>
      <c r="K2" s="1135"/>
      <c r="L2" s="1135"/>
      <c r="M2" s="1135"/>
      <c r="Q2" s="964">
        <f ca="1">TODAY()</f>
        <v>46153</v>
      </c>
      <c r="R2" s="963">
        <v>44196</v>
      </c>
      <c r="AE2" s="963"/>
    </row>
    <row r="3" spans="1:114" s="719" customFormat="1" ht="9" customHeight="1"/>
    <row r="4" spans="1:114" s="654" customFormat="1" ht="18" customHeight="1">
      <c r="A4" s="651"/>
      <c r="B4" s="972" t="s">
        <v>205</v>
      </c>
      <c r="C4" s="652"/>
      <c r="D4" s="652"/>
      <c r="E4" s="652"/>
      <c r="F4" s="652"/>
      <c r="G4" s="652"/>
      <c r="H4" s="652"/>
      <c r="I4" s="721"/>
      <c r="J4" s="719"/>
      <c r="K4" s="719"/>
      <c r="L4" s="719"/>
      <c r="M4" s="719"/>
      <c r="N4" s="727"/>
      <c r="O4" s="719"/>
      <c r="P4" s="719"/>
      <c r="Q4" s="728"/>
      <c r="R4" s="728" t="s">
        <v>206</v>
      </c>
      <c r="S4" s="728" t="s">
        <v>207</v>
      </c>
      <c r="T4" s="728" t="s">
        <v>208</v>
      </c>
      <c r="U4" s="729" t="s">
        <v>209</v>
      </c>
      <c r="V4" s="937" t="s">
        <v>210</v>
      </c>
      <c r="W4" s="938" t="s">
        <v>211</v>
      </c>
      <c r="X4" s="938" t="s">
        <v>212</v>
      </c>
      <c r="Y4" s="939" t="s">
        <v>213</v>
      </c>
      <c r="Z4" s="938" t="s">
        <v>214</v>
      </c>
      <c r="AA4" s="723" t="s">
        <v>215</v>
      </c>
      <c r="AB4" s="723"/>
      <c r="AC4" s="719"/>
      <c r="AD4" s="719"/>
      <c r="AE4" s="719"/>
      <c r="AF4" s="719"/>
      <c r="AG4" s="719"/>
      <c r="AH4" s="719"/>
      <c r="AI4" s="719"/>
      <c r="AJ4" s="719"/>
      <c r="AK4" s="719"/>
      <c r="AL4" s="719"/>
      <c r="AM4" s="719"/>
      <c r="AN4" s="719"/>
      <c r="AO4" s="719"/>
      <c r="AP4" s="719"/>
      <c r="AQ4" s="719"/>
      <c r="AR4" s="719"/>
      <c r="AS4" s="719"/>
      <c r="AT4" s="719"/>
      <c r="AU4" s="719"/>
      <c r="AV4" s="719"/>
      <c r="AW4" s="719"/>
      <c r="AX4" s="719"/>
      <c r="AY4" s="719"/>
      <c r="AZ4" s="723"/>
      <c r="BA4" s="723"/>
      <c r="BB4" s="723"/>
      <c r="BC4" s="723"/>
      <c r="BD4" s="723"/>
      <c r="BE4" s="723"/>
      <c r="BF4" s="723"/>
      <c r="BG4" s="723"/>
      <c r="BH4" s="719"/>
      <c r="BI4" s="719"/>
      <c r="BJ4" s="719"/>
      <c r="BK4" s="719"/>
      <c r="BL4" s="719"/>
      <c r="BM4" s="651"/>
      <c r="BN4" s="651"/>
      <c r="BO4" s="651"/>
      <c r="BP4" s="651"/>
      <c r="BQ4" s="651"/>
      <c r="BR4" s="651"/>
      <c r="BS4" s="651"/>
      <c r="BT4" s="651"/>
      <c r="BU4" s="651"/>
      <c r="BV4" s="651"/>
      <c r="BW4" s="651"/>
      <c r="BX4" s="651"/>
      <c r="BY4" s="651"/>
      <c r="BZ4" s="651"/>
      <c r="CA4" s="651"/>
      <c r="CB4" s="651"/>
      <c r="CC4" s="651"/>
      <c r="CD4" s="651"/>
      <c r="CE4" s="651"/>
      <c r="CF4" s="651"/>
      <c r="CG4" s="651"/>
      <c r="CH4" s="651"/>
      <c r="CI4" s="651"/>
      <c r="CJ4" s="651"/>
      <c r="CK4" s="651"/>
      <c r="CL4" s="651"/>
      <c r="CM4" s="651"/>
      <c r="CN4" s="651"/>
      <c r="CO4" s="651"/>
      <c r="CP4" s="651"/>
      <c r="CQ4" s="651"/>
      <c r="CR4" s="651"/>
      <c r="CS4" s="651"/>
      <c r="CT4" s="651"/>
      <c r="CU4" s="651"/>
      <c r="CV4" s="651"/>
      <c r="CW4" s="651"/>
      <c r="CX4" s="651"/>
      <c r="CY4" s="715"/>
      <c r="CZ4" s="715"/>
      <c r="DA4" s="715"/>
      <c r="DB4" s="715"/>
      <c r="DC4" s="715"/>
      <c r="DD4" s="715"/>
      <c r="DE4" s="715"/>
      <c r="DF4" s="715"/>
      <c r="DG4" s="715"/>
      <c r="DH4" s="715"/>
      <c r="DI4" s="715"/>
      <c r="DJ4" s="715"/>
    </row>
    <row r="5" spans="1:114">
      <c r="B5" s="1017" t="s">
        <v>17</v>
      </c>
      <c r="C5" s="726"/>
      <c r="D5" s="1136" t="s">
        <v>77</v>
      </c>
      <c r="E5" s="1136"/>
      <c r="F5" s="1136"/>
      <c r="G5" s="1136"/>
      <c r="H5" s="1136"/>
      <c r="I5" s="1137"/>
      <c r="J5" s="719"/>
      <c r="K5" s="719"/>
      <c r="L5" s="719"/>
      <c r="M5" s="719"/>
      <c r="Q5" s="940" t="s">
        <v>28</v>
      </c>
      <c r="R5" s="941" t="str">
        <f>IF(D5="Brighten Saver", ('Brighten Product'!H18),"")</f>
        <v/>
      </c>
      <c r="S5" s="941" t="str">
        <f>IF(D5="Brighten Saver", ('Brighten Product'!H19),"")</f>
        <v/>
      </c>
      <c r="T5" s="941" t="str">
        <f>IF(D5="Brighten Saver", ('Brighten Product'!H20),"")</f>
        <v/>
      </c>
      <c r="U5" s="941" t="str">
        <f>IF(D5="Brighten Saver", ('Brighten Product'!H21),"")</f>
        <v/>
      </c>
      <c r="V5" s="941" t="str">
        <f>IF(D5="Brighten Saver", ('Brighten Product'!H22),"")</f>
        <v/>
      </c>
      <c r="W5" s="941" t="str">
        <f>IF(D5="Brighten Saver", ('Brighten Product'!H23),"")</f>
        <v/>
      </c>
      <c r="X5" s="941" t="str">
        <f>IF(D5="Brighten Saver", ('Brighten Product'!H24),"")</f>
        <v/>
      </c>
      <c r="Y5" s="941" t="str">
        <f>IF(D5="Brighten Saver", ('Brighten Product'!H24),"")</f>
        <v/>
      </c>
      <c r="Z5" s="942"/>
      <c r="AA5" s="730"/>
      <c r="AC5" s="719"/>
    </row>
    <row r="6" spans="1:114">
      <c r="B6" s="1017" t="s">
        <v>73</v>
      </c>
      <c r="C6" s="726"/>
      <c r="D6" s="1138">
        <v>0</v>
      </c>
      <c r="E6" s="1138"/>
      <c r="F6" s="1138"/>
      <c r="G6" s="668" t="s">
        <v>67</v>
      </c>
      <c r="H6" s="668"/>
      <c r="I6" s="731"/>
      <c r="J6" s="719"/>
      <c r="K6" s="719"/>
      <c r="L6" s="719"/>
      <c r="M6" s="719"/>
      <c r="Q6" s="940" t="s">
        <v>77</v>
      </c>
      <c r="R6" s="941">
        <f>IF(D5="Brighten Easy Builder", ('Brighten Product'!AD18),"")</f>
        <v>660</v>
      </c>
      <c r="S6" s="941">
        <f>IF(D5="Brighten Easy Builder", ('Brighten Product'!AD19),"")</f>
        <v>330</v>
      </c>
      <c r="T6" s="941">
        <f>IF(D5="Brighten Easy Builder", ('Brighten Product'!AD20),"")</f>
        <v>300</v>
      </c>
      <c r="U6" s="941">
        <f>IF(D5="Brighten Easy Builder", ('Brighten Product'!AD21),"")</f>
        <v>0</v>
      </c>
      <c r="V6" s="941">
        <f>IF(D5="Brighten Easy Builder", ('Brighten Product'!AD22),"")</f>
        <v>0</v>
      </c>
      <c r="W6" s="941">
        <f>IF(D5="Brighten Easy Builder", ('Brighten Product'!AD23),"")</f>
        <v>18000</v>
      </c>
      <c r="X6" s="941">
        <f>IF(D5="Brighten Easy Builder", ('Brighten Product'!AD24),"")</f>
        <v>499</v>
      </c>
      <c r="Y6" s="941">
        <f>IF(D5="Brighten Easy Builder", ('Brighten Product'!AD24),"")</f>
        <v>499</v>
      </c>
      <c r="Z6" s="941">
        <f>IF(D5="Brighten Easy Builder", ('Brighten Product'!AD28),"")</f>
        <v>300</v>
      </c>
      <c r="AA6" s="730"/>
      <c r="AC6" s="719"/>
    </row>
    <row r="7" spans="1:114">
      <c r="B7" s="1017" t="s">
        <v>216</v>
      </c>
      <c r="C7" s="726"/>
      <c r="D7" s="1018"/>
      <c r="E7" s="1018"/>
      <c r="F7" s="1018" t="s">
        <v>29</v>
      </c>
      <c r="G7" s="732"/>
      <c r="H7" s="732"/>
      <c r="I7" s="733"/>
      <c r="J7" s="719"/>
      <c r="K7" s="719"/>
      <c r="L7" s="719"/>
      <c r="M7" s="719"/>
      <c r="Q7" s="940" t="s">
        <v>79</v>
      </c>
      <c r="R7" s="941" t="str">
        <f>IF(D5="Brighten Platinum", ('Brighten Product'!N18),"")</f>
        <v/>
      </c>
      <c r="S7" s="941" t="str">
        <f>IF(D5="Brighten Platinum", ('Brighten Product'!N19),"")</f>
        <v/>
      </c>
      <c r="T7" s="941" t="str">
        <f>IF(D5="Brighten Platinum", ('Brighten Product'!N20),"")</f>
        <v/>
      </c>
      <c r="U7" s="941" t="str">
        <f>IF(D5="Brighten Platinum", ('Brighten Product'!N21),"")</f>
        <v/>
      </c>
      <c r="V7" s="941" t="str">
        <f>IF(D5="Brighten Platinum", ('Brighten Product'!N22),"")</f>
        <v/>
      </c>
      <c r="W7" s="941" t="str">
        <f>IF(D5="Brighten Platinum", ('Brighten Product'!N23),"")</f>
        <v/>
      </c>
      <c r="X7" s="941" t="str">
        <f>IF(D5="Brighten Platinum", ('Brighten Product'!N24),"")</f>
        <v/>
      </c>
      <c r="Y7" s="941" t="str">
        <f>IF(D5="Brighten Platinum", ('Brighten Product'!N24),"")</f>
        <v/>
      </c>
      <c r="Z7" s="942"/>
      <c r="AA7" s="730"/>
    </row>
    <row r="8" spans="1:114">
      <c r="B8" s="1017" t="s">
        <v>19</v>
      </c>
      <c r="C8" s="726"/>
      <c r="D8" s="1018"/>
      <c r="E8" s="1018"/>
      <c r="F8" s="1018">
        <v>5</v>
      </c>
      <c r="G8" s="668" t="s">
        <v>217</v>
      </c>
      <c r="H8" s="668"/>
      <c r="I8" s="731"/>
      <c r="J8" s="719"/>
      <c r="K8" s="719"/>
      <c r="L8" s="719"/>
      <c r="M8" s="719"/>
      <c r="Q8" s="940" t="s">
        <v>218</v>
      </c>
      <c r="R8" s="941" t="str">
        <f>IF(D6="Brighten Platinum Offset", (#REF!),"")</f>
        <v/>
      </c>
      <c r="S8" s="941" t="str">
        <f>IF(D6="Brighten Platinum", (#REF!),"")</f>
        <v/>
      </c>
      <c r="T8" s="941" t="str">
        <f>IF(D6="Brighten Platinum", (#REF!),"")</f>
        <v/>
      </c>
      <c r="U8" s="941" t="str">
        <f>IF(D6="Brighten Platinum", (#REF!),"")</f>
        <v/>
      </c>
      <c r="V8" s="941" t="str">
        <f>IF(D6="Brighten Platinum", (#REF!),"")</f>
        <v/>
      </c>
      <c r="W8" s="941" t="str">
        <f>IF(D6="Brighten Platinum", (#REF!),"")</f>
        <v/>
      </c>
      <c r="X8" s="941" t="str">
        <f>IF(D6="Brighten Platinum", (#REF!),"")</f>
        <v/>
      </c>
      <c r="Y8" s="941" t="str">
        <f>IF(D6="Brighten Platinum", (#REF!),"")</f>
        <v/>
      </c>
      <c r="Z8" s="942"/>
      <c r="AA8" s="730"/>
    </row>
    <row r="9" spans="1:114">
      <c r="B9" s="1017" t="s">
        <v>55</v>
      </c>
      <c r="C9" s="726"/>
      <c r="D9" s="1139">
        <v>1800000</v>
      </c>
      <c r="E9" s="1139"/>
      <c r="F9" s="1139"/>
      <c r="G9" s="1019"/>
      <c r="H9" s="1019"/>
      <c r="I9" s="734"/>
      <c r="J9" s="719"/>
      <c r="K9" s="719"/>
      <c r="L9" s="719"/>
      <c r="M9" s="719"/>
      <c r="Q9" s="940" t="s">
        <v>78</v>
      </c>
      <c r="R9" s="941" t="str">
        <f>IF(D5="Brighten Evergreen", ('Brighten Product'!T18),"")</f>
        <v/>
      </c>
      <c r="S9" s="941" t="str">
        <f>IF(D5="Brighten Evergreen", ('Brighten Product'!T19),"")</f>
        <v/>
      </c>
      <c r="T9" s="941" t="str">
        <f>IF(D5="Brighten Evergreen", ('Brighten Product'!T20),"")</f>
        <v/>
      </c>
      <c r="U9" s="941" t="str">
        <f>IF(D5="Brighten Evergreen", ('Brighten Product'!T21),"")</f>
        <v/>
      </c>
      <c r="V9" s="941" t="str">
        <f>IF(D5="Brighten Evergreen", ('Brighten Product'!T22),"")</f>
        <v/>
      </c>
      <c r="W9" s="941" t="str">
        <f>IF(D5="Brighten Evergreen", ('Brighten Product'!T23),"")</f>
        <v/>
      </c>
      <c r="X9" s="941" t="str">
        <f>IF(D5="Brighten Evergreen", ('Brighten Product'!T24),"")</f>
        <v/>
      </c>
      <c r="Y9" s="941" t="str">
        <f>IF(D5="Brighten Evergreen", ('Brighten Product'!T24),"")</f>
        <v/>
      </c>
      <c r="Z9" s="942"/>
      <c r="AA9" s="730"/>
    </row>
    <row r="10" spans="1:114">
      <c r="B10" s="1017" t="s">
        <v>62</v>
      </c>
      <c r="C10" s="726"/>
      <c r="D10" s="1139">
        <v>3000000</v>
      </c>
      <c r="E10" s="1139"/>
      <c r="F10" s="1139"/>
      <c r="G10" s="1019"/>
      <c r="H10" s="1019"/>
      <c r="I10" s="734"/>
      <c r="J10" s="719"/>
      <c r="K10" s="719"/>
      <c r="L10" s="719"/>
      <c r="M10" s="719"/>
      <c r="Q10" s="940"/>
      <c r="R10" s="941" t="str">
        <f>IF(D5="Evergreen Star Package", (#REF!),"")</f>
        <v/>
      </c>
      <c r="S10" s="941" t="str">
        <f>IF(D5="Evergreen Star Package", (#REF!),"")</f>
        <v/>
      </c>
      <c r="T10" s="941" t="str">
        <f>IF(D5="Evergreen Star Package", (#REF!),"")</f>
        <v/>
      </c>
      <c r="U10" s="941" t="str">
        <f>IF(D5="Evergreen Star Package", (#REF!),"")</f>
        <v/>
      </c>
      <c r="V10" s="941" t="str">
        <f>IF(D5="Evergreen Star Package", (#REF!),"")</f>
        <v/>
      </c>
      <c r="W10" s="941" t="str">
        <f>IF(D5="Evergreen Star Package", (#REF!),"")</f>
        <v/>
      </c>
      <c r="X10" s="941" t="str">
        <f>IF(D5="Evergreen Star Package", (#REF!),"")</f>
        <v/>
      </c>
      <c r="Y10" s="941" t="str">
        <f>IF(D5="Evergreen Star Package", ((#REF!)-990),"")</f>
        <v/>
      </c>
      <c r="Z10" s="942"/>
      <c r="AA10" s="730"/>
    </row>
    <row r="11" spans="1:114">
      <c r="B11" s="1017" t="s">
        <v>219</v>
      </c>
      <c r="C11" s="726"/>
      <c r="D11" s="512" t="s">
        <v>12</v>
      </c>
      <c r="E11" s="512"/>
      <c r="F11" s="512" t="s">
        <v>30</v>
      </c>
      <c r="G11" s="1019"/>
      <c r="H11" s="1019"/>
      <c r="I11" s="734"/>
      <c r="J11" s="719"/>
      <c r="K11" s="719"/>
      <c r="L11" s="719"/>
      <c r="M11" s="719"/>
      <c r="Q11" s="943" t="s">
        <v>220</v>
      </c>
      <c r="R11" s="944">
        <f t="shared" ref="R11:Z11" si="0">SUM(R5:R10)</f>
        <v>660</v>
      </c>
      <c r="S11" s="944">
        <f t="shared" si="0"/>
        <v>330</v>
      </c>
      <c r="T11" s="944">
        <f t="shared" si="0"/>
        <v>300</v>
      </c>
      <c r="U11" s="944">
        <f t="shared" si="0"/>
        <v>0</v>
      </c>
      <c r="V11" s="944">
        <f t="shared" si="0"/>
        <v>0</v>
      </c>
      <c r="W11" s="944">
        <f t="shared" si="0"/>
        <v>18000</v>
      </c>
      <c r="X11" s="944">
        <f t="shared" si="0"/>
        <v>499</v>
      </c>
      <c r="Y11" s="944">
        <f t="shared" si="0"/>
        <v>499</v>
      </c>
      <c r="Z11" s="944">
        <f t="shared" si="0"/>
        <v>300</v>
      </c>
      <c r="AA11" s="735"/>
    </row>
    <row r="12" spans="1:114">
      <c r="B12" s="1017" t="s">
        <v>94</v>
      </c>
      <c r="C12" s="726"/>
      <c r="D12" s="512"/>
      <c r="E12" s="512"/>
      <c r="F12" s="512" t="s">
        <v>37</v>
      </c>
      <c r="G12" s="1019"/>
      <c r="H12" s="1019"/>
      <c r="I12" s="734"/>
      <c r="J12" s="719"/>
      <c r="K12" s="719"/>
      <c r="L12" s="719"/>
      <c r="M12" s="719"/>
    </row>
    <row r="13" spans="1:114">
      <c r="B13" s="1017" t="s">
        <v>221</v>
      </c>
      <c r="C13" s="726"/>
      <c r="D13" s="779"/>
      <c r="E13" s="779"/>
      <c r="F13" s="512" t="s">
        <v>37</v>
      </c>
      <c r="G13" s="780"/>
      <c r="H13" s="780"/>
      <c r="I13" s="781"/>
      <c r="J13" s="719"/>
      <c r="K13" s="719"/>
      <c r="L13" s="719"/>
      <c r="M13" s="719"/>
    </row>
    <row r="14" spans="1:114">
      <c r="B14" s="1017" t="s">
        <v>68</v>
      </c>
      <c r="C14" s="726"/>
      <c r="D14" s="1134">
        <f>D9/D10</f>
        <v>0.6</v>
      </c>
      <c r="E14" s="1134"/>
      <c r="F14" s="1134"/>
      <c r="G14" s="1140" t="str">
        <f>IF(D5="Brighten Evergreen",IF(OR(AND(AND(D9&gt;1500000,D9&lt;2000000),Q19&gt;50%),AND(D9=1500000,Q19&gt;70%)),"LVR exceeds max acceptable LVR for this loan amount",""),IF(D5="Brighten Easy Builder", IF(OR(AND(D9&gt;=1000000,Q19&gt;70%),AND(D9&gt;=1500000,Q19&gt;65%),AND(D9&gt;=2000000,Q19&gt;50%)),"LVR exceeds max acceptable LVR for this loan amount",""),""))</f>
        <v/>
      </c>
      <c r="H14" s="1140"/>
      <c r="I14" s="1141"/>
      <c r="J14" s="719"/>
      <c r="K14" s="719"/>
      <c r="L14" s="719"/>
      <c r="M14" s="719"/>
    </row>
    <row r="15" spans="1:114" s="719" customFormat="1">
      <c r="B15" s="974"/>
      <c r="I15" s="737"/>
      <c r="AC15" s="720"/>
    </row>
    <row r="16" spans="1:114" s="654" customFormat="1" ht="18" customHeight="1">
      <c r="A16" s="651"/>
      <c r="B16" s="972" t="s">
        <v>222</v>
      </c>
      <c r="C16" s="653"/>
      <c r="D16" s="738"/>
      <c r="E16" s="653"/>
      <c r="F16" s="653"/>
      <c r="G16" s="653"/>
      <c r="H16" s="653"/>
      <c r="I16" s="739"/>
      <c r="J16" s="719"/>
      <c r="K16" s="719"/>
      <c r="L16" s="719"/>
      <c r="M16" s="719"/>
      <c r="N16" s="719"/>
      <c r="O16" s="719"/>
      <c r="P16" s="719"/>
      <c r="Q16" s="719"/>
      <c r="R16" s="719"/>
      <c r="S16" s="719"/>
      <c r="T16" s="719"/>
      <c r="U16" s="719"/>
      <c r="V16" s="719"/>
      <c r="W16" s="719"/>
      <c r="X16" s="719"/>
      <c r="Y16" s="719"/>
      <c r="Z16" s="719"/>
      <c r="AA16" s="719"/>
      <c r="AB16" s="719"/>
      <c r="AC16" s="720"/>
      <c r="AD16" s="719"/>
      <c r="AE16" s="719"/>
      <c r="AF16" s="719"/>
      <c r="AG16" s="719"/>
      <c r="AH16" s="719"/>
      <c r="AI16" s="719"/>
      <c r="AJ16" s="719"/>
      <c r="AK16" s="719"/>
      <c r="AL16" s="719"/>
      <c r="AM16" s="719"/>
      <c r="AN16" s="719"/>
      <c r="AO16" s="719"/>
      <c r="AP16" s="719"/>
      <c r="AQ16" s="719"/>
      <c r="AR16" s="719"/>
      <c r="AS16" s="719"/>
      <c r="AT16" s="719"/>
      <c r="AU16" s="719"/>
      <c r="AV16" s="719"/>
      <c r="AW16" s="719"/>
      <c r="AX16" s="719"/>
      <c r="AY16" s="719"/>
      <c r="AZ16" s="723"/>
      <c r="BA16" s="723"/>
      <c r="BB16" s="723"/>
      <c r="BC16" s="723"/>
      <c r="BD16" s="723"/>
      <c r="BE16" s="723"/>
      <c r="BF16" s="723"/>
      <c r="BG16" s="723"/>
      <c r="BH16" s="719"/>
      <c r="BI16" s="719"/>
      <c r="BJ16" s="719"/>
      <c r="BK16" s="719"/>
      <c r="BL16" s="719"/>
      <c r="BM16" s="651"/>
      <c r="BN16" s="651"/>
      <c r="BO16" s="651"/>
      <c r="BP16" s="651"/>
      <c r="BQ16" s="651"/>
      <c r="BR16" s="651"/>
      <c r="BS16" s="651"/>
      <c r="BT16" s="651"/>
      <c r="BU16" s="651"/>
      <c r="BV16" s="651"/>
      <c r="BW16" s="651"/>
      <c r="BX16" s="651"/>
      <c r="BY16" s="651"/>
      <c r="BZ16" s="651"/>
      <c r="CA16" s="651"/>
      <c r="CB16" s="651"/>
      <c r="CC16" s="651"/>
      <c r="CD16" s="651"/>
      <c r="CE16" s="651"/>
      <c r="CF16" s="651"/>
      <c r="CG16" s="651"/>
      <c r="CH16" s="651"/>
      <c r="CI16" s="651"/>
      <c r="CJ16" s="651"/>
      <c r="CK16" s="651"/>
      <c r="CL16" s="651"/>
      <c r="CM16" s="651"/>
      <c r="CN16" s="651"/>
      <c r="CO16" s="651"/>
      <c r="CP16" s="651"/>
      <c r="CQ16" s="651"/>
      <c r="CR16" s="651"/>
      <c r="CS16" s="651"/>
      <c r="CT16" s="651"/>
      <c r="CU16" s="651"/>
      <c r="CV16" s="651"/>
      <c r="CW16" s="651"/>
      <c r="CX16" s="651"/>
      <c r="CY16" s="715"/>
      <c r="CZ16" s="715"/>
      <c r="DA16" s="715"/>
      <c r="DB16" s="715"/>
      <c r="DC16" s="715"/>
      <c r="DD16" s="715"/>
      <c r="DE16" s="715"/>
      <c r="DF16" s="715"/>
      <c r="DG16" s="715"/>
      <c r="DH16" s="715"/>
      <c r="DI16" s="715"/>
      <c r="DJ16" s="715"/>
    </row>
    <row r="17" spans="1:79" s="719" customFormat="1">
      <c r="A17" s="727"/>
      <c r="B17" s="975"/>
      <c r="C17" s="727"/>
      <c r="D17" s="727"/>
      <c r="E17" s="727"/>
      <c r="F17" s="727"/>
      <c r="G17" s="727"/>
      <c r="H17" s="727"/>
      <c r="I17" s="740"/>
      <c r="AC17" s="720"/>
    </row>
    <row r="18" spans="1:79" s="743" customFormat="1">
      <c r="A18" s="719"/>
      <c r="B18" s="1017" t="s">
        <v>223</v>
      </c>
      <c r="C18" s="726"/>
      <c r="D18" s="965">
        <f>IF(LEN(G14)=0,R11,"-")</f>
        <v>660</v>
      </c>
      <c r="E18" s="741"/>
      <c r="F18" s="741"/>
      <c r="G18" s="719"/>
      <c r="H18" s="742"/>
      <c r="I18" s="737"/>
      <c r="J18" s="719"/>
      <c r="K18" s="719"/>
      <c r="L18" s="719"/>
      <c r="M18" s="719"/>
      <c r="N18" s="719"/>
      <c r="O18" s="719"/>
      <c r="P18" s="719"/>
      <c r="Q18" s="1026">
        <f>D14</f>
        <v>0.6</v>
      </c>
      <c r="R18" s="719"/>
      <c r="S18" s="719"/>
      <c r="T18" s="719"/>
      <c r="U18" s="719"/>
      <c r="V18" s="719"/>
      <c r="W18" s="719"/>
      <c r="X18" s="719"/>
      <c r="Y18" s="719"/>
      <c r="Z18" s="719"/>
      <c r="AA18" s="719"/>
      <c r="AB18" s="719"/>
      <c r="AC18" s="719"/>
      <c r="AD18" s="719"/>
      <c r="AE18" s="719"/>
      <c r="AF18" s="719"/>
      <c r="AG18" s="719"/>
      <c r="AH18" s="719"/>
      <c r="AI18" s="719"/>
      <c r="AJ18" s="719"/>
      <c r="AK18" s="719"/>
      <c r="AL18" s="719"/>
      <c r="AM18" s="719"/>
      <c r="AN18" s="719"/>
      <c r="AO18" s="719"/>
      <c r="AP18" s="719"/>
      <c r="AQ18" s="719"/>
      <c r="AR18" s="719"/>
      <c r="AS18" s="719"/>
      <c r="AT18" s="719"/>
      <c r="AU18" s="719"/>
      <c r="AV18" s="719"/>
      <c r="AW18" s="719"/>
      <c r="AX18" s="719"/>
      <c r="AY18" s="719"/>
      <c r="AZ18" s="727"/>
      <c r="BA18" s="727"/>
      <c r="BB18" s="727"/>
      <c r="BC18" s="727"/>
      <c r="BD18" s="727"/>
      <c r="BE18" s="727"/>
      <c r="BF18" s="727"/>
      <c r="BG18" s="727"/>
      <c r="BH18" s="727"/>
      <c r="BI18" s="727"/>
      <c r="BJ18" s="727"/>
      <c r="BK18" s="727"/>
      <c r="BL18" s="727"/>
      <c r="BM18" s="727"/>
      <c r="BN18" s="727"/>
      <c r="BO18" s="727"/>
      <c r="BP18" s="727"/>
      <c r="BQ18" s="727"/>
      <c r="BR18" s="727"/>
      <c r="BS18" s="727"/>
      <c r="BT18" s="727"/>
      <c r="BU18" s="727"/>
      <c r="BV18" s="727"/>
      <c r="BW18" s="727"/>
      <c r="BX18" s="727"/>
      <c r="BY18" s="727"/>
      <c r="BZ18" s="727"/>
      <c r="CA18" s="727"/>
    </row>
    <row r="19" spans="1:79">
      <c r="B19" s="1017" t="s">
        <v>209</v>
      </c>
      <c r="C19" s="726"/>
      <c r="D19" s="966">
        <f>IF(LEN(G14)=0,U11,"-")</f>
        <v>0</v>
      </c>
      <c r="E19" s="741"/>
      <c r="F19" s="741"/>
      <c r="G19" s="719"/>
      <c r="H19" s="742"/>
      <c r="I19" s="737"/>
      <c r="J19" s="719"/>
      <c r="K19" s="719"/>
      <c r="L19" s="719"/>
      <c r="M19" s="719"/>
      <c r="Q19" s="1026">
        <f>D14*1</f>
        <v>0.6</v>
      </c>
      <c r="R19" s="719"/>
      <c r="S19" s="719"/>
      <c r="T19" s="719"/>
      <c r="U19" s="719"/>
      <c r="V19" s="719"/>
      <c r="W19" s="719"/>
      <c r="X19" s="719"/>
      <c r="Y19" s="719"/>
      <c r="Z19" s="719"/>
      <c r="AA19" s="719"/>
      <c r="AB19" s="719"/>
      <c r="AC19" s="719"/>
    </row>
    <row r="20" spans="1:79">
      <c r="B20" s="1017" t="s">
        <v>208</v>
      </c>
      <c r="C20" s="726"/>
      <c r="D20" s="966">
        <f>IF(LEN(G14)=0,T11,"-")</f>
        <v>300</v>
      </c>
      <c r="E20" s="741"/>
      <c r="F20" s="741"/>
      <c r="G20" s="719"/>
      <c r="H20" s="742"/>
      <c r="I20" s="737"/>
      <c r="J20" s="719"/>
      <c r="K20" s="719"/>
      <c r="L20" s="1026"/>
      <c r="M20" s="719"/>
      <c r="Q20" s="719" t="str">
        <f>IF(AND(AND(D9&gt;='Risk Fee Matrix'!B43,D9&lt;='Risk Fee Matrix'!B44),Q19&gt;0.5),"NOT APPLICABLE",_xlfn.IFNA(W11,"NOT APPLICABLE"))</f>
        <v>NOT APPLICABLE</v>
      </c>
      <c r="R20" s="719"/>
      <c r="S20" s="719"/>
      <c r="T20" s="719"/>
      <c r="U20" s="719"/>
      <c r="V20" s="719"/>
      <c r="W20" s="719"/>
      <c r="X20" s="719"/>
      <c r="Y20" s="719"/>
      <c r="Z20" s="719"/>
      <c r="AA20" s="719"/>
      <c r="AB20" s="719"/>
      <c r="AC20" s="719"/>
    </row>
    <row r="21" spans="1:79">
      <c r="B21" s="1017" t="s">
        <v>224</v>
      </c>
      <c r="C21" s="726"/>
      <c r="D21" s="966">
        <f>IF(LEN(G14)=0,Y11,"-")</f>
        <v>499</v>
      </c>
      <c r="E21" s="741"/>
      <c r="F21" s="741"/>
      <c r="G21" s="719"/>
      <c r="H21" s="742"/>
      <c r="I21" s="737"/>
      <c r="J21" s="741"/>
      <c r="K21" s="741"/>
      <c r="L21" s="719"/>
      <c r="M21" s="719"/>
      <c r="Q21" s="719"/>
      <c r="R21" s="719"/>
      <c r="S21" s="719"/>
      <c r="T21" s="719"/>
      <c r="U21" s="719"/>
      <c r="V21" s="719"/>
      <c r="W21" s="719"/>
      <c r="X21" s="719"/>
      <c r="Y21" s="719"/>
      <c r="Z21" s="719"/>
      <c r="AA21" s="719"/>
      <c r="AB21" s="719"/>
      <c r="AC21" s="719"/>
    </row>
    <row r="22" spans="1:79">
      <c r="B22" s="1017" t="s">
        <v>225</v>
      </c>
      <c r="C22" s="726"/>
      <c r="D22" s="966">
        <f>IF(LEN(G14)=0,V11,"-")</f>
        <v>0</v>
      </c>
      <c r="E22" s="741"/>
      <c r="F22" s="968"/>
      <c r="G22" s="719"/>
      <c r="H22" s="742"/>
      <c r="I22" s="737"/>
      <c r="J22" s="741"/>
      <c r="K22" s="741"/>
      <c r="L22" s="719"/>
      <c r="M22" s="719"/>
      <c r="Q22" s="719"/>
      <c r="R22" s="719"/>
      <c r="S22" s="719"/>
      <c r="T22" s="719"/>
      <c r="U22" s="719"/>
      <c r="V22" s="719"/>
      <c r="W22" s="719"/>
      <c r="X22" s="719"/>
      <c r="Y22" s="719"/>
      <c r="Z22" s="719"/>
      <c r="AA22" s="719"/>
      <c r="AB22" s="719"/>
      <c r="AC22" s="719"/>
    </row>
    <row r="23" spans="1:79">
      <c r="B23" s="1017" t="s">
        <v>211</v>
      </c>
      <c r="C23" s="726"/>
      <c r="D23" s="966">
        <f>IF(LEN(G14)=0,W11,"-")</f>
        <v>18000</v>
      </c>
      <c r="E23" s="741"/>
      <c r="F23" s="741"/>
      <c r="G23" s="719"/>
      <c r="H23" s="742"/>
      <c r="I23" s="737"/>
      <c r="J23" s="741"/>
      <c r="K23" s="741"/>
      <c r="L23" s="719"/>
      <c r="M23" s="719"/>
      <c r="Q23" s="1070"/>
      <c r="R23" s="719"/>
      <c r="S23" s="719"/>
      <c r="T23" s="719"/>
      <c r="U23" s="719"/>
      <c r="V23" s="719"/>
      <c r="W23" s="719"/>
      <c r="X23" s="719"/>
      <c r="Y23" s="719"/>
      <c r="Z23" s="719"/>
      <c r="AA23" s="719"/>
      <c r="AB23" s="719"/>
      <c r="AC23" s="719"/>
    </row>
    <row r="24" spans="1:79">
      <c r="B24" s="1017" t="s">
        <v>207</v>
      </c>
      <c r="C24" s="726"/>
      <c r="D24" s="966">
        <f>IF(LEN(G14)=0,S11,"-")</f>
        <v>330</v>
      </c>
      <c r="E24" s="741"/>
      <c r="F24" s="510" t="str">
        <f>IF(LEN(G14)=0,IF(D10&gt;750000,"Quote maybe required",""),"")</f>
        <v>Quote maybe required</v>
      </c>
      <c r="G24" s="719"/>
      <c r="H24" s="742"/>
      <c r="I24" s="737"/>
      <c r="J24" s="741"/>
      <c r="K24" s="741"/>
      <c r="L24" s="719"/>
      <c r="M24" s="719"/>
      <c r="Q24" s="719"/>
      <c r="R24" s="719"/>
      <c r="S24" s="719"/>
      <c r="T24" s="719"/>
      <c r="U24" s="719"/>
      <c r="V24" s="719"/>
      <c r="W24" s="719"/>
      <c r="X24" s="719"/>
      <c r="Y24" s="719"/>
      <c r="Z24" s="719"/>
      <c r="AA24" s="719"/>
      <c r="AB24" s="719"/>
      <c r="AC24" s="719"/>
    </row>
    <row r="25" spans="1:79">
      <c r="B25" s="1017" t="s">
        <v>226</v>
      </c>
      <c r="C25" s="726"/>
      <c r="D25" s="967">
        <f>IF(LEN(G14)=0,550,"-")</f>
        <v>550</v>
      </c>
      <c r="E25" s="741"/>
      <c r="F25" s="741"/>
      <c r="G25" s="719"/>
      <c r="H25" s="742"/>
      <c r="I25" s="737"/>
      <c r="J25" s="741"/>
      <c r="K25" s="741"/>
      <c r="L25" s="719"/>
      <c r="M25" s="719"/>
      <c r="Q25" s="1070"/>
      <c r="R25" s="719"/>
      <c r="S25" s="719"/>
      <c r="T25" s="719"/>
      <c r="U25" s="719"/>
      <c r="V25" s="719"/>
      <c r="W25" s="719"/>
      <c r="X25" s="719"/>
      <c r="Y25" s="719"/>
      <c r="Z25" s="719"/>
      <c r="AA25" s="719"/>
      <c r="AB25" s="719"/>
      <c r="AC25" s="719"/>
    </row>
    <row r="26" spans="1:79">
      <c r="B26" s="1017" t="s">
        <v>227</v>
      </c>
      <c r="C26" s="726"/>
      <c r="D26" s="966">
        <f>IF(LEN(G14)=0,Z11,"-")</f>
        <v>300</v>
      </c>
      <c r="E26" s="741"/>
      <c r="F26" s="513" t="str">
        <f>IF(LEN(G14)=0,IF(Z11&gt;400,"*per drawdown",""),"")</f>
        <v/>
      </c>
      <c r="G26" s="719"/>
      <c r="H26" s="742"/>
      <c r="I26" s="737"/>
      <c r="J26" s="741"/>
      <c r="K26" s="741"/>
      <c r="L26" s="719"/>
      <c r="M26" s="719"/>
      <c r="Q26" s="719"/>
      <c r="R26" s="719"/>
      <c r="S26" s="719"/>
      <c r="T26" s="719"/>
      <c r="U26" s="719"/>
      <c r="V26" s="719"/>
      <c r="W26" s="719"/>
      <c r="X26" s="719"/>
      <c r="Y26" s="719"/>
      <c r="Z26" s="719"/>
      <c r="AA26" s="719"/>
      <c r="AB26" s="719"/>
      <c r="AC26" s="719"/>
    </row>
    <row r="27" spans="1:79" ht="17" thickBot="1">
      <c r="B27" s="1017" t="s">
        <v>228</v>
      </c>
      <c r="C27" s="726"/>
      <c r="D27" s="744"/>
      <c r="E27" s="741"/>
      <c r="F27" s="1024" t="s">
        <v>229</v>
      </c>
      <c r="G27" s="1025">
        <f ca="1">IF(LEN(G14)=0,IF(AND(Q2&gt;R1,Q2&lt;R2),IF(D5="Brighten Evergreen",D18+D19+D20+D21+D23+D24,D18+D19+D20+D21+D22+D23+D24),D19+D20+D21+D22+D23+D24),"-")</f>
        <v>19129</v>
      </c>
      <c r="H27" s="742"/>
      <c r="I27" s="737"/>
      <c r="J27" s="719"/>
      <c r="K27" s="719"/>
      <c r="L27" s="719"/>
      <c r="M27" s="719"/>
      <c r="Q27" s="719"/>
      <c r="R27" s="719"/>
      <c r="S27" s="719"/>
      <c r="T27" s="719"/>
      <c r="U27" s="719"/>
      <c r="V27" s="719"/>
      <c r="W27" s="719"/>
      <c r="X27" s="719"/>
      <c r="Y27" s="719"/>
      <c r="Z27" s="719"/>
      <c r="AA27" s="719"/>
      <c r="AB27" s="719"/>
      <c r="AC27" s="719"/>
    </row>
    <row r="28" spans="1:79" s="719" customFormat="1" ht="0.75" customHeight="1" thickTop="1">
      <c r="B28" s="745"/>
      <c r="I28" s="737"/>
    </row>
    <row r="29" spans="1:79" s="719" customFormat="1" hidden="1">
      <c r="B29" s="746" t="s">
        <v>180</v>
      </c>
      <c r="D29" s="511">
        <f>SUM(D18:D27)</f>
        <v>20639</v>
      </c>
      <c r="E29" s="747"/>
      <c r="I29" s="737"/>
    </row>
    <row r="30" spans="1:79" s="719" customFormat="1" ht="12" customHeight="1">
      <c r="B30" s="736"/>
      <c r="I30" s="737"/>
    </row>
    <row r="31" spans="1:79">
      <c r="B31" s="976" t="s">
        <v>204</v>
      </c>
      <c r="C31" s="977"/>
      <c r="D31" s="978"/>
      <c r="E31" s="977"/>
      <c r="F31" s="977"/>
      <c r="G31" s="977"/>
      <c r="H31" s="977"/>
      <c r="I31" s="979"/>
      <c r="J31" s="719"/>
      <c r="K31" s="719"/>
      <c r="L31" s="719"/>
      <c r="M31" s="719"/>
      <c r="Q31" s="719"/>
      <c r="R31" s="719"/>
      <c r="S31" s="719"/>
      <c r="T31" s="719"/>
      <c r="U31" s="719"/>
      <c r="V31" s="719"/>
      <c r="W31" s="719"/>
      <c r="X31" s="719"/>
      <c r="Y31" s="719"/>
      <c r="Z31" s="719"/>
      <c r="AA31" s="719"/>
      <c r="AB31" s="719"/>
      <c r="AC31" s="719"/>
    </row>
    <row r="32" spans="1:79">
      <c r="B32" s="969" t="s">
        <v>230</v>
      </c>
      <c r="C32" s="970"/>
      <c r="D32" s="971"/>
      <c r="E32" s="970"/>
      <c r="F32" s="970"/>
      <c r="G32" s="971"/>
      <c r="H32" s="970"/>
      <c r="I32" s="973"/>
      <c r="J32" s="657"/>
      <c r="K32" s="661"/>
      <c r="L32" s="719"/>
      <c r="M32" s="719"/>
      <c r="Q32" s="719"/>
      <c r="R32" s="719"/>
      <c r="S32" s="719"/>
      <c r="T32" s="719"/>
      <c r="U32" s="719"/>
      <c r="V32" s="719"/>
      <c r="W32" s="719"/>
      <c r="X32" s="719"/>
      <c r="Y32" s="719"/>
      <c r="Z32" s="719"/>
      <c r="AA32" s="719"/>
      <c r="AB32" s="719"/>
      <c r="AC32" s="719"/>
    </row>
    <row r="33" spans="2:29" ht="14.25" customHeight="1">
      <c r="B33" s="1128" t="s">
        <v>231</v>
      </c>
      <c r="C33" s="1129"/>
      <c r="D33" s="1129"/>
      <c r="E33" s="1129"/>
      <c r="F33" s="1129"/>
      <c r="G33" s="1129"/>
      <c r="H33" s="1129"/>
      <c r="I33" s="1130"/>
      <c r="J33" s="1023"/>
      <c r="K33" s="1023"/>
      <c r="L33" s="719"/>
      <c r="M33" s="719"/>
      <c r="Q33" s="719"/>
      <c r="R33" s="719"/>
      <c r="S33" s="719"/>
      <c r="T33" s="719"/>
      <c r="U33" s="719"/>
      <c r="V33" s="719"/>
      <c r="W33" s="719"/>
      <c r="X33" s="719"/>
      <c r="Y33" s="719"/>
      <c r="Z33" s="719"/>
      <c r="AA33" s="719"/>
      <c r="AB33" s="719"/>
      <c r="AC33" s="719"/>
    </row>
    <row r="34" spans="2:29">
      <c r="B34" s="1128"/>
      <c r="C34" s="1129"/>
      <c r="D34" s="1129"/>
      <c r="E34" s="1129"/>
      <c r="F34" s="1129"/>
      <c r="G34" s="1129"/>
      <c r="H34" s="1129"/>
      <c r="I34" s="1130"/>
      <c r="J34" s="1023"/>
      <c r="K34" s="1023"/>
      <c r="L34" s="719"/>
      <c r="M34" s="719"/>
      <c r="Q34" s="719"/>
      <c r="R34" s="719"/>
      <c r="S34" s="719"/>
      <c r="T34" s="719"/>
      <c r="U34" s="719"/>
      <c r="V34" s="719"/>
      <c r="W34" s="719"/>
      <c r="X34" s="719"/>
      <c r="Y34" s="719"/>
      <c r="Z34" s="719"/>
      <c r="AA34" s="719"/>
      <c r="AB34" s="719"/>
      <c r="AC34" s="719"/>
    </row>
    <row r="35" spans="2:29">
      <c r="B35" s="1128"/>
      <c r="C35" s="1129"/>
      <c r="D35" s="1129"/>
      <c r="E35" s="1129"/>
      <c r="F35" s="1129"/>
      <c r="G35" s="1129"/>
      <c r="H35" s="1129"/>
      <c r="I35" s="1130"/>
      <c r="J35" s="1023"/>
      <c r="K35" s="1023"/>
      <c r="L35" s="719"/>
      <c r="M35" s="719"/>
      <c r="Q35" s="719"/>
      <c r="R35" s="719"/>
      <c r="S35" s="719"/>
      <c r="T35" s="719"/>
      <c r="U35" s="719"/>
      <c r="V35" s="719"/>
      <c r="W35" s="719"/>
      <c r="X35" s="719"/>
      <c r="Y35" s="719"/>
      <c r="Z35" s="719"/>
      <c r="AA35" s="719"/>
      <c r="AB35" s="719"/>
      <c r="AC35" s="719"/>
    </row>
    <row r="36" spans="2:29" s="719" customFormat="1">
      <c r="B36" s="1128"/>
      <c r="C36" s="1129"/>
      <c r="D36" s="1129"/>
      <c r="E36" s="1129"/>
      <c r="F36" s="1129"/>
      <c r="G36" s="1129"/>
      <c r="H36" s="1129"/>
      <c r="I36" s="1130"/>
      <c r="J36" s="1023"/>
      <c r="K36" s="1023"/>
    </row>
    <row r="37" spans="2:29" s="719" customFormat="1">
      <c r="B37" s="1128"/>
      <c r="C37" s="1129"/>
      <c r="D37" s="1129"/>
      <c r="E37" s="1129"/>
      <c r="F37" s="1129"/>
      <c r="G37" s="1129"/>
      <c r="H37" s="1129"/>
      <c r="I37" s="1130"/>
      <c r="J37" s="1023"/>
      <c r="K37" s="1023"/>
    </row>
    <row r="38" spans="2:29" s="719" customFormat="1">
      <c r="B38" s="1128"/>
      <c r="C38" s="1129"/>
      <c r="D38" s="1129"/>
      <c r="E38" s="1129"/>
      <c r="F38" s="1129"/>
      <c r="G38" s="1129"/>
      <c r="H38" s="1129"/>
      <c r="I38" s="1130"/>
      <c r="J38" s="1023"/>
      <c r="K38" s="1023"/>
    </row>
    <row r="39" spans="2:29" s="719" customFormat="1">
      <c r="B39" s="1128"/>
      <c r="C39" s="1129"/>
      <c r="D39" s="1129"/>
      <c r="E39" s="1129"/>
      <c r="F39" s="1129"/>
      <c r="G39" s="1129"/>
      <c r="H39" s="1129"/>
      <c r="I39" s="1130"/>
    </row>
    <row r="40" spans="2:29" s="719" customFormat="1">
      <c r="B40" s="1128"/>
      <c r="C40" s="1129"/>
      <c r="D40" s="1129"/>
      <c r="E40" s="1129"/>
      <c r="F40" s="1129"/>
      <c r="G40" s="1129"/>
      <c r="H40" s="1129"/>
      <c r="I40" s="1130"/>
    </row>
    <row r="41" spans="2:29" s="719" customFormat="1">
      <c r="B41" s="1128"/>
      <c r="C41" s="1129"/>
      <c r="D41" s="1129"/>
      <c r="E41" s="1129"/>
      <c r="F41" s="1129"/>
      <c r="G41" s="1129"/>
      <c r="H41" s="1129"/>
      <c r="I41" s="1130"/>
    </row>
    <row r="42" spans="2:29" s="719" customFormat="1">
      <c r="B42" s="1128"/>
      <c r="C42" s="1129"/>
      <c r="D42" s="1129"/>
      <c r="E42" s="1129"/>
      <c r="F42" s="1129"/>
      <c r="G42" s="1129"/>
      <c r="H42" s="1129"/>
      <c r="I42" s="1130"/>
    </row>
    <row r="43" spans="2:29" s="719" customFormat="1">
      <c r="B43" s="1128"/>
      <c r="C43" s="1129"/>
      <c r="D43" s="1129"/>
      <c r="E43" s="1129"/>
      <c r="F43" s="1129"/>
      <c r="G43" s="1129"/>
      <c r="H43" s="1129"/>
      <c r="I43" s="1130"/>
    </row>
    <row r="44" spans="2:29" s="719" customFormat="1" ht="21.75" customHeight="1">
      <c r="B44" s="1131"/>
      <c r="C44" s="1132"/>
      <c r="D44" s="1132"/>
      <c r="E44" s="1132"/>
      <c r="F44" s="1132"/>
      <c r="G44" s="1132"/>
      <c r="H44" s="1132"/>
      <c r="I44" s="1133"/>
    </row>
    <row r="45" spans="2:29" s="719" customFormat="1">
      <c r="B45" s="1022"/>
      <c r="C45" s="1022"/>
      <c r="D45" s="1022"/>
      <c r="E45" s="1022"/>
      <c r="F45" s="1022"/>
      <c r="G45" s="1022"/>
      <c r="H45" s="1022"/>
      <c r="I45" s="1022"/>
    </row>
    <row r="46" spans="2:29" s="719" customFormat="1">
      <c r="B46" s="1022"/>
      <c r="C46" s="1022"/>
      <c r="D46" s="1022"/>
      <c r="E46" s="1022"/>
      <c r="F46" s="1022"/>
      <c r="G46" s="1022"/>
      <c r="H46" s="1022"/>
      <c r="I46" s="1022"/>
    </row>
    <row r="47" spans="2:29" s="719" customFormat="1">
      <c r="B47" s="1022"/>
      <c r="C47" s="1022"/>
      <c r="D47" s="1022"/>
      <c r="E47" s="1022"/>
      <c r="F47" s="1022"/>
      <c r="G47" s="1022"/>
      <c r="H47" s="1022"/>
      <c r="I47" s="1022"/>
    </row>
    <row r="48" spans="2:29" s="719" customFormat="1">
      <c r="B48" s="1022"/>
      <c r="C48" s="1022"/>
      <c r="D48" s="1022"/>
      <c r="E48" s="1022"/>
      <c r="F48" s="1022"/>
      <c r="G48" s="1022"/>
      <c r="H48" s="1022"/>
      <c r="I48" s="1022"/>
    </row>
    <row r="49" spans="2:9" s="719" customFormat="1">
      <c r="B49" s="1022"/>
      <c r="C49" s="1022"/>
      <c r="D49" s="1022"/>
      <c r="E49" s="1022"/>
      <c r="F49" s="1022"/>
      <c r="G49" s="1022"/>
      <c r="H49" s="1022"/>
      <c r="I49" s="1022"/>
    </row>
    <row r="50" spans="2:9" s="719" customFormat="1">
      <c r="B50" s="1022"/>
      <c r="C50" s="1022"/>
      <c r="D50" s="1022"/>
      <c r="E50" s="1022"/>
      <c r="F50" s="1022"/>
      <c r="G50" s="1022"/>
      <c r="H50" s="1022"/>
      <c r="I50" s="1022"/>
    </row>
    <row r="51" spans="2:9" s="719" customFormat="1">
      <c r="B51" s="1022"/>
      <c r="C51" s="1022"/>
      <c r="D51" s="1022"/>
      <c r="E51" s="1022"/>
      <c r="F51" s="1022"/>
      <c r="G51" s="1022"/>
      <c r="H51" s="1022"/>
      <c r="I51" s="1022"/>
    </row>
    <row r="52" spans="2:9" s="719" customFormat="1">
      <c r="B52" s="1022"/>
      <c r="C52" s="1022"/>
      <c r="D52" s="1022"/>
      <c r="E52" s="1022"/>
      <c r="F52" s="1022"/>
      <c r="G52" s="1022"/>
      <c r="H52" s="1022"/>
      <c r="I52" s="1022"/>
    </row>
    <row r="53" spans="2:9" s="719" customFormat="1">
      <c r="B53" s="1022"/>
      <c r="C53" s="1022"/>
      <c r="D53" s="1022"/>
      <c r="E53" s="1022"/>
      <c r="F53" s="1022"/>
      <c r="G53" s="1022"/>
      <c r="H53" s="1022"/>
      <c r="I53" s="1022"/>
    </row>
    <row r="54" spans="2:9" s="719" customFormat="1">
      <c r="B54" s="1022"/>
      <c r="C54" s="1022"/>
      <c r="D54" s="1022"/>
      <c r="E54" s="1022"/>
      <c r="F54" s="1022"/>
      <c r="G54" s="1022"/>
      <c r="H54" s="1022"/>
      <c r="I54" s="1022"/>
    </row>
    <row r="55" spans="2:9" s="719" customFormat="1">
      <c r="B55" s="1022"/>
      <c r="C55" s="1022"/>
      <c r="D55" s="1022"/>
      <c r="E55" s="1022"/>
      <c r="F55" s="1022"/>
      <c r="G55" s="1022"/>
      <c r="H55" s="1022"/>
      <c r="I55" s="1022"/>
    </row>
    <row r="56" spans="2:9" s="719" customFormat="1">
      <c r="B56" s="1022"/>
      <c r="C56" s="1022"/>
      <c r="D56" s="1022"/>
      <c r="E56" s="1022"/>
      <c r="F56" s="1022"/>
      <c r="G56" s="1022"/>
      <c r="H56" s="1022"/>
      <c r="I56" s="1022"/>
    </row>
    <row r="57" spans="2:9" s="719" customFormat="1">
      <c r="B57" s="1022"/>
      <c r="C57" s="1022"/>
      <c r="D57" s="1022"/>
      <c r="E57" s="1022"/>
      <c r="F57" s="1022"/>
      <c r="G57" s="1022"/>
      <c r="H57" s="1022"/>
      <c r="I57" s="1022"/>
    </row>
    <row r="58" spans="2:9" s="719" customFormat="1">
      <c r="B58" s="1022"/>
      <c r="C58" s="1022"/>
      <c r="D58" s="1022"/>
      <c r="E58" s="1022"/>
      <c r="F58" s="1022"/>
      <c r="G58" s="1022"/>
      <c r="H58" s="1022"/>
      <c r="I58" s="1022"/>
    </row>
    <row r="59" spans="2:9" s="719" customFormat="1">
      <c r="B59" s="1022"/>
      <c r="C59" s="1022"/>
      <c r="D59" s="1022"/>
      <c r="E59" s="1022"/>
      <c r="F59" s="1022"/>
      <c r="G59" s="1022"/>
      <c r="H59" s="1022"/>
      <c r="I59" s="1022"/>
    </row>
    <row r="60" spans="2:9" s="719" customFormat="1">
      <c r="B60" s="1022"/>
      <c r="C60" s="1022"/>
      <c r="D60" s="1022"/>
      <c r="E60" s="1022"/>
      <c r="F60" s="1022"/>
      <c r="G60" s="1022"/>
      <c r="H60" s="1022"/>
      <c r="I60" s="1022"/>
    </row>
    <row r="61" spans="2:9" s="719" customFormat="1">
      <c r="B61" s="1022"/>
      <c r="C61" s="1022"/>
      <c r="D61" s="1022"/>
      <c r="E61" s="1022"/>
      <c r="F61" s="1022"/>
      <c r="G61" s="1022"/>
      <c r="H61" s="1022"/>
      <c r="I61" s="1022"/>
    </row>
    <row r="62" spans="2:9" s="719" customFormat="1">
      <c r="B62" s="1022"/>
      <c r="C62" s="1022"/>
      <c r="D62" s="1022"/>
      <c r="E62" s="1022"/>
      <c r="F62" s="1022"/>
      <c r="G62" s="1022"/>
      <c r="H62" s="1022"/>
      <c r="I62" s="1022"/>
    </row>
    <row r="63" spans="2:9" s="719" customFormat="1">
      <c r="B63" s="1022"/>
      <c r="C63" s="1022"/>
      <c r="D63" s="1022"/>
      <c r="E63" s="1022"/>
      <c r="F63" s="1022"/>
      <c r="G63" s="1022"/>
      <c r="H63" s="1022"/>
      <c r="I63" s="1022"/>
    </row>
    <row r="64" spans="2:9" s="719" customFormat="1">
      <c r="B64" s="1022"/>
      <c r="C64" s="1022"/>
      <c r="D64" s="1022"/>
      <c r="E64" s="1022"/>
      <c r="F64" s="1022"/>
      <c r="G64" s="1022"/>
      <c r="H64" s="1022"/>
      <c r="I64" s="1022"/>
    </row>
    <row r="65" spans="2:9" s="719" customFormat="1">
      <c r="B65" s="1022"/>
      <c r="C65" s="1022"/>
      <c r="D65" s="1022"/>
      <c r="E65" s="1022"/>
      <c r="F65" s="1022"/>
      <c r="G65" s="1022"/>
      <c r="H65" s="1022"/>
      <c r="I65" s="1022"/>
    </row>
    <row r="66" spans="2:9" s="719" customFormat="1">
      <c r="B66" s="1022"/>
      <c r="C66" s="1022"/>
      <c r="D66" s="1022"/>
      <c r="E66" s="1022"/>
      <c r="F66" s="1022"/>
      <c r="G66" s="1022"/>
      <c r="H66" s="1022"/>
      <c r="I66" s="1022"/>
    </row>
    <row r="67" spans="2:9" s="719" customFormat="1">
      <c r="B67" s="1022"/>
      <c r="C67" s="1022"/>
      <c r="D67" s="1022"/>
      <c r="E67" s="1022"/>
      <c r="F67" s="1022"/>
      <c r="G67" s="1022"/>
      <c r="H67" s="1022"/>
      <c r="I67" s="1022"/>
    </row>
    <row r="68" spans="2:9" s="719" customFormat="1">
      <c r="B68" s="1022"/>
      <c r="C68" s="1022"/>
      <c r="D68" s="1022"/>
      <c r="E68" s="1022"/>
      <c r="F68" s="1022"/>
      <c r="G68" s="1022"/>
      <c r="H68" s="1022"/>
      <c r="I68" s="1022"/>
    </row>
    <row r="69" spans="2:9" s="719" customFormat="1">
      <c r="B69" s="1022"/>
      <c r="C69" s="1022"/>
      <c r="D69" s="1022"/>
      <c r="E69" s="1022"/>
      <c r="F69" s="1022"/>
      <c r="G69" s="1022"/>
      <c r="H69" s="1022"/>
      <c r="I69" s="1022"/>
    </row>
    <row r="70" spans="2:9" s="719" customFormat="1">
      <c r="B70" s="1022"/>
      <c r="C70" s="1022"/>
      <c r="D70" s="1022"/>
      <c r="E70" s="1022"/>
      <c r="F70" s="1022"/>
      <c r="G70" s="1022"/>
      <c r="H70" s="1022"/>
      <c r="I70" s="1022"/>
    </row>
    <row r="71" spans="2:9" s="719" customFormat="1">
      <c r="B71" s="1022"/>
      <c r="C71" s="1022"/>
      <c r="D71" s="1022"/>
      <c r="E71" s="1022"/>
      <c r="F71" s="1022"/>
      <c r="G71" s="1022"/>
      <c r="H71" s="1022"/>
      <c r="I71" s="1022"/>
    </row>
    <row r="72" spans="2:9" s="719" customFormat="1">
      <c r="B72" s="1022"/>
      <c r="C72" s="1022"/>
      <c r="D72" s="1022"/>
      <c r="E72" s="1022"/>
      <c r="F72" s="1022"/>
      <c r="G72" s="1022"/>
      <c r="H72" s="1022"/>
      <c r="I72" s="1022"/>
    </row>
    <row r="73" spans="2:9" s="719" customFormat="1">
      <c r="B73" s="1022"/>
      <c r="C73" s="1022"/>
      <c r="D73" s="1022"/>
      <c r="E73" s="1022"/>
      <c r="F73" s="1022"/>
      <c r="G73" s="1022"/>
      <c r="H73" s="1022"/>
      <c r="I73" s="1022"/>
    </row>
    <row r="74" spans="2:9" s="719" customFormat="1">
      <c r="B74" s="1022"/>
      <c r="C74" s="1022"/>
      <c r="D74" s="1022"/>
      <c r="E74" s="1022"/>
      <c r="F74" s="1022"/>
      <c r="G74" s="1022"/>
      <c r="H74" s="1022"/>
      <c r="I74" s="1022"/>
    </row>
    <row r="75" spans="2:9" s="719" customFormat="1">
      <c r="B75" s="1022"/>
      <c r="C75" s="1022"/>
      <c r="D75" s="1022"/>
      <c r="E75" s="1022"/>
      <c r="F75" s="1022"/>
      <c r="G75" s="1022"/>
      <c r="H75" s="1022"/>
      <c r="I75" s="1022"/>
    </row>
    <row r="76" spans="2:9" s="719" customFormat="1">
      <c r="B76" s="1022"/>
      <c r="C76" s="1022"/>
      <c r="D76" s="1022"/>
      <c r="E76" s="1022"/>
      <c r="F76" s="1022"/>
      <c r="G76" s="1022"/>
      <c r="H76" s="1022"/>
      <c r="I76" s="1022"/>
    </row>
    <row r="77" spans="2:9" s="719" customFormat="1">
      <c r="B77" s="1022"/>
      <c r="C77" s="1022"/>
      <c r="D77" s="1022"/>
      <c r="E77" s="1022"/>
      <c r="F77" s="1022"/>
      <c r="G77" s="1022"/>
      <c r="H77" s="1022"/>
      <c r="I77" s="1022"/>
    </row>
    <row r="78" spans="2:9" s="719" customFormat="1">
      <c r="B78" s="1022"/>
      <c r="C78" s="1022"/>
      <c r="D78" s="1022"/>
      <c r="E78" s="1022"/>
      <c r="F78" s="1022"/>
      <c r="G78" s="1022"/>
      <c r="H78" s="1022"/>
      <c r="I78" s="1022"/>
    </row>
    <row r="79" spans="2:9" s="719" customFormat="1">
      <c r="B79" s="1022"/>
      <c r="C79" s="1022"/>
      <c r="D79" s="1022"/>
      <c r="E79" s="1022"/>
      <c r="F79" s="1022"/>
      <c r="G79" s="1022"/>
      <c r="H79" s="1022"/>
      <c r="I79" s="1022"/>
    </row>
    <row r="80" spans="2:9" s="719" customFormat="1">
      <c r="B80" s="1022"/>
      <c r="C80" s="1022"/>
      <c r="D80" s="1022"/>
      <c r="E80" s="1022"/>
      <c r="F80" s="1022"/>
      <c r="G80" s="1022"/>
      <c r="H80" s="1022"/>
      <c r="I80" s="1022"/>
    </row>
    <row r="81" spans="2:9" s="719" customFormat="1">
      <c r="B81" s="1022"/>
      <c r="C81" s="1022"/>
      <c r="D81" s="1022"/>
      <c r="E81" s="1022"/>
      <c r="F81" s="1022"/>
      <c r="G81" s="1022"/>
      <c r="H81" s="1022"/>
      <c r="I81" s="1022"/>
    </row>
    <row r="82" spans="2:9" s="719" customFormat="1">
      <c r="B82" s="1022"/>
      <c r="C82" s="1022"/>
      <c r="D82" s="1022"/>
      <c r="E82" s="1022"/>
      <c r="F82" s="1022"/>
      <c r="G82" s="1022"/>
      <c r="H82" s="1022"/>
      <c r="I82" s="1022"/>
    </row>
    <row r="83" spans="2:9" s="719" customFormat="1">
      <c r="B83" s="1022"/>
      <c r="C83" s="1022"/>
      <c r="D83" s="1022"/>
      <c r="E83" s="1022"/>
      <c r="F83" s="1022"/>
      <c r="G83" s="1022"/>
      <c r="H83" s="1022"/>
      <c r="I83" s="1022"/>
    </row>
    <row r="84" spans="2:9" s="719" customFormat="1">
      <c r="B84" s="1022"/>
      <c r="C84" s="1022"/>
      <c r="D84" s="1022"/>
      <c r="E84" s="1022"/>
      <c r="F84" s="1022"/>
      <c r="G84" s="1022"/>
      <c r="H84" s="1022"/>
      <c r="I84" s="1022"/>
    </row>
    <row r="85" spans="2:9" s="719" customFormat="1">
      <c r="B85" s="1022"/>
      <c r="C85" s="1022"/>
      <c r="D85" s="1022"/>
      <c r="E85" s="1022"/>
      <c r="F85" s="1022"/>
      <c r="G85" s="1022"/>
      <c r="H85" s="1022"/>
      <c r="I85" s="1022"/>
    </row>
    <row r="86" spans="2:9" s="719" customFormat="1">
      <c r="B86" s="1022"/>
      <c r="C86" s="1022"/>
      <c r="D86" s="1022"/>
      <c r="E86" s="1022"/>
      <c r="F86" s="1022"/>
      <c r="G86" s="1022"/>
      <c r="H86" s="1022"/>
      <c r="I86" s="1022"/>
    </row>
    <row r="87" spans="2:9" s="719" customFormat="1">
      <c r="B87" s="1022"/>
      <c r="C87" s="1022"/>
      <c r="D87" s="1022"/>
      <c r="E87" s="1022"/>
      <c r="F87" s="1022"/>
      <c r="G87" s="1022"/>
      <c r="H87" s="1022"/>
      <c r="I87" s="1022"/>
    </row>
    <row r="88" spans="2:9" s="719" customFormat="1">
      <c r="B88" s="1022"/>
      <c r="C88" s="1022"/>
      <c r="D88" s="1022"/>
      <c r="E88" s="1022"/>
      <c r="F88" s="1022"/>
      <c r="G88" s="1022"/>
      <c r="H88" s="1022"/>
      <c r="I88" s="1022"/>
    </row>
    <row r="89" spans="2:9" s="719" customFormat="1">
      <c r="B89" s="1022"/>
      <c r="C89" s="1022"/>
      <c r="D89" s="1022"/>
      <c r="E89" s="1022"/>
      <c r="F89" s="1022"/>
      <c r="G89" s="1022"/>
      <c r="H89" s="1022"/>
      <c r="I89" s="1022"/>
    </row>
    <row r="90" spans="2:9" s="719" customFormat="1">
      <c r="B90" s="1022"/>
      <c r="C90" s="1022"/>
      <c r="D90" s="1022"/>
      <c r="E90" s="1022"/>
      <c r="F90" s="1022"/>
      <c r="G90" s="1022"/>
      <c r="H90" s="1022"/>
      <c r="I90" s="1022"/>
    </row>
    <row r="91" spans="2:9" s="719" customFormat="1">
      <c r="B91" s="1022"/>
      <c r="C91" s="1022"/>
      <c r="D91" s="1022"/>
      <c r="E91" s="1022"/>
      <c r="F91" s="1022"/>
      <c r="G91" s="1022"/>
      <c r="H91" s="1022"/>
      <c r="I91" s="1022"/>
    </row>
    <row r="92" spans="2:9" s="719" customFormat="1">
      <c r="B92" s="1022"/>
      <c r="C92" s="1022"/>
      <c r="D92" s="1022"/>
      <c r="E92" s="1022"/>
      <c r="F92" s="1022"/>
      <c r="G92" s="1022"/>
      <c r="H92" s="1022"/>
      <c r="I92" s="1022"/>
    </row>
    <row r="93" spans="2:9" s="719" customFormat="1">
      <c r="B93" s="1022"/>
      <c r="C93" s="1022"/>
      <c r="D93" s="1022"/>
      <c r="E93" s="1022"/>
      <c r="F93" s="1022"/>
      <c r="G93" s="1022"/>
      <c r="H93" s="1022"/>
      <c r="I93" s="1022"/>
    </row>
    <row r="94" spans="2:9" s="719" customFormat="1">
      <c r="B94" s="1022"/>
      <c r="C94" s="1022"/>
      <c r="D94" s="1022"/>
      <c r="E94" s="1022"/>
      <c r="F94" s="1022"/>
      <c r="G94" s="1022"/>
      <c r="H94" s="1022"/>
      <c r="I94" s="1022"/>
    </row>
    <row r="95" spans="2:9" s="719" customFormat="1">
      <c r="B95" s="1022"/>
      <c r="C95" s="1022"/>
      <c r="D95" s="1022"/>
      <c r="E95" s="1022"/>
      <c r="F95" s="1022"/>
      <c r="G95" s="1022"/>
      <c r="H95" s="1022"/>
      <c r="I95" s="1022"/>
    </row>
    <row r="96" spans="2:9" s="719" customFormat="1">
      <c r="B96" s="1022"/>
      <c r="C96" s="1022"/>
      <c r="D96" s="1022"/>
      <c r="E96" s="1022"/>
      <c r="F96" s="1022"/>
      <c r="G96" s="1022"/>
      <c r="H96" s="1022"/>
      <c r="I96" s="1022"/>
    </row>
    <row r="97" spans="2:9" s="719" customFormat="1">
      <c r="B97" s="1022"/>
      <c r="C97" s="1022"/>
      <c r="D97" s="1022"/>
      <c r="E97" s="1022"/>
      <c r="F97" s="1022"/>
      <c r="G97" s="1022"/>
      <c r="H97" s="1022"/>
      <c r="I97" s="1022"/>
    </row>
    <row r="98" spans="2:9" s="719" customFormat="1">
      <c r="B98" s="1022"/>
      <c r="C98" s="1022"/>
      <c r="D98" s="1022"/>
      <c r="E98" s="1022"/>
      <c r="F98" s="1022"/>
      <c r="G98" s="1022"/>
      <c r="H98" s="1022"/>
      <c r="I98" s="1022"/>
    </row>
    <row r="99" spans="2:9" s="719" customFormat="1">
      <c r="B99" s="1022"/>
      <c r="C99" s="1022"/>
      <c r="D99" s="1022"/>
      <c r="E99" s="1022"/>
      <c r="F99" s="1022"/>
      <c r="G99" s="1022"/>
      <c r="H99" s="1022"/>
      <c r="I99" s="1022"/>
    </row>
    <row r="100" spans="2:9" s="719" customFormat="1">
      <c r="B100" s="1022"/>
      <c r="C100" s="1022"/>
      <c r="D100" s="1022"/>
      <c r="E100" s="1022"/>
      <c r="F100" s="1022"/>
      <c r="G100" s="1022"/>
      <c r="H100" s="1022"/>
      <c r="I100" s="1022"/>
    </row>
    <row r="101" spans="2:9" s="719" customFormat="1">
      <c r="B101" s="1022"/>
      <c r="C101" s="1022"/>
      <c r="D101" s="1022"/>
      <c r="E101" s="1022"/>
      <c r="F101" s="1022"/>
      <c r="G101" s="1022"/>
      <c r="H101" s="1022"/>
      <c r="I101" s="1022"/>
    </row>
    <row r="102" spans="2:9" s="719" customFormat="1">
      <c r="B102" s="1022"/>
      <c r="C102" s="1022"/>
      <c r="D102" s="1022"/>
      <c r="E102" s="1022"/>
      <c r="F102" s="1022"/>
      <c r="G102" s="1022"/>
      <c r="H102" s="1022"/>
      <c r="I102" s="1022"/>
    </row>
    <row r="103" spans="2:9" s="719" customFormat="1">
      <c r="B103" s="1022"/>
      <c r="C103" s="1022"/>
      <c r="D103" s="1022"/>
      <c r="E103" s="1022"/>
      <c r="F103" s="1022"/>
      <c r="G103" s="1022"/>
      <c r="H103" s="1022"/>
      <c r="I103" s="1022"/>
    </row>
    <row r="104" spans="2:9" s="719" customFormat="1">
      <c r="B104" s="1022"/>
      <c r="C104" s="1022"/>
      <c r="D104" s="1022"/>
      <c r="E104" s="1022"/>
      <c r="F104" s="1022"/>
      <c r="G104" s="1022"/>
      <c r="H104" s="1022"/>
      <c r="I104" s="1022"/>
    </row>
    <row r="105" spans="2:9" s="719" customFormat="1">
      <c r="B105" s="1022"/>
      <c r="C105" s="1022"/>
      <c r="D105" s="1022"/>
      <c r="E105" s="1022"/>
      <c r="F105" s="1022"/>
      <c r="G105" s="1022"/>
      <c r="H105" s="1022"/>
      <c r="I105" s="1022"/>
    </row>
    <row r="106" spans="2:9" s="719" customFormat="1">
      <c r="B106" s="1022"/>
      <c r="C106" s="1022"/>
      <c r="D106" s="1022"/>
      <c r="E106" s="1022"/>
      <c r="F106" s="1022"/>
      <c r="G106" s="1022"/>
      <c r="H106" s="1022"/>
      <c r="I106" s="1022"/>
    </row>
    <row r="107" spans="2:9" s="719" customFormat="1">
      <c r="B107" s="1022"/>
      <c r="C107" s="1022"/>
      <c r="D107" s="1022"/>
      <c r="E107" s="1022"/>
      <c r="F107" s="1022"/>
      <c r="G107" s="1022"/>
      <c r="H107" s="1022"/>
      <c r="I107" s="1022"/>
    </row>
    <row r="108" spans="2:9" s="719" customFormat="1">
      <c r="B108" s="1022"/>
      <c r="C108" s="1022"/>
      <c r="D108" s="1022"/>
      <c r="E108" s="1022"/>
      <c r="F108" s="1022"/>
      <c r="G108" s="1022"/>
      <c r="H108" s="1022"/>
      <c r="I108" s="1022"/>
    </row>
    <row r="109" spans="2:9" s="719" customFormat="1">
      <c r="B109" s="1022"/>
      <c r="C109" s="1022"/>
      <c r="D109" s="1022"/>
      <c r="E109" s="1022"/>
      <c r="F109" s="1022"/>
      <c r="G109" s="1022"/>
      <c r="H109" s="1022"/>
      <c r="I109" s="1022"/>
    </row>
    <row r="110" spans="2:9" s="719" customFormat="1">
      <c r="B110" s="1022"/>
      <c r="C110" s="1022"/>
      <c r="D110" s="1022"/>
      <c r="E110" s="1022"/>
      <c r="F110" s="1022"/>
      <c r="G110" s="1022"/>
      <c r="H110" s="1022"/>
      <c r="I110" s="1022"/>
    </row>
    <row r="111" spans="2:9" s="719" customFormat="1">
      <c r="B111" s="1022"/>
      <c r="C111" s="1022"/>
      <c r="D111" s="1022"/>
      <c r="E111" s="1022"/>
      <c r="F111" s="1022"/>
      <c r="G111" s="1022"/>
      <c r="H111" s="1022"/>
      <c r="I111" s="1022"/>
    </row>
    <row r="112" spans="2:9" s="719" customFormat="1">
      <c r="B112" s="1022"/>
      <c r="C112" s="1022"/>
      <c r="D112" s="1022"/>
      <c r="E112" s="1022"/>
      <c r="F112" s="1022"/>
      <c r="G112" s="1022"/>
      <c r="H112" s="1022"/>
      <c r="I112" s="1022"/>
    </row>
    <row r="113" spans="2:9" s="719" customFormat="1">
      <c r="B113" s="1022"/>
      <c r="C113" s="1022"/>
      <c r="D113" s="1022"/>
      <c r="E113" s="1022"/>
      <c r="F113" s="1022"/>
      <c r="G113" s="1022"/>
      <c r="H113" s="1022"/>
      <c r="I113" s="1022"/>
    </row>
    <row r="114" spans="2:9" s="719" customFormat="1">
      <c r="B114" s="1022"/>
      <c r="C114" s="1022"/>
      <c r="D114" s="1022"/>
      <c r="E114" s="1022"/>
      <c r="F114" s="1022"/>
      <c r="G114" s="1022"/>
      <c r="H114" s="1022"/>
      <c r="I114" s="1022"/>
    </row>
    <row r="115" spans="2:9" s="719" customFormat="1">
      <c r="B115" s="1022"/>
      <c r="C115" s="1022"/>
      <c r="D115" s="1022"/>
      <c r="E115" s="1022"/>
      <c r="F115" s="1022"/>
      <c r="G115" s="1022"/>
      <c r="H115" s="1022"/>
      <c r="I115" s="1022"/>
    </row>
    <row r="116" spans="2:9" s="719" customFormat="1">
      <c r="B116" s="1022"/>
      <c r="C116" s="1022"/>
      <c r="D116" s="1022"/>
      <c r="E116" s="1022"/>
      <c r="F116" s="1022"/>
      <c r="G116" s="1022"/>
      <c r="H116" s="1022"/>
      <c r="I116" s="1022"/>
    </row>
    <row r="117" spans="2:9" s="719" customFormat="1">
      <c r="B117" s="1022"/>
      <c r="C117" s="1022"/>
      <c r="D117" s="1022"/>
      <c r="E117" s="1022"/>
      <c r="F117" s="1022"/>
      <c r="G117" s="1022"/>
      <c r="H117" s="1022"/>
      <c r="I117" s="1022"/>
    </row>
    <row r="118" spans="2:9" s="719" customFormat="1">
      <c r="B118" s="1022"/>
      <c r="C118" s="1022"/>
      <c r="D118" s="1022"/>
      <c r="E118" s="1022"/>
      <c r="F118" s="1022"/>
      <c r="G118" s="1022"/>
      <c r="H118" s="1022"/>
      <c r="I118" s="1022"/>
    </row>
    <row r="119" spans="2:9" s="719" customFormat="1">
      <c r="B119" s="1022"/>
      <c r="C119" s="1022"/>
      <c r="D119" s="1022"/>
      <c r="E119" s="1022"/>
      <c r="F119" s="1022"/>
      <c r="G119" s="1022"/>
      <c r="H119" s="1022"/>
      <c r="I119" s="1022"/>
    </row>
    <row r="120" spans="2:9" s="719" customFormat="1">
      <c r="B120" s="1022"/>
      <c r="C120" s="1022"/>
      <c r="D120" s="1022"/>
      <c r="E120" s="1022"/>
      <c r="F120" s="1022"/>
      <c r="G120" s="1022"/>
      <c r="H120" s="1022"/>
      <c r="I120" s="1022"/>
    </row>
    <row r="121" spans="2:9" s="719" customFormat="1">
      <c r="B121" s="1022"/>
      <c r="C121" s="1022"/>
      <c r="D121" s="1022"/>
      <c r="E121" s="1022"/>
      <c r="F121" s="1022"/>
      <c r="G121" s="1022"/>
      <c r="H121" s="1022"/>
      <c r="I121" s="1022"/>
    </row>
    <row r="122" spans="2:9" s="719" customFormat="1">
      <c r="B122" s="1022"/>
      <c r="C122" s="1022"/>
      <c r="D122" s="1022"/>
      <c r="E122" s="1022"/>
      <c r="F122" s="1022"/>
      <c r="G122" s="1022"/>
      <c r="H122" s="1022"/>
      <c r="I122" s="1022"/>
    </row>
    <row r="123" spans="2:9" s="719" customFormat="1">
      <c r="B123" s="1022"/>
      <c r="C123" s="1022"/>
      <c r="D123" s="1022"/>
      <c r="E123" s="1022"/>
      <c r="F123" s="1022"/>
      <c r="G123" s="1022"/>
      <c r="H123" s="1022"/>
      <c r="I123" s="1022"/>
    </row>
    <row r="124" spans="2:9" s="719" customFormat="1">
      <c r="B124" s="1022"/>
      <c r="C124" s="1022"/>
      <c r="D124" s="1022"/>
      <c r="E124" s="1022"/>
      <c r="F124" s="1022"/>
      <c r="G124" s="1022"/>
      <c r="H124" s="1022"/>
      <c r="I124" s="1022"/>
    </row>
    <row r="125" spans="2:9" s="719" customFormat="1">
      <c r="B125" s="1022"/>
      <c r="C125" s="1022"/>
      <c r="D125" s="1022"/>
      <c r="E125" s="1022"/>
      <c r="F125" s="1022"/>
      <c r="G125" s="1022"/>
      <c r="H125" s="1022"/>
      <c r="I125" s="1022"/>
    </row>
    <row r="126" spans="2:9" s="719" customFormat="1">
      <c r="B126" s="1022"/>
      <c r="C126" s="1022"/>
      <c r="D126" s="1022"/>
      <c r="E126" s="1022"/>
      <c r="F126" s="1022"/>
      <c r="G126" s="1022"/>
      <c r="H126" s="1022"/>
      <c r="I126" s="1022"/>
    </row>
    <row r="127" spans="2:9" s="719" customFormat="1">
      <c r="B127" s="1022"/>
      <c r="C127" s="1022"/>
      <c r="D127" s="1022"/>
      <c r="E127" s="1022"/>
      <c r="F127" s="1022"/>
      <c r="G127" s="1022"/>
      <c r="H127" s="1022"/>
      <c r="I127" s="1022"/>
    </row>
    <row r="128" spans="2:9" s="719" customFormat="1">
      <c r="B128" s="1022"/>
      <c r="C128" s="1022"/>
      <c r="D128" s="1022"/>
      <c r="E128" s="1022"/>
      <c r="F128" s="1022"/>
      <c r="G128" s="1022"/>
      <c r="H128" s="1022"/>
      <c r="I128" s="1022"/>
    </row>
    <row r="129" spans="2:9" s="719" customFormat="1">
      <c r="B129" s="1022"/>
      <c r="C129" s="1022"/>
      <c r="D129" s="1022"/>
      <c r="E129" s="1022"/>
      <c r="F129" s="1022"/>
      <c r="G129" s="1022"/>
      <c r="H129" s="1022"/>
      <c r="I129" s="1022"/>
    </row>
    <row r="130" spans="2:9" s="719" customFormat="1">
      <c r="B130" s="1022"/>
      <c r="C130" s="1022"/>
      <c r="D130" s="1022"/>
      <c r="E130" s="1022"/>
      <c r="F130" s="1022"/>
      <c r="G130" s="1022"/>
      <c r="H130" s="1022"/>
      <c r="I130" s="1022"/>
    </row>
    <row r="131" spans="2:9" s="719" customFormat="1">
      <c r="B131" s="1022"/>
      <c r="C131" s="1022"/>
      <c r="D131" s="1022"/>
      <c r="E131" s="1022"/>
      <c r="F131" s="1022"/>
      <c r="G131" s="1022"/>
      <c r="H131" s="1022"/>
      <c r="I131" s="1022"/>
    </row>
    <row r="132" spans="2:9" s="719" customFormat="1">
      <c r="B132" s="1022"/>
      <c r="C132" s="1022"/>
      <c r="D132" s="1022"/>
      <c r="E132" s="1022"/>
      <c r="F132" s="1022"/>
      <c r="G132" s="1022"/>
      <c r="H132" s="1022"/>
      <c r="I132" s="1022"/>
    </row>
    <row r="133" spans="2:9" s="719" customFormat="1">
      <c r="B133" s="1022"/>
      <c r="C133" s="1022"/>
      <c r="D133" s="1022"/>
      <c r="E133" s="1022"/>
      <c r="F133" s="1022"/>
      <c r="G133" s="1022"/>
      <c r="H133" s="1022"/>
      <c r="I133" s="1022"/>
    </row>
    <row r="134" spans="2:9" s="719" customFormat="1">
      <c r="B134" s="1022"/>
      <c r="C134" s="1022"/>
      <c r="D134" s="1022"/>
      <c r="E134" s="1022"/>
      <c r="F134" s="1022"/>
      <c r="G134" s="1022"/>
      <c r="H134" s="1022"/>
      <c r="I134" s="1022"/>
    </row>
    <row r="135" spans="2:9" s="719" customFormat="1">
      <c r="B135" s="1022"/>
      <c r="C135" s="1022"/>
      <c r="D135" s="1022"/>
      <c r="E135" s="1022"/>
      <c r="F135" s="1022"/>
      <c r="G135" s="1022"/>
      <c r="H135" s="1022"/>
      <c r="I135" s="1022"/>
    </row>
    <row r="136" spans="2:9" s="719" customFormat="1">
      <c r="B136" s="1022"/>
      <c r="C136" s="1022"/>
      <c r="D136" s="1022"/>
      <c r="E136" s="1022"/>
      <c r="F136" s="1022"/>
      <c r="G136" s="1022"/>
      <c r="H136" s="1022"/>
      <c r="I136" s="1022"/>
    </row>
    <row r="137" spans="2:9" s="719" customFormat="1">
      <c r="B137" s="1022"/>
      <c r="C137" s="1022"/>
      <c r="D137" s="1022"/>
      <c r="E137" s="1022"/>
      <c r="F137" s="1022"/>
      <c r="G137" s="1022"/>
      <c r="H137" s="1022"/>
      <c r="I137" s="1022"/>
    </row>
    <row r="138" spans="2:9" s="719" customFormat="1">
      <c r="B138" s="1022"/>
      <c r="C138" s="1022"/>
      <c r="D138" s="1022"/>
      <c r="E138" s="1022"/>
      <c r="F138" s="1022"/>
      <c r="G138" s="1022"/>
      <c r="H138" s="1022"/>
      <c r="I138" s="1022"/>
    </row>
    <row r="139" spans="2:9" s="719" customFormat="1">
      <c r="B139" s="1022"/>
      <c r="C139" s="1022"/>
      <c r="D139" s="1022"/>
      <c r="E139" s="1022"/>
      <c r="F139" s="1022"/>
      <c r="G139" s="1022"/>
      <c r="H139" s="1022"/>
      <c r="I139" s="1022"/>
    </row>
    <row r="140" spans="2:9" s="719" customFormat="1">
      <c r="B140" s="1022"/>
      <c r="C140" s="1022"/>
      <c r="D140" s="1022"/>
      <c r="E140" s="1022"/>
      <c r="F140" s="1022"/>
      <c r="G140" s="1022"/>
      <c r="H140" s="1022"/>
      <c r="I140" s="1022"/>
    </row>
    <row r="141" spans="2:9" s="719" customFormat="1">
      <c r="B141" s="1022"/>
      <c r="C141" s="1022"/>
      <c r="D141" s="1022"/>
      <c r="E141" s="1022"/>
      <c r="F141" s="1022"/>
      <c r="G141" s="1022"/>
      <c r="H141" s="1022"/>
      <c r="I141" s="1022"/>
    </row>
    <row r="142" spans="2:9" s="719" customFormat="1">
      <c r="B142" s="1022"/>
      <c r="C142" s="1022"/>
      <c r="D142" s="1022"/>
      <c r="E142" s="1022"/>
      <c r="F142" s="1022"/>
      <c r="G142" s="1022"/>
      <c r="H142" s="1022"/>
      <c r="I142" s="1022"/>
    </row>
    <row r="143" spans="2:9" s="719" customFormat="1">
      <c r="B143" s="1022"/>
      <c r="C143" s="1022"/>
      <c r="D143" s="1022"/>
      <c r="E143" s="1022"/>
      <c r="F143" s="1022"/>
      <c r="G143" s="1022"/>
      <c r="H143" s="1022"/>
      <c r="I143" s="1022"/>
    </row>
    <row r="144" spans="2:9" s="719" customFormat="1">
      <c r="B144" s="1022"/>
      <c r="C144" s="1022"/>
      <c r="D144" s="1022"/>
      <c r="E144" s="1022"/>
      <c r="F144" s="1022"/>
      <c r="G144" s="1022"/>
      <c r="H144" s="1022"/>
      <c r="I144" s="1022"/>
    </row>
    <row r="145" spans="2:9" s="719" customFormat="1">
      <c r="B145" s="1022"/>
      <c r="C145" s="1022"/>
      <c r="D145" s="1022"/>
      <c r="E145" s="1022"/>
      <c r="F145" s="1022"/>
      <c r="G145" s="1022"/>
      <c r="H145" s="1022"/>
      <c r="I145" s="1022"/>
    </row>
    <row r="146" spans="2:9" s="719" customFormat="1">
      <c r="B146" s="1022"/>
      <c r="C146" s="1022"/>
      <c r="D146" s="1022"/>
      <c r="E146" s="1022"/>
      <c r="F146" s="1022"/>
      <c r="G146" s="1022"/>
      <c r="H146" s="1022"/>
      <c r="I146" s="1022"/>
    </row>
    <row r="147" spans="2:9" s="719" customFormat="1">
      <c r="B147" s="1022"/>
      <c r="C147" s="1022"/>
      <c r="D147" s="1022"/>
      <c r="E147" s="1022"/>
      <c r="F147" s="1022"/>
      <c r="G147" s="1022"/>
      <c r="H147" s="1022"/>
      <c r="I147" s="1022"/>
    </row>
    <row r="148" spans="2:9" s="719" customFormat="1">
      <c r="B148" s="1022"/>
      <c r="C148" s="1022"/>
      <c r="D148" s="1022"/>
      <c r="E148" s="1022"/>
      <c r="F148" s="1022"/>
      <c r="G148" s="1022"/>
      <c r="H148" s="1022"/>
      <c r="I148" s="1022"/>
    </row>
    <row r="149" spans="2:9" s="719" customFormat="1">
      <c r="B149" s="1022"/>
      <c r="C149" s="1022"/>
      <c r="D149" s="1022"/>
      <c r="E149" s="1022"/>
      <c r="F149" s="1022"/>
      <c r="G149" s="1022"/>
      <c r="H149" s="1022"/>
      <c r="I149" s="1022"/>
    </row>
    <row r="150" spans="2:9" s="719" customFormat="1">
      <c r="B150" s="1022"/>
      <c r="C150" s="1022"/>
      <c r="D150" s="1022"/>
      <c r="E150" s="1022"/>
      <c r="F150" s="1022"/>
      <c r="G150" s="1022"/>
      <c r="H150" s="1022"/>
      <c r="I150" s="1022"/>
    </row>
    <row r="151" spans="2:9" s="719" customFormat="1">
      <c r="B151" s="1022"/>
      <c r="C151" s="1022"/>
      <c r="D151" s="1022"/>
      <c r="E151" s="1022"/>
      <c r="F151" s="1022"/>
      <c r="G151" s="1022"/>
      <c r="H151" s="1022"/>
      <c r="I151" s="1022"/>
    </row>
    <row r="152" spans="2:9" s="719" customFormat="1">
      <c r="B152" s="1022"/>
      <c r="C152" s="1022"/>
      <c r="D152" s="1022"/>
      <c r="E152" s="1022"/>
      <c r="F152" s="1022"/>
      <c r="G152" s="1022"/>
      <c r="H152" s="1022"/>
      <c r="I152" s="1022"/>
    </row>
    <row r="153" spans="2:9" s="719" customFormat="1">
      <c r="B153" s="1022"/>
      <c r="C153" s="1022"/>
      <c r="D153" s="1022"/>
      <c r="E153" s="1022"/>
      <c r="F153" s="1022"/>
      <c r="G153" s="1022"/>
      <c r="H153" s="1022"/>
      <c r="I153" s="1022"/>
    </row>
    <row r="154" spans="2:9" s="719" customFormat="1">
      <c r="B154" s="1022"/>
      <c r="C154" s="1022"/>
      <c r="D154" s="1022"/>
      <c r="E154" s="1022"/>
      <c r="F154" s="1022"/>
      <c r="G154" s="1022"/>
      <c r="H154" s="1022"/>
      <c r="I154" s="1022"/>
    </row>
    <row r="155" spans="2:9" s="719" customFormat="1">
      <c r="B155" s="1022"/>
      <c r="C155" s="1022"/>
      <c r="D155" s="1022"/>
      <c r="E155" s="1022"/>
      <c r="F155" s="1022"/>
      <c r="G155" s="1022"/>
      <c r="H155" s="1022"/>
      <c r="I155" s="1022"/>
    </row>
    <row r="156" spans="2:9" s="719" customFormat="1">
      <c r="B156" s="1022"/>
      <c r="C156" s="1022"/>
      <c r="D156" s="1022"/>
      <c r="E156" s="1022"/>
      <c r="F156" s="1022"/>
      <c r="G156" s="1022"/>
      <c r="H156" s="1022"/>
      <c r="I156" s="1022"/>
    </row>
    <row r="157" spans="2:9" s="719" customFormat="1">
      <c r="B157" s="1022"/>
      <c r="C157" s="1022"/>
      <c r="D157" s="1022"/>
      <c r="E157" s="1022"/>
      <c r="F157" s="1022"/>
      <c r="G157" s="1022"/>
      <c r="H157" s="1022"/>
      <c r="I157" s="1022"/>
    </row>
    <row r="158" spans="2:9" s="719" customFormat="1">
      <c r="B158" s="1022"/>
      <c r="C158" s="1022"/>
      <c r="D158" s="1022"/>
      <c r="E158" s="1022"/>
      <c r="F158" s="1022"/>
      <c r="G158" s="1022"/>
      <c r="H158" s="1022"/>
      <c r="I158" s="1022"/>
    </row>
    <row r="159" spans="2:9" s="719" customFormat="1">
      <c r="B159" s="1022"/>
      <c r="C159" s="1022"/>
      <c r="D159" s="1022"/>
      <c r="E159" s="1022"/>
      <c r="F159" s="1022"/>
      <c r="G159" s="1022"/>
      <c r="H159" s="1022"/>
      <c r="I159" s="1022"/>
    </row>
    <row r="160" spans="2:9" s="719" customFormat="1">
      <c r="B160" s="1022"/>
      <c r="C160" s="1022"/>
      <c r="D160" s="1022"/>
      <c r="E160" s="1022"/>
      <c r="F160" s="1022"/>
      <c r="G160" s="1022"/>
      <c r="H160" s="1022"/>
      <c r="I160" s="1022"/>
    </row>
    <row r="161" spans="2:9" s="719" customFormat="1">
      <c r="B161" s="1022"/>
      <c r="C161" s="1022"/>
      <c r="D161" s="1022"/>
      <c r="E161" s="1022"/>
      <c r="F161" s="1022"/>
      <c r="G161" s="1022"/>
      <c r="H161" s="1022"/>
      <c r="I161" s="1022"/>
    </row>
    <row r="162" spans="2:9" s="719" customFormat="1">
      <c r="B162" s="1022"/>
      <c r="C162" s="1022"/>
      <c r="D162" s="1022"/>
      <c r="E162" s="1022"/>
      <c r="F162" s="1022"/>
      <c r="G162" s="1022"/>
      <c r="H162" s="1022"/>
      <c r="I162" s="1022"/>
    </row>
    <row r="163" spans="2:9" s="719" customFormat="1">
      <c r="B163" s="1022"/>
      <c r="C163" s="1022"/>
      <c r="D163" s="1022"/>
      <c r="E163" s="1022"/>
      <c r="F163" s="1022"/>
      <c r="G163" s="1022"/>
      <c r="H163" s="1022"/>
      <c r="I163" s="1022"/>
    </row>
    <row r="164" spans="2:9" s="719" customFormat="1">
      <c r="B164" s="1022"/>
      <c r="C164" s="1022"/>
      <c r="D164" s="1022"/>
      <c r="E164" s="1022"/>
      <c r="F164" s="1022"/>
      <c r="G164" s="1022"/>
      <c r="H164" s="1022"/>
      <c r="I164" s="1022"/>
    </row>
    <row r="165" spans="2:9" s="719" customFormat="1">
      <c r="B165" s="1022"/>
      <c r="C165" s="1022"/>
      <c r="D165" s="1022"/>
      <c r="E165" s="1022"/>
      <c r="F165" s="1022"/>
      <c r="G165" s="1022"/>
      <c r="H165" s="1022"/>
      <c r="I165" s="1022"/>
    </row>
    <row r="166" spans="2:9" s="719" customFormat="1">
      <c r="B166" s="1022"/>
      <c r="C166" s="1022"/>
      <c r="D166" s="1022"/>
      <c r="E166" s="1022"/>
      <c r="F166" s="1022"/>
      <c r="G166" s="1022"/>
      <c r="H166" s="1022"/>
      <c r="I166" s="1022"/>
    </row>
    <row r="167" spans="2:9" s="719" customFormat="1">
      <c r="B167" s="1022"/>
      <c r="C167" s="1022"/>
      <c r="D167" s="1022"/>
      <c r="E167" s="1022"/>
      <c r="F167" s="1022"/>
      <c r="G167" s="1022"/>
      <c r="H167" s="1022"/>
      <c r="I167" s="1022"/>
    </row>
    <row r="168" spans="2:9" s="719" customFormat="1">
      <c r="B168" s="1022"/>
      <c r="C168" s="1022"/>
      <c r="D168" s="1022"/>
      <c r="E168" s="1022"/>
      <c r="F168" s="1022"/>
      <c r="G168" s="1022"/>
      <c r="H168" s="1022"/>
      <c r="I168" s="1022"/>
    </row>
    <row r="169" spans="2:9" s="719" customFormat="1">
      <c r="B169" s="1022"/>
      <c r="C169" s="1022"/>
      <c r="D169" s="1022"/>
      <c r="E169" s="1022"/>
      <c r="F169" s="1022"/>
      <c r="G169" s="1022"/>
      <c r="H169" s="1022"/>
      <c r="I169" s="1022"/>
    </row>
    <row r="170" spans="2:9" s="719" customFormat="1">
      <c r="B170" s="1022"/>
      <c r="C170" s="1022"/>
      <c r="D170" s="1022"/>
      <c r="E170" s="1022"/>
      <c r="F170" s="1022"/>
      <c r="G170" s="1022"/>
      <c r="H170" s="1022"/>
      <c r="I170" s="1022"/>
    </row>
    <row r="171" spans="2:9" s="719" customFormat="1">
      <c r="B171" s="1022"/>
      <c r="C171" s="1022"/>
      <c r="D171" s="1022"/>
      <c r="E171" s="1022"/>
      <c r="F171" s="1022"/>
      <c r="G171" s="1022"/>
      <c r="H171" s="1022"/>
      <c r="I171" s="1022"/>
    </row>
    <row r="172" spans="2:9" s="719" customFormat="1">
      <c r="B172" s="1022"/>
      <c r="C172" s="1022"/>
      <c r="D172" s="1022"/>
      <c r="E172" s="1022"/>
      <c r="F172" s="1022"/>
      <c r="G172" s="1022"/>
      <c r="H172" s="1022"/>
      <c r="I172" s="1022"/>
    </row>
    <row r="173" spans="2:9" s="719" customFormat="1">
      <c r="B173" s="1022"/>
      <c r="C173" s="1022"/>
      <c r="D173" s="1022"/>
      <c r="E173" s="1022"/>
      <c r="F173" s="1022"/>
      <c r="G173" s="1022"/>
      <c r="H173" s="1022"/>
      <c r="I173" s="1022"/>
    </row>
    <row r="174" spans="2:9" s="719" customFormat="1">
      <c r="B174" s="1022"/>
      <c r="C174" s="1022"/>
      <c r="D174" s="1022"/>
      <c r="E174" s="1022"/>
      <c r="F174" s="1022"/>
      <c r="G174" s="1022"/>
      <c r="H174" s="1022"/>
      <c r="I174" s="1022"/>
    </row>
    <row r="175" spans="2:9" s="719" customFormat="1">
      <c r="B175" s="1022"/>
      <c r="C175" s="1022"/>
      <c r="D175" s="1022"/>
      <c r="E175" s="1022"/>
      <c r="F175" s="1022"/>
      <c r="G175" s="1022"/>
      <c r="H175" s="1022"/>
      <c r="I175" s="1022"/>
    </row>
    <row r="176" spans="2:9" s="719" customFormat="1">
      <c r="B176" s="1022"/>
      <c r="C176" s="1022"/>
      <c r="D176" s="1022"/>
      <c r="E176" s="1022"/>
      <c r="F176" s="1022"/>
      <c r="G176" s="1022"/>
      <c r="H176" s="1022"/>
      <c r="I176" s="1022"/>
    </row>
    <row r="177" spans="2:9" s="719" customFormat="1">
      <c r="B177" s="1022"/>
      <c r="C177" s="1022"/>
      <c r="D177" s="1022"/>
      <c r="E177" s="1022"/>
      <c r="F177" s="1022"/>
      <c r="G177" s="1022"/>
      <c r="H177" s="1022"/>
      <c r="I177" s="1022"/>
    </row>
    <row r="178" spans="2:9" s="719" customFormat="1">
      <c r="B178" s="1022"/>
      <c r="C178" s="1022"/>
      <c r="D178" s="1022"/>
      <c r="E178" s="1022"/>
      <c r="F178" s="1022"/>
      <c r="G178" s="1022"/>
      <c r="H178" s="1022"/>
      <c r="I178" s="1022"/>
    </row>
    <row r="179" spans="2:9" s="719" customFormat="1">
      <c r="B179" s="1022"/>
      <c r="C179" s="1022"/>
      <c r="D179" s="1022"/>
      <c r="E179" s="1022"/>
      <c r="F179" s="1022"/>
      <c r="G179" s="1022"/>
      <c r="H179" s="1022"/>
      <c r="I179" s="1022"/>
    </row>
    <row r="180" spans="2:9" s="719" customFormat="1">
      <c r="B180" s="1022"/>
      <c r="C180" s="1022"/>
      <c r="D180" s="1022"/>
      <c r="E180" s="1022"/>
      <c r="F180" s="1022"/>
      <c r="G180" s="1022"/>
      <c r="H180" s="1022"/>
      <c r="I180" s="1022"/>
    </row>
    <row r="181" spans="2:9" s="719" customFormat="1">
      <c r="B181" s="1022"/>
      <c r="C181" s="1022"/>
      <c r="D181" s="1022"/>
      <c r="E181" s="1022"/>
      <c r="F181" s="1022"/>
      <c r="G181" s="1022"/>
      <c r="H181" s="1022"/>
      <c r="I181" s="1022"/>
    </row>
    <row r="182" spans="2:9" s="719" customFormat="1">
      <c r="B182" s="1022"/>
      <c r="C182" s="1022"/>
      <c r="D182" s="1022"/>
      <c r="E182" s="1022"/>
      <c r="F182" s="1022"/>
      <c r="G182" s="1022"/>
      <c r="H182" s="1022"/>
      <c r="I182" s="1022"/>
    </row>
    <row r="183" spans="2:9" s="719" customFormat="1">
      <c r="B183" s="1022"/>
      <c r="C183" s="1022"/>
      <c r="D183" s="1022"/>
      <c r="E183" s="1022"/>
      <c r="F183" s="1022"/>
      <c r="G183" s="1022"/>
      <c r="H183" s="1022"/>
      <c r="I183" s="1022"/>
    </row>
    <row r="184" spans="2:9" s="719" customFormat="1">
      <c r="B184" s="1022"/>
      <c r="C184" s="1022"/>
      <c r="D184" s="1022"/>
      <c r="E184" s="1022"/>
      <c r="F184" s="1022"/>
      <c r="G184" s="1022"/>
      <c r="H184" s="1022"/>
      <c r="I184" s="1022"/>
    </row>
    <row r="185" spans="2:9" s="719" customFormat="1">
      <c r="B185" s="1022"/>
      <c r="C185" s="1022"/>
      <c r="D185" s="1022"/>
      <c r="E185" s="1022"/>
      <c r="F185" s="1022"/>
      <c r="G185" s="1022"/>
      <c r="H185" s="1022"/>
      <c r="I185" s="1022"/>
    </row>
    <row r="186" spans="2:9" s="719" customFormat="1">
      <c r="B186" s="1022"/>
      <c r="C186" s="1022"/>
      <c r="D186" s="1022"/>
      <c r="E186" s="1022"/>
      <c r="F186" s="1022"/>
      <c r="G186" s="1022"/>
      <c r="H186" s="1022"/>
      <c r="I186" s="1022"/>
    </row>
    <row r="187" spans="2:9" s="719" customFormat="1">
      <c r="B187" s="1022"/>
      <c r="C187" s="1022"/>
      <c r="D187" s="1022"/>
      <c r="E187" s="1022"/>
      <c r="F187" s="1022"/>
      <c r="G187" s="1022"/>
      <c r="H187" s="1022"/>
      <c r="I187" s="1022"/>
    </row>
    <row r="188" spans="2:9" s="719" customFormat="1">
      <c r="B188" s="1022"/>
      <c r="C188" s="1022"/>
      <c r="D188" s="1022"/>
      <c r="E188" s="1022"/>
      <c r="F188" s="1022"/>
      <c r="G188" s="1022"/>
      <c r="H188" s="1022"/>
      <c r="I188" s="1022"/>
    </row>
    <row r="189" spans="2:9" s="719" customFormat="1">
      <c r="B189" s="1022"/>
      <c r="C189" s="1022"/>
      <c r="D189" s="1022"/>
      <c r="E189" s="1022"/>
      <c r="F189" s="1022"/>
      <c r="G189" s="1022"/>
      <c r="H189" s="1022"/>
      <c r="I189" s="1022"/>
    </row>
    <row r="190" spans="2:9" s="719" customFormat="1">
      <c r="B190" s="1022"/>
      <c r="C190" s="1022"/>
      <c r="D190" s="1022"/>
      <c r="E190" s="1022"/>
      <c r="F190" s="1022"/>
      <c r="G190" s="1022"/>
      <c r="H190" s="1022"/>
      <c r="I190" s="1022"/>
    </row>
    <row r="191" spans="2:9" s="719" customFormat="1">
      <c r="B191" s="1022"/>
      <c r="C191" s="1022"/>
      <c r="D191" s="1022"/>
      <c r="E191" s="1022"/>
      <c r="F191" s="1022"/>
      <c r="G191" s="1022"/>
      <c r="H191" s="1022"/>
      <c r="I191" s="1022"/>
    </row>
    <row r="192" spans="2:9" s="719" customFormat="1">
      <c r="B192" s="1022"/>
      <c r="C192" s="1022"/>
      <c r="D192" s="1022"/>
      <c r="E192" s="1022"/>
      <c r="F192" s="1022"/>
      <c r="G192" s="1022"/>
      <c r="H192" s="1022"/>
      <c r="I192" s="1022"/>
    </row>
    <row r="193" spans="2:9" s="719" customFormat="1">
      <c r="B193" s="1022"/>
      <c r="C193" s="1022"/>
      <c r="D193" s="1022"/>
      <c r="E193" s="1022"/>
      <c r="F193" s="1022"/>
      <c r="G193" s="1022"/>
      <c r="H193" s="1022"/>
      <c r="I193" s="1022"/>
    </row>
    <row r="194" spans="2:9" s="719" customFormat="1">
      <c r="B194" s="1022"/>
      <c r="C194" s="1022"/>
      <c r="D194" s="1022"/>
      <c r="E194" s="1022"/>
      <c r="F194" s="1022"/>
      <c r="G194" s="1022"/>
      <c r="H194" s="1022"/>
      <c r="I194" s="1022"/>
    </row>
    <row r="195" spans="2:9" s="719" customFormat="1">
      <c r="B195" s="1022"/>
      <c r="C195" s="1022"/>
      <c r="D195" s="1022"/>
      <c r="E195" s="1022"/>
      <c r="F195" s="1022"/>
      <c r="G195" s="1022"/>
      <c r="H195" s="1022"/>
      <c r="I195" s="1022"/>
    </row>
    <row r="196" spans="2:9" s="719" customFormat="1">
      <c r="B196" s="1022"/>
      <c r="C196" s="1022"/>
      <c r="D196" s="1022"/>
      <c r="E196" s="1022"/>
      <c r="F196" s="1022"/>
      <c r="G196" s="1022"/>
      <c r="H196" s="1022"/>
      <c r="I196" s="1022"/>
    </row>
    <row r="197" spans="2:9" s="719" customFormat="1">
      <c r="B197" s="1022"/>
      <c r="C197" s="1022"/>
      <c r="D197" s="1022"/>
      <c r="E197" s="1022"/>
      <c r="F197" s="1022"/>
      <c r="G197" s="1022"/>
      <c r="H197" s="1022"/>
      <c r="I197" s="1022"/>
    </row>
    <row r="198" spans="2:9" s="719" customFormat="1">
      <c r="B198" s="1022"/>
      <c r="C198" s="1022"/>
      <c r="D198" s="1022"/>
      <c r="E198" s="1022"/>
      <c r="F198" s="1022"/>
      <c r="G198" s="1022"/>
      <c r="H198" s="1022"/>
      <c r="I198" s="1022"/>
    </row>
    <row r="199" spans="2:9" s="719" customFormat="1">
      <c r="B199" s="1022"/>
      <c r="C199" s="1022"/>
      <c r="D199" s="1022"/>
      <c r="E199" s="1022"/>
      <c r="F199" s="1022"/>
      <c r="G199" s="1022"/>
      <c r="H199" s="1022"/>
      <c r="I199" s="1022"/>
    </row>
    <row r="200" spans="2:9" s="719" customFormat="1">
      <c r="B200" s="1022"/>
      <c r="C200" s="1022"/>
      <c r="D200" s="1022"/>
      <c r="E200" s="1022"/>
      <c r="F200" s="1022"/>
      <c r="G200" s="1022"/>
      <c r="H200" s="1022"/>
      <c r="I200" s="1022"/>
    </row>
    <row r="201" spans="2:9" s="719" customFormat="1">
      <c r="B201" s="1022"/>
      <c r="C201" s="1022"/>
      <c r="D201" s="1022"/>
      <c r="E201" s="1022"/>
      <c r="F201" s="1022"/>
      <c r="G201" s="1022"/>
      <c r="H201" s="1022"/>
      <c r="I201" s="1022"/>
    </row>
    <row r="202" spans="2:9" s="719" customFormat="1">
      <c r="B202" s="1022"/>
      <c r="C202" s="1022"/>
      <c r="D202" s="1022"/>
      <c r="E202" s="1022"/>
      <c r="F202" s="1022"/>
      <c r="G202" s="1022"/>
      <c r="H202" s="1022"/>
      <c r="I202" s="1022"/>
    </row>
    <row r="203" spans="2:9" s="719" customFormat="1">
      <c r="B203" s="1022"/>
      <c r="C203" s="1022"/>
      <c r="D203" s="1022"/>
      <c r="E203" s="1022"/>
      <c r="F203" s="1022"/>
      <c r="G203" s="1022"/>
      <c r="H203" s="1022"/>
      <c r="I203" s="1022"/>
    </row>
    <row r="204" spans="2:9" s="719" customFormat="1">
      <c r="B204" s="1022"/>
      <c r="C204" s="1022"/>
      <c r="D204" s="1022"/>
      <c r="E204" s="1022"/>
      <c r="F204" s="1022"/>
      <c r="G204" s="1022"/>
      <c r="H204" s="1022"/>
      <c r="I204" s="1022"/>
    </row>
    <row r="205" spans="2:9" s="719" customFormat="1">
      <c r="B205" s="1022"/>
      <c r="C205" s="1022"/>
      <c r="D205" s="1022"/>
      <c r="E205" s="1022"/>
      <c r="F205" s="1022"/>
      <c r="G205" s="1022"/>
      <c r="H205" s="1022"/>
      <c r="I205" s="1022"/>
    </row>
    <row r="206" spans="2:9" s="719" customFormat="1">
      <c r="B206" s="1022"/>
      <c r="C206" s="1022"/>
      <c r="D206" s="1022"/>
      <c r="E206" s="1022"/>
      <c r="F206" s="1022"/>
      <c r="G206" s="1022"/>
      <c r="H206" s="1022"/>
      <c r="I206" s="1022"/>
    </row>
    <row r="207" spans="2:9" s="719" customFormat="1">
      <c r="B207" s="1022"/>
      <c r="C207" s="1022"/>
      <c r="D207" s="1022"/>
      <c r="E207" s="1022"/>
      <c r="F207" s="1022"/>
      <c r="G207" s="1022"/>
      <c r="H207" s="1022"/>
      <c r="I207" s="1022"/>
    </row>
    <row r="208" spans="2:9" s="719" customFormat="1">
      <c r="B208" s="1022"/>
      <c r="C208" s="1022"/>
      <c r="D208" s="1022"/>
      <c r="E208" s="1022"/>
      <c r="F208" s="1022"/>
      <c r="G208" s="1022"/>
      <c r="H208" s="1022"/>
      <c r="I208" s="1022"/>
    </row>
    <row r="209" spans="2:9" s="719" customFormat="1">
      <c r="B209" s="1022"/>
      <c r="C209" s="1022"/>
      <c r="D209" s="1022"/>
      <c r="E209" s="1022"/>
      <c r="F209" s="1022"/>
      <c r="G209" s="1022"/>
      <c r="H209" s="1022"/>
      <c r="I209" s="1022"/>
    </row>
    <row r="210" spans="2:9" s="719" customFormat="1">
      <c r="B210" s="1022"/>
      <c r="C210" s="1022"/>
      <c r="D210" s="1022"/>
      <c r="E210" s="1022"/>
      <c r="F210" s="1022"/>
      <c r="G210" s="1022"/>
      <c r="H210" s="1022"/>
      <c r="I210" s="1022"/>
    </row>
    <row r="211" spans="2:9" s="719" customFormat="1">
      <c r="B211" s="1022"/>
      <c r="C211" s="1022"/>
      <c r="D211" s="1022"/>
      <c r="E211" s="1022"/>
      <c r="F211" s="1022"/>
      <c r="G211" s="1022"/>
      <c r="H211" s="1022"/>
      <c r="I211" s="1022"/>
    </row>
    <row r="212" spans="2:9" s="719" customFormat="1">
      <c r="B212" s="1022"/>
      <c r="C212" s="1022"/>
      <c r="D212" s="1022"/>
      <c r="E212" s="1022"/>
      <c r="F212" s="1022"/>
      <c r="G212" s="1022"/>
      <c r="H212" s="1022"/>
      <c r="I212" s="1022"/>
    </row>
    <row r="213" spans="2:9" s="719" customFormat="1">
      <c r="B213" s="1022"/>
      <c r="C213" s="1022"/>
      <c r="D213" s="1022"/>
      <c r="E213" s="1022"/>
      <c r="F213" s="1022"/>
      <c r="G213" s="1022"/>
      <c r="H213" s="1022"/>
      <c r="I213" s="1022"/>
    </row>
    <row r="214" spans="2:9" s="719" customFormat="1">
      <c r="B214" s="1022"/>
      <c r="C214" s="1022"/>
      <c r="D214" s="1022"/>
      <c r="E214" s="1022"/>
      <c r="F214" s="1022"/>
      <c r="G214" s="1022"/>
      <c r="H214" s="1022"/>
      <c r="I214" s="1022"/>
    </row>
    <row r="215" spans="2:9" s="719" customFormat="1" hidden="1"/>
    <row r="216" spans="2:9" s="719" customFormat="1" hidden="1"/>
    <row r="217" spans="2:9" s="719" customFormat="1" hidden="1"/>
    <row r="218" spans="2:9" s="719" customFormat="1" hidden="1"/>
    <row r="219" spans="2:9" s="719" customFormat="1" hidden="1"/>
    <row r="220" spans="2:9" s="719" customFormat="1" hidden="1"/>
    <row r="221" spans="2:9" s="719" customFormat="1" hidden="1"/>
    <row r="222" spans="2:9" s="719" customFormat="1" hidden="1"/>
    <row r="223" spans="2:9" s="719" customFormat="1" hidden="1"/>
    <row r="224" spans="2:9" s="719" customFormat="1" hidden="1"/>
    <row r="225" spans="17:29" s="719" customFormat="1" hidden="1"/>
    <row r="226" spans="17:29" s="719" customFormat="1" hidden="1"/>
    <row r="227" spans="17:29" s="719" customFormat="1" hidden="1"/>
    <row r="228" spans="17:29" s="719" customFormat="1" hidden="1"/>
    <row r="229" spans="17:29" s="719" customFormat="1" hidden="1"/>
    <row r="230" spans="17:29" s="719" customFormat="1" hidden="1"/>
    <row r="231" spans="17:29" s="719" customFormat="1" hidden="1"/>
    <row r="232" spans="17:29" s="719" customFormat="1" hidden="1"/>
    <row r="233" spans="17:29" s="719" customFormat="1" hidden="1"/>
    <row r="234" spans="17:29" s="719" customFormat="1" hidden="1"/>
    <row r="235" spans="17:29" s="719" customFormat="1" hidden="1"/>
    <row r="236" spans="17:29" hidden="1">
      <c r="Q236" s="719"/>
      <c r="R236" s="719"/>
      <c r="S236" s="719"/>
      <c r="T236" s="719"/>
      <c r="U236" s="719"/>
      <c r="V236" s="719"/>
      <c r="W236" s="719"/>
      <c r="X236" s="719"/>
      <c r="Y236" s="719"/>
      <c r="Z236" s="719"/>
      <c r="AA236" s="719"/>
      <c r="AB236" s="719"/>
      <c r="AC236" s="719"/>
    </row>
    <row r="237" spans="17:29"/>
  </sheetData>
  <sheetProtection algorithmName="SHA-512" hashValue="X5jwQgPJ5HPar0ar2uk/n+TsKbahs+0+AYKcSbpwPvnmzr5GMGbqK4uTzmUFYgsC1u93uarHvZLeDu14uGY0ug==" saltValue="CliiPCMhIMIowVsyZ4mHhg==" spinCount="100000" sheet="1" formatRows="0"/>
  <mergeCells count="8">
    <mergeCell ref="B33:I44"/>
    <mergeCell ref="D14:F14"/>
    <mergeCell ref="B2:M2"/>
    <mergeCell ref="D5:I5"/>
    <mergeCell ref="D6:F6"/>
    <mergeCell ref="D9:F9"/>
    <mergeCell ref="D10:F10"/>
    <mergeCell ref="G14:I14"/>
  </mergeCells>
  <conditionalFormatting sqref="F22">
    <cfRule type="cellIs" dxfId="0" priority="1" operator="equal">
      <formula>"Waived Ends in 31 Dec 2020"</formula>
    </cfRule>
  </conditionalFormatting>
  <pageMargins left="0.7" right="0.7" top="0.75" bottom="0.75" header="0.3" footer="0.3"/>
  <pageSetup paperSize="9" orientation="portrait" r:id="rId1"/>
  <ignoredErrors>
    <ignoredError sqref="D25" unlockedFormula="1"/>
  </ignoredErrors>
  <drawing r:id="rId2"/>
  <extLst>
    <ext xmlns:x14="http://schemas.microsoft.com/office/spreadsheetml/2009/9/main" uri="{CCE6A557-97BC-4b89-ADB6-D9C93CAAB3DF}">
      <x14:dataValidations xmlns:xm="http://schemas.microsoft.com/office/excel/2006/main" disablePrompts="1" count="4">
        <x14:dataValidation type="list" allowBlank="1" showInputMessage="1" showErrorMessage="1" xr:uid="{69379496-5885-4A09-BCE8-091F872297A4}">
          <x14:formula1>
            <xm:f>'Servicing Calc'!$AF$7:$AF$8</xm:f>
          </x14:formula1>
          <xm:sqref>F7</xm:sqref>
        </x14:dataValidation>
        <x14:dataValidation type="list" allowBlank="1" showInputMessage="1" showErrorMessage="1" xr:uid="{9F1ABC76-7F95-4474-9C74-BFE4407F7B29}">
          <x14:formula1>
            <xm:f>'Servicing Calc'!$AI$7:$AI$8</xm:f>
          </x14:formula1>
          <xm:sqref>F11:F13</xm:sqref>
        </x14:dataValidation>
        <x14:dataValidation type="list" allowBlank="1" showInputMessage="1" showErrorMessage="1" xr:uid="{3B2A3F63-247A-43B3-A7BB-B1461D230264}">
          <x14:formula1>
            <xm:f>'Servicing Calc'!$AH$7:$AH$12</xm:f>
          </x14:formula1>
          <xm:sqref>F8</xm:sqref>
        </x14:dataValidation>
        <x14:dataValidation type="list" allowBlank="1" showInputMessage="1" showErrorMessage="1" xr:uid="{F07477C3-5214-4EE6-9F00-91422480C75A}">
          <x14:formula1>
            <xm:f>'Servicing Calc'!$AD$8:$AD$9</xm:f>
          </x14:formula1>
          <xm:sqref>D5:I5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3E152-6CF6-4E15-A866-C2E7B4040D35}">
  <sheetPr codeName="Sheet4"/>
  <dimension ref="A1:D16"/>
  <sheetViews>
    <sheetView workbookViewId="0"/>
  </sheetViews>
  <sheetFormatPr defaultRowHeight="14.5"/>
  <cols>
    <col min="2" max="2" width="18.81640625" customWidth="1"/>
    <col min="3" max="3" width="14.7265625" style="1" bestFit="1" customWidth="1"/>
    <col min="4" max="4" width="17.26953125" style="1" customWidth="1"/>
  </cols>
  <sheetData>
    <row r="1" spans="1:4" ht="15" thickBot="1">
      <c r="A1" t="s">
        <v>232</v>
      </c>
    </row>
    <row r="2" spans="1:4">
      <c r="B2" s="1142" t="s">
        <v>233</v>
      </c>
      <c r="C2" s="1143"/>
      <c r="D2" s="1144"/>
    </row>
    <row r="3" spans="1:4" ht="15" thickBot="1">
      <c r="B3" s="8" t="s">
        <v>137</v>
      </c>
      <c r="C3" s="9" t="s">
        <v>234</v>
      </c>
      <c r="D3" s="10" t="s">
        <v>235</v>
      </c>
    </row>
    <row r="4" spans="1:4">
      <c r="B4" s="2" t="s">
        <v>0</v>
      </c>
      <c r="C4" s="3" t="s">
        <v>34</v>
      </c>
      <c r="D4" s="7">
        <v>1</v>
      </c>
    </row>
    <row r="5" spans="1:4">
      <c r="B5" s="4" t="s">
        <v>1</v>
      </c>
      <c r="C5" s="5" t="s">
        <v>109</v>
      </c>
      <c r="D5" s="783">
        <v>4.5226600000000001</v>
      </c>
    </row>
    <row r="6" spans="1:4">
      <c r="B6" s="4" t="s">
        <v>236</v>
      </c>
      <c r="C6" s="5" t="s">
        <v>237</v>
      </c>
      <c r="D6" s="783">
        <v>5.4801200000000003</v>
      </c>
    </row>
    <row r="7" spans="1:4">
      <c r="B7" s="4" t="s">
        <v>11</v>
      </c>
      <c r="C7" s="5" t="s">
        <v>238</v>
      </c>
      <c r="D7" s="783">
        <v>10099.5</v>
      </c>
    </row>
    <row r="8" spans="1:4">
      <c r="B8" s="4" t="s">
        <v>13</v>
      </c>
      <c r="C8" s="5" t="s">
        <v>239</v>
      </c>
      <c r="D8" s="783">
        <v>79.778099999999995</v>
      </c>
    </row>
    <row r="9" spans="1:4">
      <c r="B9" s="4" t="s">
        <v>240</v>
      </c>
      <c r="C9" s="1064" t="s">
        <v>241</v>
      </c>
      <c r="D9" s="784">
        <v>5.89</v>
      </c>
    </row>
    <row r="10" spans="1:4">
      <c r="B10" s="4" t="s">
        <v>31</v>
      </c>
      <c r="C10" s="1064" t="s">
        <v>242</v>
      </c>
      <c r="D10" s="783">
        <v>3.06</v>
      </c>
    </row>
    <row r="11" spans="1:4">
      <c r="B11" s="4" t="s">
        <v>38</v>
      </c>
      <c r="C11" s="5" t="s">
        <v>243</v>
      </c>
      <c r="D11" s="783">
        <v>0.95515000000000005</v>
      </c>
    </row>
    <row r="12" spans="1:4">
      <c r="B12" s="4" t="s">
        <v>43</v>
      </c>
      <c r="C12" s="1064" t="s">
        <v>244</v>
      </c>
      <c r="D12" s="783">
        <v>879.87</v>
      </c>
    </row>
    <row r="13" spans="1:4">
      <c r="B13" s="4" t="s">
        <v>48</v>
      </c>
      <c r="C13" s="1064" t="s">
        <v>245</v>
      </c>
      <c r="D13" s="783">
        <v>20.67</v>
      </c>
    </row>
    <row r="14" spans="1:4">
      <c r="B14" s="4" t="s">
        <v>58</v>
      </c>
      <c r="C14" s="5" t="s">
        <v>27</v>
      </c>
      <c r="D14" s="783">
        <v>0.70457000000000003</v>
      </c>
    </row>
    <row r="15" spans="1:4">
      <c r="B15" s="4" t="s">
        <v>63</v>
      </c>
      <c r="C15" s="5" t="s">
        <v>246</v>
      </c>
      <c r="D15" s="783">
        <v>0.51815999999999995</v>
      </c>
    </row>
    <row r="16" spans="1:4" ht="15" thickBot="1">
      <c r="B16" s="6" t="s">
        <v>69</v>
      </c>
      <c r="C16" s="1065" t="s">
        <v>247</v>
      </c>
      <c r="D16" s="803">
        <v>16698.39</v>
      </c>
    </row>
  </sheetData>
  <mergeCells count="1">
    <mergeCell ref="B2:D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0F9D6-B562-4F0B-BC59-2520948B0888}">
  <sheetPr codeName="Sheet17"/>
  <dimension ref="B2:Z30"/>
  <sheetViews>
    <sheetView zoomScale="90" zoomScaleNormal="90" workbookViewId="0">
      <selection activeCell="H46" sqref="H46"/>
    </sheetView>
  </sheetViews>
  <sheetFormatPr defaultRowHeight="14.5"/>
  <cols>
    <col min="2" max="2" width="26.81640625" bestFit="1" customWidth="1"/>
    <col min="3" max="3" width="9.7265625" bestFit="1" customWidth="1"/>
    <col min="4" max="4" width="7.7265625" bestFit="1" customWidth="1"/>
    <col min="5" max="5" width="7" style="1" customWidth="1"/>
    <col min="6" max="6" width="18.26953125" style="1" bestFit="1" customWidth="1"/>
    <col min="7" max="7" width="26.81640625" bestFit="1" customWidth="1"/>
    <col min="8" max="8" width="9.7265625" bestFit="1" customWidth="1"/>
    <col min="9" max="9" width="8.54296875" bestFit="1" customWidth="1"/>
    <col min="10" max="10" width="6.1796875" bestFit="1" customWidth="1"/>
    <col min="11" max="11" width="18.26953125" bestFit="1" customWidth="1"/>
    <col min="12" max="12" width="27.1796875" bestFit="1" customWidth="1"/>
    <col min="13" max="13" width="9.7265625" bestFit="1" customWidth="1"/>
    <col min="14" max="14" width="6.54296875" bestFit="1" customWidth="1"/>
    <col min="15" max="16" width="9.1796875" customWidth="1"/>
    <col min="18" max="18" width="27.1796875" bestFit="1" customWidth="1"/>
    <col min="19" max="19" width="9.7265625" bestFit="1" customWidth="1"/>
    <col min="20" max="20" width="14.1796875" customWidth="1"/>
  </cols>
  <sheetData>
    <row r="2" spans="2:20">
      <c r="B2" s="1036"/>
      <c r="C2" s="1037"/>
      <c r="D2" s="1038"/>
      <c r="G2" s="1036"/>
      <c r="H2" s="1037"/>
      <c r="I2" s="1038"/>
      <c r="L2" s="1036"/>
      <c r="M2" s="1037"/>
      <c r="N2" s="1038"/>
      <c r="R2" s="1036"/>
      <c r="S2" s="1037"/>
      <c r="T2" s="1038"/>
    </row>
    <row r="3" spans="2:20">
      <c r="B3" s="1145" t="s">
        <v>78</v>
      </c>
      <c r="C3" s="1145"/>
      <c r="D3" s="1145"/>
      <c r="E3" s="1055"/>
      <c r="G3" s="1145" t="s">
        <v>77</v>
      </c>
      <c r="H3" s="1145"/>
      <c r="I3" s="1145"/>
      <c r="L3" s="1145" t="s">
        <v>79</v>
      </c>
      <c r="M3" s="1145"/>
      <c r="N3" s="1145"/>
      <c r="R3" s="1145" t="s">
        <v>248</v>
      </c>
      <c r="S3" s="1145"/>
      <c r="T3" s="1145"/>
    </row>
    <row r="4" spans="2:20">
      <c r="B4" s="1036"/>
      <c r="C4" s="1037"/>
      <c r="D4" s="1038"/>
      <c r="G4" s="1036"/>
      <c r="H4" s="1037"/>
      <c r="I4" s="1038"/>
      <c r="L4" s="1036"/>
      <c r="M4" s="1037"/>
      <c r="N4" s="1038"/>
      <c r="R4" s="1036"/>
      <c r="S4" s="1037"/>
      <c r="T4" s="1038"/>
    </row>
    <row r="5" spans="2:20">
      <c r="B5" s="1031" t="s">
        <v>249</v>
      </c>
      <c r="C5" s="1031" t="s">
        <v>68</v>
      </c>
      <c r="D5" s="1039" t="s">
        <v>235</v>
      </c>
      <c r="G5" s="1039" t="s">
        <v>249</v>
      </c>
      <c r="H5" s="1039" t="s">
        <v>68</v>
      </c>
      <c r="I5" s="1039" t="s">
        <v>235</v>
      </c>
      <c r="J5" s="1"/>
      <c r="K5" s="1"/>
      <c r="L5" s="1031" t="s">
        <v>249</v>
      </c>
      <c r="M5" s="1031" t="s">
        <v>68</v>
      </c>
      <c r="N5" s="1039" t="s">
        <v>235</v>
      </c>
      <c r="R5" s="1031" t="s">
        <v>249</v>
      </c>
      <c r="S5" s="1031" t="s">
        <v>68</v>
      </c>
      <c r="T5" s="1039" t="s">
        <v>235</v>
      </c>
    </row>
    <row r="6" spans="2:20">
      <c r="B6" s="1032"/>
      <c r="C6" s="1033"/>
      <c r="D6" s="1040"/>
      <c r="G6" s="1041"/>
      <c r="H6" s="1042"/>
      <c r="I6" s="1040"/>
      <c r="L6" s="1032"/>
      <c r="M6" s="1033"/>
      <c r="N6" s="1040"/>
      <c r="R6" s="1032"/>
      <c r="S6" s="1033"/>
      <c r="T6" s="1040"/>
    </row>
    <row r="7" spans="2:20">
      <c r="B7" s="1034" t="s">
        <v>250</v>
      </c>
      <c r="C7" s="1034" t="s">
        <v>251</v>
      </c>
      <c r="D7" s="1083">
        <v>7.3300000000000004E-2</v>
      </c>
      <c r="E7" s="1072"/>
      <c r="F7" s="1072"/>
      <c r="G7" s="1043" t="s">
        <v>252</v>
      </c>
      <c r="H7" s="1043" t="s">
        <v>251</v>
      </c>
      <c r="I7" s="1083">
        <v>8.0399999999999999E-2</v>
      </c>
      <c r="J7" s="1071"/>
      <c r="K7" s="1071"/>
      <c r="L7" s="1034" t="s">
        <v>250</v>
      </c>
      <c r="M7" s="1034" t="s">
        <v>251</v>
      </c>
      <c r="N7" s="1083">
        <v>7.9799999999999996E-2</v>
      </c>
      <c r="R7" s="1034" t="s">
        <v>253</v>
      </c>
      <c r="S7" s="1034" t="s">
        <v>254</v>
      </c>
      <c r="T7" s="1083">
        <v>8.14E-2</v>
      </c>
    </row>
    <row r="8" spans="2:20">
      <c r="B8" s="1032"/>
      <c r="C8" s="1033"/>
      <c r="D8" s="1084"/>
      <c r="E8" s="1073"/>
      <c r="G8" s="1041"/>
      <c r="H8" s="1042"/>
      <c r="I8" s="1084"/>
      <c r="L8" s="1032"/>
      <c r="M8" s="1033"/>
      <c r="N8" s="1084"/>
      <c r="R8" s="1032"/>
      <c r="S8" s="1033"/>
      <c r="T8" s="1084"/>
    </row>
    <row r="9" spans="2:20">
      <c r="B9" s="1034" t="s">
        <v>250</v>
      </c>
      <c r="C9" s="1034" t="s">
        <v>255</v>
      </c>
      <c r="D9" s="1083">
        <v>7.3300000000000004E-2</v>
      </c>
      <c r="E9" s="1072"/>
      <c r="F9" s="1072"/>
      <c r="G9" s="1043" t="s">
        <v>252</v>
      </c>
      <c r="H9" s="1043" t="s">
        <v>255</v>
      </c>
      <c r="I9" s="1083">
        <v>8.0399999999999999E-2</v>
      </c>
      <c r="J9" s="1071"/>
      <c r="K9" s="1071"/>
      <c r="L9" s="1034" t="s">
        <v>250</v>
      </c>
      <c r="M9" s="1034" t="s">
        <v>255</v>
      </c>
      <c r="N9" s="1083">
        <v>7.9799999999999996E-2</v>
      </c>
      <c r="R9" s="1034" t="s">
        <v>253</v>
      </c>
      <c r="S9" s="1034" t="s">
        <v>256</v>
      </c>
      <c r="T9" s="1083">
        <v>8.3400000000000002E-2</v>
      </c>
    </row>
    <row r="10" spans="2:20">
      <c r="B10" s="1032"/>
      <c r="C10" s="1033"/>
      <c r="D10" s="1084"/>
      <c r="E10" s="1073"/>
      <c r="G10" s="1041"/>
      <c r="H10" s="1042"/>
      <c r="I10" s="1084"/>
      <c r="L10" s="1032"/>
      <c r="M10" s="1033"/>
      <c r="N10" s="1084"/>
      <c r="R10" s="1032"/>
      <c r="S10" s="1033"/>
      <c r="T10" s="1029"/>
    </row>
    <row r="11" spans="2:20">
      <c r="B11" s="1034" t="s">
        <v>250</v>
      </c>
      <c r="C11" s="1034" t="s">
        <v>256</v>
      </c>
      <c r="D11" s="1083">
        <v>7.3300000000000004E-2</v>
      </c>
      <c r="E11" s="1072"/>
      <c r="F11" s="1072"/>
      <c r="G11" s="1043" t="s">
        <v>252</v>
      </c>
      <c r="H11" s="1043" t="s">
        <v>256</v>
      </c>
      <c r="I11" s="1083">
        <v>8.2400000000000001E-2</v>
      </c>
      <c r="J11" s="1071"/>
      <c r="K11" s="1071"/>
      <c r="L11" s="1034" t="s">
        <v>250</v>
      </c>
      <c r="M11" s="1034" t="s">
        <v>256</v>
      </c>
      <c r="N11" s="1083">
        <v>7.9799999999999996E-2</v>
      </c>
      <c r="R11" s="1034"/>
      <c r="S11" s="1034"/>
      <c r="T11" s="1028"/>
    </row>
    <row r="12" spans="2:20">
      <c r="B12" s="1032"/>
      <c r="C12" s="1033"/>
      <c r="D12" s="1084"/>
      <c r="E12" s="1073"/>
      <c r="G12" s="1041"/>
      <c r="H12" s="1042"/>
      <c r="I12" s="1029"/>
      <c r="L12" s="1032"/>
      <c r="M12" s="1033"/>
      <c r="N12" s="1084"/>
      <c r="R12" s="1032"/>
      <c r="S12" s="1033"/>
      <c r="T12" s="1029"/>
    </row>
    <row r="13" spans="2:20">
      <c r="B13" s="1035" t="s">
        <v>250</v>
      </c>
      <c r="C13" s="1035" t="s">
        <v>257</v>
      </c>
      <c r="D13" s="1085">
        <v>7.3300000000000004E-2</v>
      </c>
      <c r="E13" s="1072"/>
      <c r="F13" s="1072"/>
      <c r="G13" s="1044"/>
      <c r="H13" s="1044" t="s">
        <v>257</v>
      </c>
      <c r="I13" s="1030"/>
      <c r="L13" s="1035" t="s">
        <v>250</v>
      </c>
      <c r="M13" s="1035" t="s">
        <v>257</v>
      </c>
      <c r="N13" s="1085">
        <v>8.2799999999999999E-2</v>
      </c>
      <c r="R13" s="1035"/>
      <c r="S13" s="1035"/>
      <c r="T13" s="1030"/>
    </row>
    <row r="14" spans="2:20">
      <c r="B14" s="1078"/>
      <c r="C14" s="1079"/>
      <c r="D14" s="1086"/>
      <c r="E14" s="1072"/>
      <c r="F14" s="1072"/>
      <c r="G14" s="1056"/>
      <c r="I14" s="1080"/>
      <c r="L14" s="1078"/>
      <c r="M14" s="1079"/>
      <c r="N14" s="1086"/>
      <c r="R14" s="1078"/>
      <c r="S14" s="1079"/>
      <c r="T14" s="1080"/>
    </row>
    <row r="15" spans="2:20">
      <c r="B15" s="1081" t="s">
        <v>250</v>
      </c>
      <c r="C15" s="1081" t="s">
        <v>258</v>
      </c>
      <c r="D15" s="1087">
        <v>7.3300000000000004E-2</v>
      </c>
      <c r="E15" s="1072"/>
      <c r="F15" s="1072"/>
      <c r="G15" s="1056"/>
      <c r="I15" s="1080"/>
      <c r="L15" s="1081" t="s">
        <v>250</v>
      </c>
      <c r="M15" s="1081" t="s">
        <v>258</v>
      </c>
      <c r="N15" s="1087">
        <v>8.5800000000000001E-2</v>
      </c>
      <c r="R15" s="1081"/>
      <c r="S15" s="1081"/>
      <c r="T15" s="1082"/>
    </row>
    <row r="16" spans="2:20">
      <c r="B16" s="1050"/>
      <c r="C16" s="1051"/>
      <c r="D16" s="1052"/>
      <c r="G16" s="1050"/>
      <c r="H16" s="1051"/>
      <c r="I16" s="1052"/>
      <c r="L16" s="1050"/>
      <c r="M16" s="1051"/>
      <c r="N16" s="1052"/>
      <c r="R16" s="1050"/>
      <c r="S16" s="1051"/>
      <c r="T16" s="1052"/>
    </row>
    <row r="17" spans="2:26">
      <c r="B17" s="1146" t="s">
        <v>259</v>
      </c>
      <c r="C17" s="1147"/>
      <c r="D17" s="1148"/>
      <c r="G17" s="1146" t="s">
        <v>259</v>
      </c>
      <c r="H17" s="1149"/>
      <c r="I17" s="1150"/>
      <c r="L17" s="1146" t="s">
        <v>259</v>
      </c>
      <c r="M17" s="1147"/>
      <c r="N17" s="1148"/>
      <c r="R17" s="1146" t="s">
        <v>259</v>
      </c>
      <c r="S17" s="1147"/>
      <c r="T17" s="1148"/>
    </row>
    <row r="18" spans="2:26">
      <c r="B18" s="1041" t="s">
        <v>260</v>
      </c>
      <c r="C18" s="1041"/>
      <c r="D18" s="1029">
        <v>3.0000000000000001E-3</v>
      </c>
      <c r="E18" s="1073"/>
      <c r="G18" s="1046" t="s">
        <v>260</v>
      </c>
      <c r="H18" s="1041"/>
      <c r="I18" s="1030">
        <v>0</v>
      </c>
      <c r="L18" s="1041" t="s">
        <v>260</v>
      </c>
      <c r="M18" s="1041"/>
      <c r="N18" s="1029">
        <v>3.0000000000000001E-3</v>
      </c>
      <c r="R18" s="1041"/>
      <c r="S18" s="1041"/>
      <c r="T18" s="1029"/>
    </row>
    <row r="19" spans="2:26">
      <c r="B19" s="1048" t="s">
        <v>261</v>
      </c>
      <c r="C19" s="1041"/>
      <c r="D19" s="1029">
        <v>0</v>
      </c>
      <c r="E19" s="1073"/>
      <c r="G19" s="1047" t="s">
        <v>261</v>
      </c>
      <c r="I19" s="1028">
        <v>0</v>
      </c>
      <c r="L19" s="1048" t="s">
        <v>261</v>
      </c>
      <c r="M19" s="1041"/>
      <c r="N19" s="1029">
        <v>0</v>
      </c>
      <c r="R19" s="1048"/>
      <c r="S19" s="1041"/>
      <c r="T19" s="1029"/>
    </row>
    <row r="20" spans="2:26">
      <c r="B20" s="1041" t="s">
        <v>55</v>
      </c>
      <c r="D20" s="1029"/>
      <c r="E20" s="1073"/>
      <c r="G20" s="1041" t="s">
        <v>55</v>
      </c>
      <c r="H20" s="1042"/>
      <c r="I20" s="1029"/>
      <c r="L20" s="1041" t="s">
        <v>55</v>
      </c>
      <c r="N20" s="1029"/>
      <c r="R20" s="1041"/>
      <c r="T20" s="1029"/>
    </row>
    <row r="21" spans="2:26">
      <c r="B21" s="1049" t="s">
        <v>262</v>
      </c>
      <c r="C21" s="1041"/>
      <c r="D21" s="1029">
        <v>0</v>
      </c>
      <c r="E21" s="1073"/>
      <c r="G21" s="1044" t="s">
        <v>263</v>
      </c>
      <c r="H21" s="1049"/>
      <c r="I21" s="1030"/>
      <c r="L21" s="1049" t="s">
        <v>262</v>
      </c>
      <c r="M21" s="1041"/>
      <c r="N21" s="1029">
        <v>0</v>
      </c>
      <c r="R21" s="1049"/>
      <c r="S21" s="1041"/>
      <c r="T21" s="1029"/>
    </row>
    <row r="22" spans="2:26">
      <c r="B22" s="1041" t="s">
        <v>264</v>
      </c>
      <c r="C22" s="1041"/>
      <c r="D22" s="1029">
        <v>4.0000000000000001E-3</v>
      </c>
      <c r="E22" s="1073"/>
      <c r="G22" s="1046" t="s">
        <v>265</v>
      </c>
      <c r="I22" s="1030">
        <v>2.5000000000000001E-3</v>
      </c>
      <c r="L22" s="1041" t="s">
        <v>264</v>
      </c>
      <c r="M22" s="1041"/>
      <c r="N22" s="1029">
        <v>4.0000000000000001E-3</v>
      </c>
      <c r="R22" s="1041"/>
      <c r="S22" s="1041"/>
      <c r="T22" s="1029"/>
    </row>
    <row r="23" spans="2:26">
      <c r="B23" s="1047" t="s">
        <v>266</v>
      </c>
      <c r="C23" s="1056"/>
      <c r="D23" s="1057" t="str" cm="1">
        <f t="array" ref="D23">IF('Servicing Calc'!E11:E11&lt;&gt;"Evergreen","",'Servicing Calc'!E14)</f>
        <v/>
      </c>
      <c r="E23" s="1074"/>
      <c r="G23" s="1047" t="s">
        <v>266</v>
      </c>
      <c r="H23" s="1048"/>
      <c r="I23" s="1057" t="str" cm="1">
        <f t="array" ref="I23">IF('Servicing Calc'!E11:E11&lt;&gt;"Easy Builder","",'Servicing Calc'!E14)</f>
        <v/>
      </c>
      <c r="L23" s="1047" t="s">
        <v>266</v>
      </c>
      <c r="M23" s="1056"/>
      <c r="N23" s="1057" t="str" cm="1">
        <f t="array" ref="N23">IF('Servicing Calc'!O11:O11&lt;&gt;"Evergreen","",'Servicing Calc'!O14)</f>
        <v/>
      </c>
      <c r="R23" s="1047"/>
      <c r="S23" s="1056"/>
      <c r="T23" s="1057" t="str" cm="1">
        <f t="array" ref="T23">IF('Servicing Calc'!P11:P11&lt;&gt;"Easy Builder","",'Servicing Calc'!P14)</f>
        <v/>
      </c>
    </row>
    <row r="24" spans="2:26">
      <c r="B24" s="1036"/>
      <c r="C24" s="1037"/>
      <c r="D24" s="1038"/>
      <c r="G24" s="1036"/>
      <c r="H24" s="1037"/>
      <c r="I24" s="1038"/>
      <c r="L24" s="1036"/>
      <c r="M24" s="1037"/>
      <c r="N24" s="1038"/>
      <c r="R24" s="1036"/>
      <c r="S24" s="1037"/>
      <c r="T24" s="1038"/>
    </row>
    <row r="25" spans="2:26">
      <c r="B25" s="1044" t="s">
        <v>267</v>
      </c>
      <c r="C25" s="1049"/>
      <c r="D25" s="1058" t="str" cm="1">
        <f t="array" ref="D25">IF('Servicing Calc'!E11:E11&lt;&gt;"Evergreen","",IF('Servicing Calc'!O13:O13&lt;=60%,D7,IF(AND('Servicing Calc'!O13:O13&gt;60%,'Servicing Calc'!O13:O13&lt;=65%),D9,IF(AND('Servicing Calc'!O13:O13&gt;65%,'Servicing Calc'!O13:O13&lt;=70%),D11,IF(AND('Servicing Calc'!O13:O13&gt;70%,'Servicing Calc'!O13:O13&lt;=75%),D13,D15)))))</f>
        <v/>
      </c>
      <c r="E25" s="1075"/>
      <c r="G25" s="1044" t="s">
        <v>267</v>
      </c>
      <c r="H25" s="1049"/>
      <c r="I25" s="1058" t="str" cm="1">
        <f t="array" ref="I25">IF('Servicing Calc'!E11:E11&lt;&gt;"Easy Builder","", IF('Servicing Calc'!O13:O13&lt;=60%,I7,IF(AND('Servicing Calc'!O13:O13&gt;60%,'Servicing Calc'!O13:O13&lt;=65%),I9, IF(AND('Servicing Calc'!O13:O13&gt;65%,'Servicing Calc'!O13:O13&lt;=70%), I11,""))))</f>
        <v/>
      </c>
      <c r="J25" s="1045"/>
      <c r="K25" s="1045"/>
      <c r="L25" s="1044" t="s">
        <v>267</v>
      </c>
      <c r="M25" s="1049"/>
      <c r="N25" s="1058" t="str" cm="1">
        <f t="array" ref="N25">IF('Servicing Calc'!E11:E11&lt;&gt;"Platinum","",IF('Servicing Calc'!O13:O13&lt;=60%,N7,IF(AND('Servicing Calc'!O13:O13&gt;60%,'Servicing Calc'!O13:O13&lt;=65%),N9,IF(AND('Servicing Calc'!O13:O13&gt;65%,'Servicing Calc'!O13:O13&lt;=70%),N11,IF(AND('Servicing Calc'!O13:O13&gt;70%,'Servicing Calc'!O13:O13&lt;=75%),N13,N15)))))</f>
        <v/>
      </c>
      <c r="R25" s="1044" t="s">
        <v>267</v>
      </c>
      <c r="S25" s="1049"/>
      <c r="T25" s="1058" t="str" cm="1">
        <f t="array" ref="T25:Z25">IF('Servicing Calc'!E11:K11&lt;&gt;"Vacant Land","", IF('Servicing Calc'!O13&lt;=65%,T7,IF('Servicing Calc'!O13&lt;=70%,T9,"")))</f>
        <v/>
      </c>
      <c r="U25" t="str">
        <v/>
      </c>
      <c r="V25" t="str">
        <v/>
      </c>
      <c r="W25" t="str">
        <v/>
      </c>
      <c r="X25" t="str">
        <v/>
      </c>
      <c r="Y25" t="str">
        <v/>
      </c>
      <c r="Z25" t="str">
        <v/>
      </c>
    </row>
    <row r="26" spans="2:26">
      <c r="B26" s="1046" t="s">
        <v>268</v>
      </c>
      <c r="C26" s="1041"/>
      <c r="D26" s="1059" t="str" cm="1">
        <f t="array" ref="D26">IF('Servicing Calc'!E11:E11&lt;&gt;"Evergreen","",IF('Servicing Calc'!O11:O11&lt;=1000000,D25,IF('Servicing Calc'!O11:O11&gt;1500000,D25+D22,D25+D21)))</f>
        <v/>
      </c>
      <c r="E26" s="1075"/>
      <c r="F26" s="1076"/>
      <c r="G26" s="1046" t="s">
        <v>269</v>
      </c>
      <c r="H26" s="1041"/>
      <c r="I26" s="1058" t="str" cm="1">
        <f t="array" ref="I26">IF('Servicing Calc'!E11:E11&lt;&gt;"Easy Builder","",IF('Servicing Calc'!O11:O11&gt;2000000,I25+I22,I25))</f>
        <v/>
      </c>
      <c r="J26" s="1045"/>
      <c r="K26" s="1045"/>
      <c r="L26" s="1046" t="s">
        <v>268</v>
      </c>
      <c r="M26" s="1041"/>
      <c r="N26" s="1059" t="str" cm="1">
        <f t="array" ref="N26">IF('Servicing Calc'!E11:E11&lt;&gt;"Platinum","",IF('Servicing Calc'!O11:O11&lt;=1000000,N25,IF('Servicing Calc'!O11:O11&gt;1500000,N25+N22,N25+N21)))</f>
        <v/>
      </c>
      <c r="R26" s="1046"/>
      <c r="S26" s="1041"/>
      <c r="T26" s="1059"/>
    </row>
    <row r="27" spans="2:26">
      <c r="B27" s="1046" t="s">
        <v>270</v>
      </c>
      <c r="C27" s="1041"/>
      <c r="D27" s="1059" t="str" cm="1">
        <f t="array" ref="D27">IF('Servicing Calc'!E11:E11&lt;&gt;"Evergreen","",IF(OR('Servicing Calc'!E12:E12="I/O", 'Servicing Calc'!E13&gt;0),D26+D18,D26))</f>
        <v/>
      </c>
      <c r="E27" s="1075"/>
      <c r="G27" s="1046" t="s">
        <v>270</v>
      </c>
      <c r="H27" s="1041"/>
      <c r="I27" s="1059" t="str" cm="1">
        <f t="array" ref="I27">IF('Servicing Calc'!E11:E11&lt;&gt;"Easy Builder","",IF(OR('Servicing Calc'!E12:E12="I/O", 'Servicing Calc'!E13&gt;0),I26+I18,I26))</f>
        <v/>
      </c>
      <c r="L27" s="1046" t="s">
        <v>270</v>
      </c>
      <c r="M27" s="1041"/>
      <c r="N27" s="1059" t="str" cm="1">
        <f t="array" ref="N27">IF('Servicing Calc'!E11:E11&lt;&gt;"Platinum","",IF(OR('Servicing Calc'!E12:E12="I/O", 'Servicing Calc'!E13&gt;0),N26+N18,N26))</f>
        <v/>
      </c>
      <c r="R27" s="1046"/>
      <c r="S27" s="1041"/>
      <c r="T27" s="1059" t="str" cm="1">
        <f t="array" ref="T27">IF('Servicing Calc'!P11:P11&lt;&gt;"Easy Builder","",IF(OR('Servicing Calc'!P12:P12="I/O", 'Servicing Calc'!P13&gt;0),T26+T18,T26))</f>
        <v/>
      </c>
    </row>
    <row r="28" spans="2:26">
      <c r="B28" s="1046" t="s">
        <v>271</v>
      </c>
      <c r="C28" s="1041"/>
      <c r="D28" s="1059" t="str" cm="1">
        <f t="array" ref="D28">IF('Servicing Calc'!E11:E11&lt;&gt;"Evergreen","",IF('Servicing Calc'!E14="YES",D27+D19,D27))</f>
        <v/>
      </c>
      <c r="E28" s="1075"/>
      <c r="G28" s="1046" t="s">
        <v>271</v>
      </c>
      <c r="H28" s="1041"/>
      <c r="I28" s="1059" t="str" cm="1">
        <f t="array" ref="I28">IF('Servicing Calc'!E11:E11&lt;&gt;"Easy Builder","",IF('Servicing Calc'!E14="YES", I27+I19,I27))</f>
        <v/>
      </c>
      <c r="L28" s="1046" t="s">
        <v>271</v>
      </c>
      <c r="M28" s="1041"/>
      <c r="N28" s="1059" t="str" cm="1">
        <f t="array" ref="N28">IF('Servicing Calc'!E11:E11&lt;&gt;"Platinum","",IF(OR('Servicing Calc'!E12:E12="I/O", 'Servicing Calc'!E13&gt;0),N27+N19,N27))</f>
        <v/>
      </c>
      <c r="R28" s="1046"/>
      <c r="S28" s="1041"/>
      <c r="T28" s="1059" t="str" cm="1">
        <f t="array" ref="T28">IF('Servicing Calc'!P11:P11&lt;&gt;"Easy Builder","",IF('Servicing Calc'!P14="YES", T27+T19,T27))</f>
        <v/>
      </c>
    </row>
    <row r="29" spans="2:26">
      <c r="B29" s="1046" t="s">
        <v>272</v>
      </c>
      <c r="C29" s="1041"/>
      <c r="D29" s="1059" t="str" cm="1">
        <f t="array" ref="D29">IF('Servicing Calc'!E11:E11&lt;&gt;"Evergreen","",D28+2%)</f>
        <v/>
      </c>
      <c r="E29" s="1075"/>
      <c r="G29" s="1046" t="s">
        <v>272</v>
      </c>
      <c r="H29" s="1041"/>
      <c r="I29" s="1059" t="str" cm="1">
        <f t="array" ref="I29">IF('Servicing Calc'!E11:E11&lt;&gt;"Easy Builder","",I28+2%)</f>
        <v/>
      </c>
      <c r="L29" s="1046" t="s">
        <v>272</v>
      </c>
      <c r="M29" s="1041"/>
      <c r="N29" s="1059" t="str" cm="1">
        <f t="array" ref="N29">IF('Servicing Calc'!E11:E11&lt;&gt;"Platinum","",N28+2%)</f>
        <v/>
      </c>
      <c r="R29" s="1046" t="s">
        <v>272</v>
      </c>
      <c r="S29" s="1041"/>
      <c r="T29" s="1059" t="str" cm="1">
        <f t="array" ref="T29">IF('Servicing Calc'!E11:E11&lt;&gt;"Vacant Land","",T25+2%)</f>
        <v/>
      </c>
    </row>
    <row r="30" spans="2:26">
      <c r="B30" s="1053" t="s">
        <v>273</v>
      </c>
      <c r="C30" s="1054"/>
      <c r="D30" s="1060" t="str" cm="1">
        <f t="array" ref="D30">IF('Servicing Calc'!E11:E11&lt;&gt;"Evergreen","",IF(D29&gt;5.5%,D29,5.5%))</f>
        <v/>
      </c>
      <c r="E30" s="1077"/>
      <c r="G30" s="1053" t="s">
        <v>273</v>
      </c>
      <c r="H30" s="1054"/>
      <c r="I30" s="1060" t="str">
        <f>IF(I29&gt;5.5%,I29,5.5%)</f>
        <v/>
      </c>
      <c r="L30" s="1053" t="s">
        <v>273</v>
      </c>
      <c r="M30" s="1054"/>
      <c r="N30" s="1060" t="str" cm="1">
        <f t="array" ref="N30">IF('Servicing Calc'!E11:E11&lt;&gt;"Platinum","",IF(N29&gt;5.5%,N29,5.5%))</f>
        <v/>
      </c>
      <c r="R30" s="1053" t="s">
        <v>273</v>
      </c>
      <c r="S30" s="1054"/>
      <c r="T30" s="1060" t="str">
        <f>IF(T29&gt;5.5%,T29,5.5%)</f>
        <v/>
      </c>
    </row>
  </sheetData>
  <mergeCells count="8">
    <mergeCell ref="R3:T3"/>
    <mergeCell ref="R17:T17"/>
    <mergeCell ref="B3:D3"/>
    <mergeCell ref="G3:I3"/>
    <mergeCell ref="B17:D17"/>
    <mergeCell ref="G17:I17"/>
    <mergeCell ref="L3:N3"/>
    <mergeCell ref="L17:N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4AFDB-F437-4F1F-A436-F23309395A2C}">
  <sheetPr codeName="Sheet14"/>
  <dimension ref="A1:AO2145"/>
  <sheetViews>
    <sheetView workbookViewId="0"/>
  </sheetViews>
  <sheetFormatPr defaultColWidth="0" defaultRowHeight="14.5"/>
  <cols>
    <col min="1" max="1" width="1.26953125" customWidth="1"/>
    <col min="2" max="2" width="3.26953125" customWidth="1"/>
    <col min="3" max="3" width="9.54296875" customWidth="1"/>
    <col min="4" max="5" width="9.1796875" customWidth="1"/>
    <col min="6" max="6" width="2.26953125" customWidth="1"/>
    <col min="7" max="8" width="13.26953125" customWidth="1"/>
    <col min="9" max="9" width="17.26953125" customWidth="1"/>
    <col min="10" max="15" width="9.1796875" customWidth="1"/>
    <col min="16" max="16" width="14.26953125" hidden="1" customWidth="1"/>
    <col min="17" max="17" width="17.54296875" hidden="1" customWidth="1"/>
    <col min="18" max="18" width="12.1796875" hidden="1" customWidth="1"/>
    <col min="19" max="19" width="14.26953125" hidden="1" customWidth="1"/>
    <col min="20" max="20" width="13.26953125" hidden="1" customWidth="1"/>
    <col min="21" max="21" width="13.1796875" hidden="1" customWidth="1"/>
    <col min="22" max="22" width="14.1796875" hidden="1" customWidth="1"/>
    <col min="23" max="24" width="9.1796875" hidden="1" customWidth="1"/>
    <col min="25" max="25" width="15.26953125" hidden="1" customWidth="1"/>
    <col min="26" max="26" width="10.1796875" hidden="1" customWidth="1"/>
    <col min="27" max="16384" width="9.1796875" hidden="1"/>
  </cols>
  <sheetData>
    <row r="1" spans="2:41" ht="1.5" customHeight="1"/>
    <row r="3" spans="2:41">
      <c r="P3" s="980" t="s">
        <v>274</v>
      </c>
      <c r="Q3" s="980"/>
      <c r="R3" s="980"/>
      <c r="S3" s="980"/>
      <c r="T3" s="980"/>
      <c r="U3" s="980"/>
      <c r="V3" s="980"/>
      <c r="W3" s="980"/>
      <c r="X3" s="980" t="s">
        <v>275</v>
      </c>
      <c r="Y3" s="998">
        <f>IFERROR(IF(AND(G10="House and Land",VLOOKUP(G10,P5:U6,6,0)=0%),0%,IF(G10="House and Land",IF(G11*VLOOKUP(G10,P4:U6,6,0)&gt;2000000,2000000/G11,IF(G11*VLOOKUP(G10,P4:U6,6,0)&lt;200000, "No Result",VLOOKUP(G10,P4:U6,6,0))),IF(G11*VLOOKUP(G10,P4:U6,6,0)&gt;2000000,2000000/G11,IF(G11*VLOOKUP(G10,P4:U6,6,0)&lt;150000, "No Result",VLOOKUP(G10,P4:U6,6,0))))),"")</f>
        <v>0.4854368932038835</v>
      </c>
      <c r="Z3" s="980"/>
      <c r="AA3" s="980"/>
      <c r="AB3" s="980"/>
      <c r="AC3" s="980"/>
      <c r="AD3" s="980"/>
      <c r="AE3" s="980"/>
      <c r="AF3" s="980"/>
      <c r="AG3" s="980"/>
      <c r="AH3" s="980"/>
      <c r="AI3" s="980"/>
      <c r="AJ3" s="980"/>
      <c r="AK3" s="980"/>
      <c r="AL3" s="980"/>
      <c r="AM3" s="980"/>
      <c r="AN3" s="980"/>
      <c r="AO3" s="980"/>
    </row>
    <row r="4" spans="2:41" ht="16.5" customHeight="1">
      <c r="P4" s="980" t="s">
        <v>276</v>
      </c>
      <c r="Q4" s="980"/>
      <c r="R4" s="980"/>
      <c r="S4" s="981">
        <f>V4</f>
        <v>750000</v>
      </c>
      <c r="T4" s="981"/>
      <c r="U4" s="982">
        <f>Q24</f>
        <v>0.7</v>
      </c>
      <c r="V4" s="983">
        <f>IF(Q24="N/A","N/A",MIN(2000000,Q25))</f>
        <v>750000</v>
      </c>
      <c r="W4" s="980"/>
      <c r="X4" s="980" t="s">
        <v>277</v>
      </c>
      <c r="Y4" s="983">
        <f>IFERROR(IF(AND(G10="House and Land",VLOOKUP(G10,P5:U6,6,0)=0%),0,IF(G10="House and Land",IF(G11*G14&gt;2000000,2000000,IF(G11*G14&lt;200000,200000,G11*G14)),IF(G11*G14&gt;2000000,2000000,IF(G11*G14&lt;150000,150000,G11*G14)))),"")</f>
        <v>500000</v>
      </c>
      <c r="Z4" s="980"/>
      <c r="AA4" s="980"/>
      <c r="AB4" s="980"/>
      <c r="AC4" s="980"/>
      <c r="AD4" s="980"/>
      <c r="AE4" s="980"/>
      <c r="AF4" s="980"/>
      <c r="AG4" s="980"/>
      <c r="AH4" s="980"/>
      <c r="AI4" s="980"/>
      <c r="AJ4" s="980"/>
      <c r="AK4" s="980"/>
      <c r="AL4" s="980"/>
      <c r="AM4" s="980"/>
      <c r="AN4" s="980"/>
      <c r="AO4" s="980"/>
    </row>
    <row r="5" spans="2:41" ht="17.25" customHeight="1">
      <c r="B5" s="972" t="s">
        <v>205</v>
      </c>
      <c r="C5" s="972"/>
      <c r="D5" s="972"/>
      <c r="E5" s="652"/>
      <c r="F5" s="652"/>
      <c r="G5" s="652"/>
      <c r="H5" s="652"/>
      <c r="I5" s="721"/>
      <c r="J5" s="721"/>
      <c r="K5" s="721"/>
      <c r="L5" s="721"/>
      <c r="M5" s="721"/>
      <c r="P5" s="980" t="s">
        <v>278</v>
      </c>
      <c r="Q5" s="980"/>
      <c r="R5" s="980"/>
      <c r="S5" s="981">
        <f t="shared" ref="S5:S6" si="0">V5</f>
        <v>500000</v>
      </c>
      <c r="T5" s="981"/>
      <c r="U5" s="982">
        <f>Q48</f>
        <v>0.4854368932038835</v>
      </c>
      <c r="V5" s="983">
        <f>IF(Q48="N/A","N/A",MIN(2000000,Q49))</f>
        <v>500000</v>
      </c>
      <c r="W5" s="980"/>
      <c r="X5" s="980" t="s">
        <v>275</v>
      </c>
      <c r="Y5" s="998">
        <f>G15/G11</f>
        <v>0.4854368932038835</v>
      </c>
      <c r="Z5" s="980"/>
      <c r="AA5" s="980"/>
      <c r="AB5" s="980"/>
      <c r="AC5" s="980"/>
      <c r="AD5" s="980"/>
      <c r="AE5" s="980"/>
      <c r="AF5" s="980"/>
      <c r="AG5" s="980"/>
      <c r="AH5" s="980"/>
      <c r="AI5" s="980"/>
      <c r="AJ5" s="980"/>
      <c r="AK5" s="980"/>
      <c r="AL5" s="980"/>
      <c r="AM5" s="980"/>
      <c r="AN5" s="980"/>
      <c r="AO5" s="980"/>
    </row>
    <row r="6" spans="2:41">
      <c r="B6" s="984"/>
      <c r="M6" s="985"/>
      <c r="P6" s="980" t="s">
        <v>279</v>
      </c>
      <c r="Q6" s="980"/>
      <c r="R6" s="980"/>
      <c r="S6" s="981">
        <f t="shared" si="0"/>
        <v>500000</v>
      </c>
      <c r="T6" s="981"/>
      <c r="U6" s="986">
        <f>Q68</f>
        <v>0.65</v>
      </c>
      <c r="V6" s="983">
        <f>IF(Q68="N/A","N/A",MIN(2000000,Q69))</f>
        <v>500000</v>
      </c>
      <c r="W6" s="980"/>
      <c r="X6" s="980" t="s">
        <v>277</v>
      </c>
      <c r="Y6" s="980">
        <f>VLOOKUP(G10,P5:S6,4,0)</f>
        <v>500000</v>
      </c>
      <c r="Z6" s="980"/>
      <c r="AA6" s="980"/>
      <c r="AB6" s="980"/>
      <c r="AC6" s="980"/>
      <c r="AD6" s="980"/>
      <c r="AE6" s="980"/>
      <c r="AF6" s="1165" t="s">
        <v>280</v>
      </c>
      <c r="AG6" s="980"/>
      <c r="AH6" s="980" t="s">
        <v>281</v>
      </c>
      <c r="AI6" s="980"/>
      <c r="AJ6" s="1165" t="s">
        <v>282</v>
      </c>
      <c r="AK6" s="980"/>
      <c r="AL6" s="980"/>
      <c r="AM6" s="980" t="s">
        <v>283</v>
      </c>
      <c r="AN6" s="980"/>
      <c r="AO6" s="980"/>
    </row>
    <row r="7" spans="2:41" ht="15" hidden="1" customHeight="1">
      <c r="B7" s="984"/>
      <c r="M7" s="985"/>
      <c r="P7" s="980"/>
      <c r="Q7" s="980"/>
      <c r="R7" s="980"/>
      <c r="S7" s="980"/>
      <c r="T7" s="980"/>
      <c r="U7" s="980"/>
      <c r="V7" s="980"/>
      <c r="W7" s="980"/>
      <c r="X7" s="980"/>
      <c r="Y7" s="980"/>
      <c r="Z7" s="980"/>
      <c r="AA7" s="980"/>
      <c r="AB7" s="980"/>
      <c r="AC7" s="980"/>
      <c r="AD7" s="980"/>
      <c r="AE7" s="980"/>
      <c r="AF7" s="1165"/>
      <c r="AG7" s="980"/>
      <c r="AH7" s="980"/>
      <c r="AI7" s="980"/>
      <c r="AJ7" s="1165"/>
      <c r="AK7" s="980"/>
      <c r="AL7" s="980"/>
      <c r="AM7" s="980"/>
      <c r="AN7" s="980"/>
      <c r="AO7" s="980"/>
    </row>
    <row r="8" spans="2:41" ht="15" hidden="1" customHeight="1">
      <c r="B8" s="984"/>
      <c r="M8" s="985"/>
      <c r="P8" s="987" t="s">
        <v>284</v>
      </c>
      <c r="Q8" s="980"/>
      <c r="R8" s="980"/>
      <c r="S8" s="980"/>
      <c r="T8" s="980"/>
      <c r="U8" s="980"/>
      <c r="V8" s="980"/>
      <c r="W8" s="980"/>
      <c r="X8" s="980"/>
      <c r="Y8" s="980"/>
      <c r="Z8" s="980"/>
      <c r="AA8" s="980"/>
      <c r="AB8" s="980"/>
      <c r="AC8" s="980"/>
      <c r="AD8" s="980"/>
      <c r="AE8" s="980"/>
      <c r="AF8" s="1165"/>
      <c r="AG8" s="980"/>
      <c r="AH8" s="980" t="s">
        <v>285</v>
      </c>
      <c r="AI8" s="980"/>
      <c r="AJ8" s="1165"/>
      <c r="AK8" s="980"/>
      <c r="AL8" s="980"/>
      <c r="AM8" s="980" t="s">
        <v>286</v>
      </c>
      <c r="AN8" s="980"/>
      <c r="AO8" s="980"/>
    </row>
    <row r="9" spans="2:41" ht="15" customHeight="1">
      <c r="B9" s="984"/>
      <c r="J9" s="988"/>
      <c r="K9" s="988"/>
      <c r="L9" s="988"/>
      <c r="M9" s="989"/>
      <c r="P9" s="980"/>
      <c r="Q9" s="980"/>
      <c r="R9" s="980"/>
      <c r="S9" s="980"/>
      <c r="T9" s="980"/>
      <c r="U9" s="980"/>
      <c r="V9" s="980"/>
      <c r="W9" s="980"/>
      <c r="X9" s="980"/>
      <c r="Y9" s="980"/>
      <c r="Z9" s="980"/>
      <c r="AA9" s="980"/>
      <c r="AB9" s="980"/>
      <c r="AC9" s="980"/>
      <c r="AD9" s="980"/>
      <c r="AE9" s="980"/>
      <c r="AF9" s="1165"/>
      <c r="AG9" s="980"/>
      <c r="AH9" s="980" t="s">
        <v>287</v>
      </c>
      <c r="AI9" s="980"/>
      <c r="AJ9" s="1165"/>
      <c r="AK9" s="980"/>
      <c r="AL9" s="980"/>
      <c r="AM9" s="980" t="s">
        <v>288</v>
      </c>
      <c r="AN9" s="980"/>
      <c r="AO9" s="980"/>
    </row>
    <row r="10" spans="2:41" ht="22.15" customHeight="1">
      <c r="B10" s="984"/>
      <c r="E10" s="990" t="s">
        <v>289</v>
      </c>
      <c r="G10" s="1139" t="s">
        <v>278</v>
      </c>
      <c r="H10" s="1139"/>
      <c r="I10" s="1139"/>
      <c r="J10" s="1159" t="s">
        <v>290</v>
      </c>
      <c r="K10" s="1159"/>
      <c r="L10" s="1159"/>
      <c r="M10" s="1160"/>
      <c r="P10" s="987" t="s">
        <v>291</v>
      </c>
      <c r="Q10" s="980"/>
      <c r="R10" s="980"/>
      <c r="S10" s="980"/>
      <c r="T10" s="980"/>
      <c r="U10" s="987" t="s">
        <v>292</v>
      </c>
      <c r="V10" s="980"/>
      <c r="W10" s="980"/>
      <c r="X10" s="980"/>
      <c r="Y10" s="987" t="s">
        <v>293</v>
      </c>
      <c r="Z10" s="980"/>
      <c r="AA10" s="980"/>
      <c r="AB10" s="980"/>
      <c r="AC10" s="980" t="s">
        <v>294</v>
      </c>
      <c r="AD10" s="980">
        <v>2010</v>
      </c>
      <c r="AE10" s="980" t="s">
        <v>294</v>
      </c>
      <c r="AF10" s="980">
        <v>2010</v>
      </c>
      <c r="AG10" s="980"/>
      <c r="AH10" s="980">
        <v>4000</v>
      </c>
      <c r="AI10" s="980" t="s">
        <v>295</v>
      </c>
      <c r="AJ10" s="980">
        <v>4007</v>
      </c>
      <c r="AK10" s="980"/>
      <c r="AL10" s="980" t="s">
        <v>294</v>
      </c>
      <c r="AM10" s="980">
        <v>2012</v>
      </c>
      <c r="AN10" s="980"/>
      <c r="AO10" s="980"/>
    </row>
    <row r="11" spans="2:41" ht="22.15" customHeight="1">
      <c r="B11" s="984"/>
      <c r="E11" s="990" t="s">
        <v>296</v>
      </c>
      <c r="G11" s="1166">
        <v>1030000</v>
      </c>
      <c r="H11" s="1166"/>
      <c r="I11" s="1166"/>
      <c r="J11" s="1159"/>
      <c r="K11" s="1159"/>
      <c r="L11" s="1159"/>
      <c r="M11" s="1160"/>
      <c r="P11" s="980" t="s">
        <v>297</v>
      </c>
      <c r="Q11" s="980" t="s">
        <v>298</v>
      </c>
      <c r="R11" s="980" t="s">
        <v>299</v>
      </c>
      <c r="S11" s="980"/>
      <c r="T11" s="980"/>
      <c r="U11" s="980" t="s">
        <v>297</v>
      </c>
      <c r="V11" s="980" t="s">
        <v>298</v>
      </c>
      <c r="W11" s="980" t="s">
        <v>299</v>
      </c>
      <c r="X11" s="980"/>
      <c r="Y11" s="980" t="s">
        <v>297</v>
      </c>
      <c r="Z11" s="980" t="s">
        <v>298</v>
      </c>
      <c r="AA11" s="980" t="s">
        <v>299</v>
      </c>
      <c r="AB11" s="980"/>
      <c r="AC11" s="980"/>
      <c r="AD11" s="980">
        <v>2011</v>
      </c>
      <c r="AE11" s="980"/>
      <c r="AF11" s="980">
        <v>2011</v>
      </c>
      <c r="AG11" s="980"/>
      <c r="AH11" s="980">
        <v>4001</v>
      </c>
      <c r="AI11" s="980"/>
      <c r="AJ11" s="980">
        <v>4008</v>
      </c>
      <c r="AK11" s="980"/>
      <c r="AL11" s="980"/>
      <c r="AM11" s="980">
        <v>2013</v>
      </c>
      <c r="AN11" s="980"/>
      <c r="AO11" s="980"/>
    </row>
    <row r="12" spans="2:41" ht="22.15" customHeight="1">
      <c r="B12" s="984"/>
      <c r="E12" s="990" t="s">
        <v>300</v>
      </c>
      <c r="G12" s="1167">
        <v>2012</v>
      </c>
      <c r="H12" s="1167"/>
      <c r="I12" s="1167"/>
      <c r="J12" s="1161" t="str">
        <f>IF(G12="","",IF(ISNA(VLOOKUP(G12,AH10:AH58,1,0))=TRUE,IF(ISNA(VLOOKUP(G12,AD10:AD2146,1,0))=TRUE,"*The postcode of your property may not had been added to our database, please contact us for more details.",""),IF(G10="House and Land","","*LVR restriction applies for Inner City High Density Units/Apartments")))</f>
        <v/>
      </c>
      <c r="K12" s="1161"/>
      <c r="L12" s="1161"/>
      <c r="M12" s="1162"/>
      <c r="P12" s="991">
        <f>Q12/R12</f>
        <v>200000</v>
      </c>
      <c r="Q12" s="991">
        <v>150000</v>
      </c>
      <c r="R12" s="992">
        <v>0.75</v>
      </c>
      <c r="S12" s="993"/>
      <c r="T12" s="993"/>
      <c r="U12" s="994">
        <f>V12/W12</f>
        <v>214285.71428571429</v>
      </c>
      <c r="V12" s="991">
        <v>150000</v>
      </c>
      <c r="W12" s="992">
        <v>0.7</v>
      </c>
      <c r="X12" s="980"/>
      <c r="Y12" s="991">
        <f>Z12/AA12</f>
        <v>250000</v>
      </c>
      <c r="Z12" s="991">
        <v>150000</v>
      </c>
      <c r="AA12" s="992">
        <v>0.6</v>
      </c>
      <c r="AB12" s="980"/>
      <c r="AC12" s="980"/>
      <c r="AD12" s="980">
        <v>2012</v>
      </c>
      <c r="AE12" s="980"/>
      <c r="AF12" s="980">
        <v>2012</v>
      </c>
      <c r="AG12" s="980"/>
      <c r="AH12" s="980">
        <v>4002</v>
      </c>
      <c r="AI12" s="980"/>
      <c r="AJ12" s="980">
        <v>4009</v>
      </c>
      <c r="AK12" s="980"/>
      <c r="AL12" s="980"/>
      <c r="AM12" s="980">
        <v>2014</v>
      </c>
      <c r="AN12" s="980"/>
      <c r="AO12" s="980"/>
    </row>
    <row r="13" spans="2:41" ht="14.25" customHeight="1">
      <c r="B13" s="984"/>
      <c r="E13" s="990"/>
      <c r="J13" s="1161"/>
      <c r="K13" s="1161"/>
      <c r="L13" s="1161"/>
      <c r="M13" s="1162"/>
      <c r="P13" s="991">
        <f>Q13/R12+0.1</f>
        <v>1000000.1</v>
      </c>
      <c r="Q13" s="991">
        <v>750000</v>
      </c>
      <c r="R13" s="992">
        <v>0.7</v>
      </c>
      <c r="S13" s="993"/>
      <c r="T13" s="993"/>
      <c r="U13" s="991">
        <f>V13/W12+0.1</f>
        <v>714285.8142857143</v>
      </c>
      <c r="V13" s="991">
        <v>500000</v>
      </c>
      <c r="W13" s="992">
        <v>0.65</v>
      </c>
      <c r="X13" s="980"/>
      <c r="Y13" s="994">
        <f>Z13/AA12+0.1</f>
        <v>833333.43333333335</v>
      </c>
      <c r="Z13" s="991">
        <v>500000</v>
      </c>
      <c r="AA13" s="992">
        <v>0.6</v>
      </c>
      <c r="AB13" s="980"/>
      <c r="AC13" s="980"/>
      <c r="AD13" s="980">
        <v>2013</v>
      </c>
      <c r="AE13" s="980"/>
      <c r="AF13" s="980">
        <v>2013</v>
      </c>
      <c r="AG13" s="980"/>
      <c r="AH13" s="980">
        <v>4003</v>
      </c>
      <c r="AI13" s="980"/>
      <c r="AJ13" s="980">
        <v>4010</v>
      </c>
      <c r="AK13" s="980"/>
      <c r="AL13" s="980"/>
      <c r="AM13" s="980">
        <v>2250</v>
      </c>
      <c r="AN13" s="980"/>
      <c r="AO13" s="980"/>
    </row>
    <row r="14" spans="2:41" ht="22.15" customHeight="1">
      <c r="B14" s="984"/>
      <c r="E14" s="990" t="s">
        <v>301</v>
      </c>
      <c r="G14" s="1151">
        <f>IFERROR(IF(G10="House and Land",IF(Y6&lt;200000,"N/A",Y5),IF(Y6&lt;150000,"N/A",Y5)),"")</f>
        <v>0.4854368932038835</v>
      </c>
      <c r="H14" s="1151"/>
      <c r="I14" s="1151"/>
      <c r="J14" s="1161"/>
      <c r="K14" s="1161"/>
      <c r="L14" s="1161"/>
      <c r="M14" s="1162"/>
      <c r="P14" s="991">
        <f>Q14/R13+0.1</f>
        <v>1285714.3857142858</v>
      </c>
      <c r="Q14" s="991">
        <v>900000</v>
      </c>
      <c r="R14" s="992">
        <v>0.65</v>
      </c>
      <c r="S14" s="992"/>
      <c r="T14" s="992"/>
      <c r="U14" s="991">
        <f>V14/W13+0.1</f>
        <v>1230769.3307692308</v>
      </c>
      <c r="V14" s="991">
        <v>800000</v>
      </c>
      <c r="W14" s="992">
        <v>0.6</v>
      </c>
      <c r="X14" s="980"/>
      <c r="Y14" s="995"/>
      <c r="Z14" s="991"/>
      <c r="AA14" s="992"/>
      <c r="AB14" s="980"/>
      <c r="AC14" s="980"/>
      <c r="AD14" s="980">
        <v>2014</v>
      </c>
      <c r="AE14" s="980"/>
      <c r="AF14" s="980">
        <v>2014</v>
      </c>
      <c r="AG14" s="980"/>
      <c r="AH14" s="980">
        <v>4004</v>
      </c>
      <c r="AI14" s="980"/>
      <c r="AJ14" s="980">
        <v>4011</v>
      </c>
      <c r="AK14" s="980"/>
      <c r="AL14" s="980"/>
      <c r="AM14" s="980">
        <v>2251</v>
      </c>
      <c r="AN14" s="980"/>
      <c r="AO14" s="980"/>
    </row>
    <row r="15" spans="2:41" ht="22.15" customHeight="1">
      <c r="B15" s="984"/>
      <c r="E15" s="990" t="s">
        <v>302</v>
      </c>
      <c r="G15" s="1152">
        <f>IFERROR(IF(G10="House and Land",IF(Y6&lt;200000,"N/A",Y6),IF(Y6&lt;150000,"N/A",Y6)),"")</f>
        <v>500000</v>
      </c>
      <c r="H15" s="1152"/>
      <c r="I15" s="1152"/>
      <c r="J15" s="1161" t="str">
        <f>IFERROR(IF(G10="House and Land",IF(G14="","",IF(G14="N/A","Loan size can  only be range from $200,000 to $2,000,000",IF(G14="N/A","Loan size can  only be range from $200,000 to $2,000,000",""))),IF(G14="","",IF(G14="N/A","Loan size can  only be range from $150,000 to $2,000,000",IF(G14="N/A","Loan size can  only be range from $150,000 to $2,000,000","")))),"")</f>
        <v/>
      </c>
      <c r="K15" s="1161"/>
      <c r="L15" s="1161"/>
      <c r="M15" s="1162"/>
      <c r="P15" s="991">
        <f>Q15/R14+0.1</f>
        <v>2307692.4076923076</v>
      </c>
      <c r="Q15" s="991">
        <v>1500000</v>
      </c>
      <c r="R15" s="992">
        <v>0.5</v>
      </c>
      <c r="S15" s="992"/>
      <c r="T15" s="992"/>
      <c r="U15" s="991">
        <f>V15/W14+0.1</f>
        <v>1500000.1</v>
      </c>
      <c r="V15" s="991">
        <v>900000</v>
      </c>
      <c r="W15" s="992">
        <v>0.5</v>
      </c>
      <c r="X15" s="980"/>
      <c r="Y15" s="980"/>
      <c r="Z15" s="980"/>
      <c r="AA15" s="980"/>
      <c r="AB15" s="980"/>
      <c r="AC15" s="980"/>
      <c r="AD15" s="980">
        <v>2015</v>
      </c>
      <c r="AE15" s="980"/>
      <c r="AF15" s="980">
        <v>2015</v>
      </c>
      <c r="AG15" s="980"/>
      <c r="AH15" s="980">
        <v>4005</v>
      </c>
      <c r="AI15" s="980"/>
      <c r="AJ15" s="980">
        <v>4012</v>
      </c>
      <c r="AK15" s="980"/>
      <c r="AL15" s="980"/>
      <c r="AM15" s="980">
        <v>2252</v>
      </c>
      <c r="AN15" s="980"/>
      <c r="AO15" s="980"/>
    </row>
    <row r="16" spans="2:41">
      <c r="B16" s="984"/>
      <c r="J16" s="1163"/>
      <c r="K16" s="1163"/>
      <c r="L16" s="1163"/>
      <c r="M16" s="1164"/>
      <c r="P16" s="991">
        <v>4000000.1</v>
      </c>
      <c r="Q16" s="991">
        <v>2000000</v>
      </c>
      <c r="R16" s="992">
        <v>0.5</v>
      </c>
      <c r="S16" s="992"/>
      <c r="T16" s="992"/>
      <c r="U16" s="995"/>
      <c r="V16" s="991"/>
      <c r="W16" s="992"/>
      <c r="X16" s="980"/>
      <c r="Y16" s="980"/>
      <c r="Z16" s="980"/>
      <c r="AA16" s="980"/>
      <c r="AB16" s="980"/>
      <c r="AC16" s="980"/>
      <c r="AD16" s="980">
        <v>2016</v>
      </c>
      <c r="AE16" s="980"/>
      <c r="AF16" s="980">
        <v>2016</v>
      </c>
      <c r="AG16" s="980"/>
      <c r="AH16" s="980">
        <v>4006</v>
      </c>
      <c r="AI16" s="980"/>
      <c r="AJ16" s="980">
        <v>4013</v>
      </c>
      <c r="AK16" s="980"/>
      <c r="AL16" s="980"/>
      <c r="AM16" s="980">
        <v>2253</v>
      </c>
      <c r="AN16" s="980"/>
      <c r="AO16" s="980"/>
    </row>
    <row r="17" spans="2:41" ht="16.5">
      <c r="B17" s="1002" t="s">
        <v>303</v>
      </c>
      <c r="C17" s="1003"/>
      <c r="D17" s="1004"/>
      <c r="E17" s="1003"/>
      <c r="F17" s="1003"/>
      <c r="G17" s="1003"/>
      <c r="H17" s="1003"/>
      <c r="I17" s="1005"/>
      <c r="J17" s="1005"/>
      <c r="K17" s="1005"/>
      <c r="L17" s="1005"/>
      <c r="M17" s="1005"/>
      <c r="P17" s="995">
        <v>100000000</v>
      </c>
      <c r="Q17" s="991">
        <v>2000000</v>
      </c>
      <c r="R17" s="992">
        <v>0.5</v>
      </c>
      <c r="S17" s="980"/>
      <c r="T17" s="980"/>
      <c r="U17" s="980"/>
      <c r="V17" s="980"/>
      <c r="W17" s="980"/>
      <c r="X17" s="980"/>
      <c r="Y17" s="980"/>
      <c r="Z17" s="980"/>
      <c r="AA17" s="980"/>
      <c r="AB17" s="980"/>
      <c r="AC17" s="980"/>
      <c r="AD17" s="980">
        <v>2021</v>
      </c>
      <c r="AE17" s="980"/>
      <c r="AF17" s="980">
        <v>2021</v>
      </c>
      <c r="AG17" s="980"/>
      <c r="AH17" s="980">
        <v>4101</v>
      </c>
      <c r="AI17" s="980"/>
      <c r="AJ17" s="980">
        <v>4014</v>
      </c>
      <c r="AK17" s="980"/>
      <c r="AL17" s="980"/>
      <c r="AM17" s="980">
        <v>2254</v>
      </c>
      <c r="AN17" s="980"/>
      <c r="AO17" s="980"/>
    </row>
    <row r="18" spans="2:41" ht="24.75" customHeight="1">
      <c r="B18" s="1006" t="s">
        <v>304</v>
      </c>
      <c r="C18" s="1010"/>
      <c r="D18" s="1011"/>
      <c r="E18" s="1010"/>
      <c r="F18" s="1010"/>
      <c r="G18" s="1011"/>
      <c r="H18" s="1010"/>
      <c r="I18" s="1010"/>
      <c r="J18" s="1010"/>
      <c r="K18" s="1010"/>
      <c r="L18" s="1010"/>
      <c r="M18" s="1007"/>
      <c r="P18" s="996" t="s">
        <v>305</v>
      </c>
      <c r="Q18" s="997">
        <f>G11</f>
        <v>1030000</v>
      </c>
      <c r="R18" s="980">
        <f>VLOOKUP(Q18,P12:R17,3,TRUE)</f>
        <v>0.7</v>
      </c>
      <c r="S18" s="980"/>
      <c r="T18" s="980"/>
      <c r="U18" s="980"/>
      <c r="V18" s="991"/>
      <c r="W18" s="980"/>
      <c r="X18" s="980"/>
      <c r="Y18" s="980"/>
      <c r="Z18" s="991"/>
      <c r="AA18" s="980"/>
      <c r="AB18" s="980"/>
      <c r="AC18" s="980"/>
      <c r="AD18" s="980">
        <v>2022</v>
      </c>
      <c r="AE18" s="980"/>
      <c r="AF18" s="980">
        <v>2022</v>
      </c>
      <c r="AG18" s="980"/>
      <c r="AH18" s="980">
        <v>4169</v>
      </c>
      <c r="AI18" s="980"/>
      <c r="AJ18" s="980">
        <v>4015</v>
      </c>
      <c r="AK18" s="980"/>
      <c r="AL18" s="980"/>
      <c r="AM18" s="980">
        <v>2255</v>
      </c>
      <c r="AN18" s="980"/>
      <c r="AO18" s="980"/>
    </row>
    <row r="19" spans="2:41" ht="19.5" customHeight="1">
      <c r="B19" s="1153" t="s">
        <v>306</v>
      </c>
      <c r="C19" s="1154"/>
      <c r="D19" s="1154"/>
      <c r="E19" s="1154"/>
      <c r="F19" s="1154"/>
      <c r="G19" s="1154"/>
      <c r="H19" s="1154"/>
      <c r="I19" s="1154"/>
      <c r="J19" s="1154"/>
      <c r="K19" s="1154"/>
      <c r="L19" s="1154"/>
      <c r="M19" s="1155"/>
      <c r="P19" s="980" t="s">
        <v>307</v>
      </c>
      <c r="Q19" s="998">
        <f>IF(IF(ISNA(VLOOKUP(Q22,AF10:AF2001,1,FALSE)),"false","true")="true",IF(Q18&gt;100000000,"50%",VLOOKUP(Q18,P12:R17,3,TRUE)),"50%")</f>
        <v>0.7</v>
      </c>
      <c r="R19" s="980"/>
      <c r="S19" s="980"/>
      <c r="T19" s="980"/>
      <c r="U19" s="980" t="s">
        <v>308</v>
      </c>
      <c r="V19" s="998" t="str">
        <f>IF(IF(ISNA(VLOOKUP(Q22,AJ10:AJ1001,1,FALSE)),"false","true")="true",VLOOKUP(Q18,U12:W16,3,TRUE),"N/A")</f>
        <v>N/A</v>
      </c>
      <c r="W19" s="980"/>
      <c r="X19" s="980"/>
      <c r="Y19" s="980" t="s">
        <v>309</v>
      </c>
      <c r="Z19" s="998">
        <f>IF(IF(ISNA(VLOOKUP(Q22,AM10:AM1001,1,FALSE)),"false","true")="true",VLOOKUP(Q18,Y12:AA14,3,TRUE),"N/A")</f>
        <v>0.6</v>
      </c>
      <c r="AA19" s="980"/>
      <c r="AB19" s="980"/>
      <c r="AC19" s="980"/>
      <c r="AD19" s="980">
        <v>2023</v>
      </c>
      <c r="AE19" s="980"/>
      <c r="AF19" s="980">
        <v>2023</v>
      </c>
      <c r="AG19" s="980"/>
      <c r="AH19" s="980">
        <v>2000</v>
      </c>
      <c r="AI19" s="980"/>
      <c r="AJ19" s="980">
        <v>4016</v>
      </c>
      <c r="AK19" s="980"/>
      <c r="AL19" s="980"/>
      <c r="AM19" s="980">
        <v>2256</v>
      </c>
      <c r="AN19" s="980"/>
      <c r="AO19" s="980"/>
    </row>
    <row r="20" spans="2:41" ht="24.75" customHeight="1">
      <c r="B20" s="1153"/>
      <c r="C20" s="1154"/>
      <c r="D20" s="1154"/>
      <c r="E20" s="1154"/>
      <c r="F20" s="1154"/>
      <c r="G20" s="1154"/>
      <c r="H20" s="1154"/>
      <c r="I20" s="1154"/>
      <c r="J20" s="1154"/>
      <c r="K20" s="1154"/>
      <c r="L20" s="1154"/>
      <c r="M20" s="1155"/>
      <c r="P20" s="980" t="s">
        <v>310</v>
      </c>
      <c r="Q20" s="991">
        <f>IF(AND(Q19=70%,Q19*Q18&lt;750000), 750000,IF(AND(Q19=65%,Q19*Q18&lt;900000),900000,IF(AND(Q19=50%,Q19*Q18&lt;1500000),1500000,Q19*Q18)))</f>
        <v>750000</v>
      </c>
      <c r="R20" s="980"/>
      <c r="S20" s="980"/>
      <c r="T20" s="980"/>
      <c r="U20" s="980" t="s">
        <v>311</v>
      </c>
      <c r="V20" s="991" t="e">
        <f>IF(Q18&gt;1500000,900000,IF(AND(V19=65%,V19*Q18&lt;500000), 500000,IF(AND(V19=60%,V19*Q18&lt;800000),800000,IF(AND(V19=50%,V19*Q18&lt;900000),900000,V19*Q18))))</f>
        <v>#VALUE!</v>
      </c>
      <c r="W20" s="980"/>
      <c r="X20" s="980"/>
      <c r="Y20" s="980" t="s">
        <v>312</v>
      </c>
      <c r="Z20" s="991">
        <f>IF(Q18&gt;833333,500000,Z19*Q18)</f>
        <v>500000</v>
      </c>
      <c r="AA20" s="980"/>
      <c r="AB20" s="980"/>
      <c r="AC20" s="980"/>
      <c r="AD20" s="980">
        <v>2024</v>
      </c>
      <c r="AE20" s="980"/>
      <c r="AF20" s="980">
        <v>2024</v>
      </c>
      <c r="AG20" s="980"/>
      <c r="AH20" s="980">
        <v>2001</v>
      </c>
      <c r="AI20" s="980"/>
      <c r="AJ20" s="980">
        <v>4017</v>
      </c>
      <c r="AK20" s="980"/>
      <c r="AL20" s="980"/>
      <c r="AM20" s="980">
        <v>2257</v>
      </c>
      <c r="AN20" s="980"/>
      <c r="AO20" s="980"/>
    </row>
    <row r="21" spans="2:41" ht="19.5" customHeight="1">
      <c r="B21" s="1153"/>
      <c r="C21" s="1154"/>
      <c r="D21" s="1154"/>
      <c r="E21" s="1154"/>
      <c r="F21" s="1154"/>
      <c r="G21" s="1154"/>
      <c r="H21" s="1154"/>
      <c r="I21" s="1154"/>
      <c r="J21" s="1154"/>
      <c r="K21" s="1154"/>
      <c r="L21" s="1154"/>
      <c r="M21" s="1155"/>
      <c r="P21" s="980"/>
      <c r="Q21" s="980"/>
      <c r="R21" s="980"/>
      <c r="S21" s="980"/>
      <c r="T21" s="980"/>
      <c r="U21" s="980"/>
      <c r="V21" s="980"/>
      <c r="W21" s="980"/>
      <c r="X21" s="980"/>
      <c r="Y21" s="980"/>
      <c r="Z21" s="980"/>
      <c r="AA21" s="980"/>
      <c r="AB21" s="980"/>
      <c r="AC21" s="980"/>
      <c r="AD21" s="980">
        <v>2025</v>
      </c>
      <c r="AE21" s="980"/>
      <c r="AF21" s="980">
        <v>2025</v>
      </c>
      <c r="AG21" s="980"/>
      <c r="AH21" s="980">
        <v>2002</v>
      </c>
      <c r="AI21" s="980"/>
      <c r="AJ21" s="980">
        <v>4018</v>
      </c>
      <c r="AK21" s="980"/>
      <c r="AL21" s="980"/>
      <c r="AM21" s="980">
        <v>2258</v>
      </c>
      <c r="AN21" s="980"/>
      <c r="AO21" s="980"/>
    </row>
    <row r="22" spans="2:41" ht="22.5" customHeight="1">
      <c r="B22" s="1156"/>
      <c r="C22" s="1157"/>
      <c r="D22" s="1157"/>
      <c r="E22" s="1157"/>
      <c r="F22" s="1157"/>
      <c r="G22" s="1157"/>
      <c r="H22" s="1157"/>
      <c r="I22" s="1157"/>
      <c r="J22" s="1157"/>
      <c r="K22" s="1157"/>
      <c r="L22" s="1157"/>
      <c r="M22" s="1158"/>
      <c r="P22" s="996" t="s">
        <v>313</v>
      </c>
      <c r="Q22" s="996">
        <f>G12</f>
        <v>2012</v>
      </c>
      <c r="R22" s="980" t="str">
        <f>IF(IF(ISNA(VLOOKUP(Q22,AD10:AD2559,1,FALSE)),"false","true")="false","The postcode of your property may not yet have been added to our database, please contact us for more details.","")</f>
        <v/>
      </c>
      <c r="S22" s="980"/>
      <c r="T22" s="980"/>
      <c r="U22" s="980"/>
      <c r="V22" s="980"/>
      <c r="W22" s="980"/>
      <c r="X22" s="980"/>
      <c r="Y22" s="980"/>
      <c r="Z22" s="980"/>
      <c r="AA22" s="980"/>
      <c r="AB22" s="980"/>
      <c r="AC22" s="980"/>
      <c r="AD22" s="980">
        <v>2026</v>
      </c>
      <c r="AE22" s="980"/>
      <c r="AF22" s="980">
        <v>2026</v>
      </c>
      <c r="AG22" s="980"/>
      <c r="AH22" s="980">
        <v>2003</v>
      </c>
      <c r="AI22" s="980"/>
      <c r="AJ22" s="980">
        <v>4019</v>
      </c>
      <c r="AK22" s="980"/>
      <c r="AL22" s="980"/>
      <c r="AM22" s="980">
        <v>2259</v>
      </c>
      <c r="AN22" s="980"/>
      <c r="AO22" s="980"/>
    </row>
    <row r="23" spans="2:41">
      <c r="P23" s="980"/>
      <c r="Q23" s="980"/>
      <c r="R23" s="980"/>
      <c r="S23" s="980"/>
      <c r="T23" s="980"/>
      <c r="U23" s="980"/>
      <c r="V23" s="1009" t="s">
        <v>314</v>
      </c>
      <c r="W23" s="980"/>
      <c r="X23" s="980"/>
      <c r="Y23" s="980"/>
      <c r="Z23" s="980"/>
      <c r="AA23" s="980"/>
      <c r="AB23" s="980"/>
      <c r="AC23" s="980"/>
      <c r="AD23" s="980">
        <v>2027</v>
      </c>
      <c r="AE23" s="980"/>
      <c r="AF23" s="980">
        <v>2027</v>
      </c>
      <c r="AG23" s="980"/>
      <c r="AH23" s="980">
        <v>2004</v>
      </c>
      <c r="AI23" s="980"/>
      <c r="AJ23" s="980">
        <v>4020</v>
      </c>
      <c r="AK23" s="980"/>
      <c r="AL23" s="980"/>
      <c r="AM23" s="980">
        <v>2260</v>
      </c>
      <c r="AN23" s="980"/>
      <c r="AO23" s="980"/>
    </row>
    <row r="24" spans="2:41" ht="25.5" customHeight="1">
      <c r="P24" s="999" t="s">
        <v>315</v>
      </c>
      <c r="Q24" s="998">
        <f>IF(IF(ISNA(VLOOKUP(Q22,AF10:AF1001,1,FALSE)),"false","true")="true",Q19,IF(IF(ISNA(VLOOKUP(Q22,AJ10:AJ1001,1,FALSE)),"false","true")="true",V19,Z19))</f>
        <v>0.7</v>
      </c>
      <c r="R24" s="1000" t="str">
        <f>IF(IF(ISNA(VLOOKUP(Q22,AH10:AH702,FALSE)),"false","true")="true","Your security may be an Inner City High Density Apartment*","")</f>
        <v>Your security may be an Inner City High Density Apartment*</v>
      </c>
      <c r="S24" s="980"/>
      <c r="T24" s="980"/>
      <c r="U24" s="980"/>
      <c r="V24" s="980"/>
      <c r="W24" s="980"/>
      <c r="X24" s="980"/>
      <c r="Y24" s="980"/>
      <c r="Z24" s="980"/>
      <c r="AA24" s="980"/>
      <c r="AB24" s="980"/>
      <c r="AC24" s="980"/>
      <c r="AD24" s="980">
        <v>2028</v>
      </c>
      <c r="AE24" s="980"/>
      <c r="AF24" s="980">
        <v>2028</v>
      </c>
      <c r="AG24" s="980"/>
      <c r="AH24" s="980">
        <v>2005</v>
      </c>
      <c r="AI24" s="980"/>
      <c r="AJ24" s="980">
        <v>4021</v>
      </c>
      <c r="AK24" s="980"/>
      <c r="AL24" s="980"/>
      <c r="AM24" s="980">
        <v>2261</v>
      </c>
      <c r="AN24" s="980"/>
      <c r="AO24" s="980"/>
    </row>
    <row r="25" spans="2:41" ht="15" customHeight="1">
      <c r="P25" s="987" t="s">
        <v>316</v>
      </c>
      <c r="Q25" s="991">
        <f>IF(IF(ISNA(VLOOKUP(Q22,AF10:AF1001,1,FALSE)),"false","true")="true",Q20,IF(IF(ISNA(VLOOKUP(Q22,AJ10:AJ1001,1,FALSE)),"false","true")="true",V20,Z20))</f>
        <v>750000</v>
      </c>
      <c r="R25" s="980"/>
      <c r="S25" s="980"/>
      <c r="T25" s="980"/>
      <c r="U25" s="980"/>
      <c r="V25" s="980"/>
      <c r="W25" s="980"/>
      <c r="X25" s="980"/>
      <c r="Y25" s="980"/>
      <c r="Z25" s="980"/>
      <c r="AA25" s="980"/>
      <c r="AB25" s="980"/>
      <c r="AC25" s="980"/>
      <c r="AD25" s="980">
        <v>2029</v>
      </c>
      <c r="AE25" s="980"/>
      <c r="AF25" s="980">
        <v>2029</v>
      </c>
      <c r="AG25" s="980"/>
      <c r="AH25" s="980">
        <v>2006</v>
      </c>
      <c r="AI25" s="980"/>
      <c r="AJ25" s="980">
        <v>4022</v>
      </c>
      <c r="AK25" s="980"/>
      <c r="AL25" s="980"/>
      <c r="AM25" s="980">
        <v>2262</v>
      </c>
      <c r="AN25" s="980"/>
      <c r="AO25" s="980"/>
    </row>
    <row r="26" spans="2:41" ht="15" customHeight="1">
      <c r="P26" s="980"/>
      <c r="Q26" s="980"/>
      <c r="R26" s="980"/>
      <c r="S26" s="980"/>
      <c r="T26" s="980"/>
      <c r="U26" s="980"/>
      <c r="V26" s="980"/>
      <c r="W26" s="980"/>
      <c r="X26" s="980"/>
      <c r="Y26" s="980"/>
      <c r="Z26" s="980"/>
      <c r="AA26" s="980"/>
      <c r="AB26" s="980"/>
      <c r="AC26" s="980"/>
      <c r="AD26" s="980">
        <v>2030</v>
      </c>
      <c r="AE26" s="980"/>
      <c r="AF26" s="980">
        <v>2030</v>
      </c>
      <c r="AG26" s="980"/>
      <c r="AH26" s="980">
        <v>2007</v>
      </c>
      <c r="AI26" s="980"/>
      <c r="AJ26" s="980">
        <v>4030</v>
      </c>
      <c r="AK26" s="980"/>
      <c r="AL26" s="980"/>
      <c r="AM26" s="980">
        <v>2263</v>
      </c>
      <c r="AN26" s="980"/>
      <c r="AO26" s="980"/>
    </row>
    <row r="27" spans="2:41" ht="15" customHeight="1">
      <c r="P27" s="991"/>
      <c r="Q27" s="991"/>
      <c r="R27" s="1001"/>
      <c r="S27" s="993"/>
      <c r="T27" s="993"/>
      <c r="U27" s="980"/>
      <c r="V27" s="980"/>
      <c r="W27" s="980"/>
      <c r="X27" s="980"/>
      <c r="Y27" s="980"/>
      <c r="Z27" s="980"/>
      <c r="AA27" s="980"/>
      <c r="AB27" s="980"/>
      <c r="AC27" s="980"/>
      <c r="AD27" s="980">
        <v>2031</v>
      </c>
      <c r="AE27" s="980"/>
      <c r="AF27" s="980">
        <v>2031</v>
      </c>
      <c r="AG27" s="980" t="s">
        <v>294</v>
      </c>
      <c r="AH27" s="980">
        <v>2008</v>
      </c>
      <c r="AI27" s="980"/>
      <c r="AJ27" s="980">
        <v>4031</v>
      </c>
      <c r="AK27" s="980"/>
      <c r="AL27" s="980"/>
      <c r="AM27" s="980">
        <v>2264</v>
      </c>
      <c r="AN27" s="980"/>
      <c r="AO27" s="980"/>
    </row>
    <row r="28" spans="2:41" ht="15" customHeight="1">
      <c r="P28" s="980"/>
      <c r="Q28" s="980"/>
      <c r="R28" s="980"/>
      <c r="S28" s="980"/>
      <c r="T28" s="980"/>
      <c r="U28" s="980"/>
      <c r="V28" s="980"/>
      <c r="W28" s="980"/>
      <c r="X28" s="980"/>
      <c r="Y28" s="980"/>
      <c r="Z28" s="980"/>
      <c r="AA28" s="980"/>
      <c r="AB28" s="980"/>
      <c r="AC28" s="980"/>
      <c r="AD28" s="980">
        <v>2032</v>
      </c>
      <c r="AE28" s="980"/>
      <c r="AF28" s="980">
        <v>2032</v>
      </c>
      <c r="AG28" s="980"/>
      <c r="AH28" s="980">
        <v>2009</v>
      </c>
      <c r="AI28" s="980"/>
      <c r="AJ28" s="980">
        <v>4032</v>
      </c>
      <c r="AK28" s="980"/>
      <c r="AL28" s="980"/>
      <c r="AM28" s="980">
        <v>2265</v>
      </c>
      <c r="AN28" s="980"/>
      <c r="AO28" s="980"/>
    </row>
    <row r="29" spans="2:41" ht="15" customHeight="1">
      <c r="P29" s="980"/>
      <c r="Q29" s="980"/>
      <c r="R29" s="980"/>
      <c r="S29" s="980"/>
      <c r="T29" s="980"/>
      <c r="U29" s="980"/>
      <c r="V29" s="980"/>
      <c r="W29" s="980"/>
      <c r="X29" s="980"/>
      <c r="Y29" s="980"/>
      <c r="Z29" s="980"/>
      <c r="AA29" s="980"/>
      <c r="AB29" s="980"/>
      <c r="AC29" s="980"/>
      <c r="AD29" s="980">
        <v>2033</v>
      </c>
      <c r="AE29" s="980"/>
      <c r="AF29" s="980">
        <v>2033</v>
      </c>
      <c r="AG29" s="980"/>
      <c r="AH29" s="980">
        <v>2017</v>
      </c>
      <c r="AI29" s="980"/>
      <c r="AJ29" s="980">
        <v>4033</v>
      </c>
      <c r="AK29" s="980"/>
      <c r="AL29" s="980"/>
      <c r="AM29" s="980">
        <v>2267</v>
      </c>
      <c r="AN29" s="980"/>
      <c r="AO29" s="980"/>
    </row>
    <row r="30" spans="2:41">
      <c r="P30" s="980"/>
      <c r="Q30" s="980"/>
      <c r="R30" s="980"/>
      <c r="S30" s="980"/>
      <c r="T30" s="980"/>
      <c r="U30" s="980"/>
      <c r="V30" s="980"/>
      <c r="W30" s="980"/>
      <c r="X30" s="980"/>
      <c r="Y30" s="980"/>
      <c r="Z30" s="980"/>
      <c r="AA30" s="980"/>
      <c r="AB30" s="980"/>
      <c r="AC30" s="980"/>
      <c r="AD30" s="980">
        <v>2034</v>
      </c>
      <c r="AE30" s="980"/>
      <c r="AF30" s="980">
        <v>2034</v>
      </c>
      <c r="AG30" s="980"/>
      <c r="AH30" s="980">
        <v>2018</v>
      </c>
      <c r="AI30" s="980"/>
      <c r="AJ30" s="980">
        <v>4034</v>
      </c>
      <c r="AK30" s="980"/>
      <c r="AL30" s="980"/>
      <c r="AM30" s="980">
        <v>2278</v>
      </c>
      <c r="AN30" s="980"/>
      <c r="AO30" s="980"/>
    </row>
    <row r="31" spans="2:41">
      <c r="P31" s="987" t="s">
        <v>278</v>
      </c>
      <c r="Q31" s="980"/>
      <c r="R31" s="980"/>
      <c r="S31" s="980"/>
      <c r="T31" s="980"/>
      <c r="U31" s="980"/>
      <c r="V31" s="980"/>
      <c r="W31" s="980"/>
      <c r="X31" s="980"/>
      <c r="Y31" s="980"/>
      <c r="Z31" s="980"/>
      <c r="AA31" s="980"/>
      <c r="AB31" s="980"/>
      <c r="AC31" s="980"/>
      <c r="AD31" s="980">
        <v>2035</v>
      </c>
      <c r="AE31" s="980"/>
      <c r="AF31" s="980">
        <v>2035</v>
      </c>
      <c r="AG31" s="980"/>
      <c r="AH31" s="980">
        <v>2019</v>
      </c>
      <c r="AI31" s="980"/>
      <c r="AJ31" s="980">
        <v>4035</v>
      </c>
      <c r="AK31" s="980"/>
      <c r="AL31" s="980"/>
      <c r="AM31" s="980">
        <v>2280</v>
      </c>
      <c r="AN31" s="980"/>
      <c r="AO31" s="980"/>
    </row>
    <row r="32" spans="2:41">
      <c r="P32" s="980"/>
      <c r="Q32" s="980"/>
      <c r="R32" s="980"/>
      <c r="S32" s="980"/>
      <c r="T32" s="980"/>
      <c r="U32" s="980"/>
      <c r="V32" s="980"/>
      <c r="W32" s="980"/>
      <c r="X32" s="980"/>
      <c r="Y32" s="980"/>
      <c r="Z32" s="980"/>
      <c r="AA32" s="980"/>
      <c r="AB32" s="980"/>
      <c r="AC32" s="980"/>
      <c r="AD32" s="980">
        <v>2036</v>
      </c>
      <c r="AE32" s="980"/>
      <c r="AF32" s="980">
        <v>2036</v>
      </c>
      <c r="AG32" s="980"/>
      <c r="AH32" s="980">
        <v>2020</v>
      </c>
      <c r="AI32" s="980"/>
      <c r="AJ32" s="980">
        <v>4036</v>
      </c>
      <c r="AK32" s="980"/>
      <c r="AL32" s="980"/>
      <c r="AM32" s="980">
        <v>2281</v>
      </c>
      <c r="AN32" s="980"/>
      <c r="AO32" s="980"/>
    </row>
    <row r="33" spans="16:41">
      <c r="P33" s="987" t="s">
        <v>291</v>
      </c>
      <c r="Q33" s="980"/>
      <c r="R33" s="980"/>
      <c r="S33" s="980"/>
      <c r="T33" s="980"/>
      <c r="U33" s="987" t="s">
        <v>292</v>
      </c>
      <c r="V33" s="980"/>
      <c r="W33" s="980"/>
      <c r="X33" s="980"/>
      <c r="Y33" s="987" t="s">
        <v>293</v>
      </c>
      <c r="Z33" s="980"/>
      <c r="AA33" s="980"/>
      <c r="AB33" s="980"/>
      <c r="AC33" s="980"/>
      <c r="AD33" s="980">
        <v>2037</v>
      </c>
      <c r="AE33" s="980"/>
      <c r="AF33" s="980">
        <v>2037</v>
      </c>
      <c r="AG33" s="980"/>
      <c r="AH33" s="980">
        <v>3000</v>
      </c>
      <c r="AI33" s="980"/>
      <c r="AJ33" s="980">
        <v>4037</v>
      </c>
      <c r="AK33" s="980"/>
      <c r="AL33" s="980"/>
      <c r="AM33" s="980">
        <v>2282</v>
      </c>
      <c r="AN33" s="980"/>
      <c r="AO33" s="980"/>
    </row>
    <row r="34" spans="16:41">
      <c r="P34" s="980"/>
      <c r="Q34" s="980" t="s">
        <v>297</v>
      </c>
      <c r="R34" s="980" t="s">
        <v>298</v>
      </c>
      <c r="S34" s="980" t="s">
        <v>299</v>
      </c>
      <c r="T34" s="980"/>
      <c r="U34" s="980" t="s">
        <v>297</v>
      </c>
      <c r="V34" s="980" t="s">
        <v>298</v>
      </c>
      <c r="W34" s="980" t="s">
        <v>299</v>
      </c>
      <c r="X34" s="980"/>
      <c r="Y34" s="980" t="s">
        <v>297</v>
      </c>
      <c r="Z34" s="980" t="s">
        <v>298</v>
      </c>
      <c r="AA34" s="980" t="s">
        <v>299</v>
      </c>
      <c r="AB34" s="980"/>
      <c r="AC34" s="980"/>
      <c r="AD34" s="980">
        <v>2038</v>
      </c>
      <c r="AE34" s="980"/>
      <c r="AF34" s="980">
        <v>2038</v>
      </c>
      <c r="AG34" s="980"/>
      <c r="AH34" s="980">
        <v>3001</v>
      </c>
      <c r="AI34" s="980"/>
      <c r="AJ34" s="980">
        <v>4038</v>
      </c>
      <c r="AK34" s="980"/>
      <c r="AL34" s="980"/>
      <c r="AM34" s="980">
        <v>2283</v>
      </c>
      <c r="AN34" s="980"/>
      <c r="AO34" s="980"/>
    </row>
    <row r="35" spans="16:41">
      <c r="P35" s="980">
        <f>IF(Q42&lt;=Q35,1,0)</f>
        <v>1</v>
      </c>
      <c r="Q35" s="991">
        <f>R35/S35</f>
        <v>1333333.3333333333</v>
      </c>
      <c r="R35" s="991">
        <v>1000000</v>
      </c>
      <c r="S35" s="993">
        <v>0.75</v>
      </c>
      <c r="T35" s="980">
        <f>IF(Q42&lt;=U35,1,0)</f>
        <v>0</v>
      </c>
      <c r="U35" s="994">
        <f>V35/W35</f>
        <v>1000000</v>
      </c>
      <c r="V35" s="991">
        <v>750000</v>
      </c>
      <c r="W35" s="992">
        <v>0.75</v>
      </c>
      <c r="X35" s="980">
        <v>1</v>
      </c>
      <c r="Y35" s="991">
        <f>Z35/AA35</f>
        <v>714285.71428571432</v>
      </c>
      <c r="Z35" s="991">
        <v>500000</v>
      </c>
      <c r="AA35" s="992">
        <v>0.7</v>
      </c>
      <c r="AB35" s="980"/>
      <c r="AC35" s="980"/>
      <c r="AD35" s="980">
        <v>2039</v>
      </c>
      <c r="AE35" s="980"/>
      <c r="AF35" s="980">
        <v>2039</v>
      </c>
      <c r="AG35" s="980"/>
      <c r="AH35" s="980">
        <v>3002</v>
      </c>
      <c r="AI35" s="980"/>
      <c r="AJ35" s="980">
        <v>4039</v>
      </c>
      <c r="AK35" s="980"/>
      <c r="AL35" s="980"/>
      <c r="AM35" s="980">
        <v>2284</v>
      </c>
      <c r="AN35" s="980"/>
      <c r="AO35" s="980"/>
    </row>
    <row r="36" spans="16:41">
      <c r="P36" s="980">
        <f>IF(AND(Q42&lt;=Q36,Q42&gt;Q35),1,0)</f>
        <v>0</v>
      </c>
      <c r="Q36" s="991">
        <f>R36/S36+0.1</f>
        <v>2142857.2428571433</v>
      </c>
      <c r="R36" s="991">
        <v>1500000</v>
      </c>
      <c r="S36" s="993">
        <v>0.7</v>
      </c>
      <c r="T36" s="980">
        <f>IF(AND(Q42&lt;=U36,Q42&gt;U35),1,0)</f>
        <v>1</v>
      </c>
      <c r="U36" s="991">
        <f>V36/W36+0.1</f>
        <v>1285714.3857142858</v>
      </c>
      <c r="V36" s="991">
        <v>900000</v>
      </c>
      <c r="W36" s="992">
        <v>0.7</v>
      </c>
      <c r="X36" s="980"/>
      <c r="Y36" s="994"/>
      <c r="Z36" s="991"/>
      <c r="AA36" s="992"/>
      <c r="AB36" s="980"/>
      <c r="AC36" s="980"/>
      <c r="AD36" s="980">
        <v>2040</v>
      </c>
      <c r="AE36" s="980"/>
      <c r="AF36" s="980">
        <v>2040</v>
      </c>
      <c r="AG36" s="980"/>
      <c r="AH36" s="980">
        <v>3003</v>
      </c>
      <c r="AI36" s="980"/>
      <c r="AJ36" s="980">
        <v>4040</v>
      </c>
      <c r="AK36" s="980"/>
      <c r="AL36" s="980"/>
      <c r="AM36" s="980">
        <v>2285</v>
      </c>
      <c r="AN36" s="980"/>
      <c r="AO36" s="980"/>
    </row>
    <row r="37" spans="16:41">
      <c r="P37" s="980">
        <f>IF(Q42&gt;Q36,1,0)</f>
        <v>0</v>
      </c>
      <c r="Q37" s="991">
        <f>R37/S37+0.1</f>
        <v>4000000.1</v>
      </c>
      <c r="R37" s="991">
        <v>2000000</v>
      </c>
      <c r="S37" s="992">
        <v>0.5</v>
      </c>
      <c r="T37" s="980">
        <f>IF(Q42&gt;U36,1,0)</f>
        <v>0</v>
      </c>
      <c r="U37" s="991">
        <f>V37/W37+0.1</f>
        <v>1923077.0230769231</v>
      </c>
      <c r="V37" s="991">
        <v>1250000</v>
      </c>
      <c r="W37" s="992">
        <v>0.65</v>
      </c>
      <c r="X37" s="980"/>
      <c r="Y37" s="980"/>
      <c r="Z37" s="980"/>
      <c r="AA37" s="980"/>
      <c r="AB37" s="980"/>
      <c r="AC37" s="980"/>
      <c r="AD37" s="980">
        <v>2041</v>
      </c>
      <c r="AE37" s="980"/>
      <c r="AF37" s="980">
        <v>2041</v>
      </c>
      <c r="AG37" s="980"/>
      <c r="AH37" s="980">
        <v>3004</v>
      </c>
      <c r="AI37" s="980"/>
      <c r="AJ37" s="980">
        <v>4041</v>
      </c>
      <c r="AK37" s="980"/>
      <c r="AL37" s="980"/>
      <c r="AM37" s="980">
        <v>2286</v>
      </c>
      <c r="AN37" s="980"/>
      <c r="AO37" s="980"/>
    </row>
    <row r="38" spans="16:41">
      <c r="P38" s="995" t="s">
        <v>317</v>
      </c>
      <c r="Q38" s="980">
        <f>IF(ISNA(VLOOKUP(Q46,AM10:AM1000,1,0))=TRUE,0,1)</f>
        <v>1</v>
      </c>
      <c r="R38" s="995" t="s">
        <v>317</v>
      </c>
      <c r="S38" s="992"/>
      <c r="T38" s="992"/>
      <c r="U38" s="991"/>
      <c r="V38" s="991"/>
      <c r="W38" s="992"/>
      <c r="X38" s="980"/>
      <c r="Y38" s="980"/>
      <c r="Z38" s="980"/>
      <c r="AA38" s="980"/>
      <c r="AB38" s="980"/>
      <c r="AC38" s="980"/>
      <c r="AD38" s="980">
        <v>2042</v>
      </c>
      <c r="AE38" s="980"/>
      <c r="AF38" s="980">
        <v>2042</v>
      </c>
      <c r="AG38" s="980"/>
      <c r="AH38" s="980">
        <v>3005</v>
      </c>
      <c r="AI38" s="980"/>
      <c r="AJ38" s="980">
        <v>4042</v>
      </c>
      <c r="AK38" s="980"/>
      <c r="AL38" s="980"/>
      <c r="AM38" s="980">
        <v>2287</v>
      </c>
      <c r="AN38" s="980"/>
      <c r="AO38" s="980"/>
    </row>
    <row r="39" spans="16:41">
      <c r="P39" s="991" t="s">
        <v>318</v>
      </c>
      <c r="Q39" s="980">
        <f>IF(ISNA(VLOOKUP(Q46,AJ10:AJ1000,1,0))=TRUE,0,1)</f>
        <v>0</v>
      </c>
      <c r="R39" s="991" t="s">
        <v>318</v>
      </c>
      <c r="S39" s="992"/>
      <c r="T39" s="980"/>
      <c r="U39" s="980"/>
      <c r="V39" s="980"/>
      <c r="W39" s="980"/>
      <c r="X39" s="980"/>
      <c r="Y39" s="980"/>
      <c r="Z39" s="980"/>
      <c r="AA39" s="980"/>
      <c r="AB39" s="980"/>
      <c r="AC39" s="980"/>
      <c r="AD39" s="980">
        <v>2043</v>
      </c>
      <c r="AE39" s="980"/>
      <c r="AF39" s="980">
        <v>2043</v>
      </c>
      <c r="AG39" s="980"/>
      <c r="AH39" s="980">
        <v>3006</v>
      </c>
      <c r="AI39" s="980"/>
      <c r="AJ39" s="980">
        <v>4043</v>
      </c>
      <c r="AK39" s="980"/>
      <c r="AL39" s="980"/>
      <c r="AM39" s="980">
        <v>2288</v>
      </c>
      <c r="AN39" s="980"/>
      <c r="AO39" s="980"/>
    </row>
    <row r="40" spans="16:41">
      <c r="P40" s="991" t="s">
        <v>319</v>
      </c>
      <c r="Q40" s="980">
        <f>IF(ISNA(VLOOKUP(Q46,AF10:AF1000,1,0))=TRUE,0,1)</f>
        <v>1</v>
      </c>
      <c r="R40" s="991" t="s">
        <v>319</v>
      </c>
      <c r="S40" s="980"/>
      <c r="T40" s="980"/>
      <c r="U40" s="980"/>
      <c r="V40" s="980"/>
      <c r="W40" s="980"/>
      <c r="X40" s="980"/>
      <c r="Y40" s="980"/>
      <c r="Z40" s="980"/>
      <c r="AA40" s="980"/>
      <c r="AB40" s="980"/>
      <c r="AC40" s="980"/>
      <c r="AD40" s="980">
        <v>2044</v>
      </c>
      <c r="AE40" s="980"/>
      <c r="AF40" s="980">
        <v>2044</v>
      </c>
      <c r="AG40" s="980"/>
      <c r="AH40" s="980">
        <v>3007</v>
      </c>
      <c r="AI40" s="980"/>
      <c r="AJ40" s="980">
        <v>4044</v>
      </c>
      <c r="AK40" s="980"/>
      <c r="AL40" s="980"/>
      <c r="AM40" s="980">
        <v>2289</v>
      </c>
      <c r="AN40" s="980"/>
      <c r="AO40" s="980"/>
    </row>
    <row r="41" spans="16:41">
      <c r="P41" s="991"/>
      <c r="Q41" s="980"/>
      <c r="R41" s="995"/>
      <c r="S41" s="980"/>
      <c r="T41" s="980"/>
      <c r="U41" s="980"/>
      <c r="V41" s="980"/>
      <c r="W41" s="980"/>
      <c r="X41" s="980"/>
      <c r="Y41" s="980"/>
      <c r="Z41" s="980"/>
      <c r="AA41" s="980"/>
      <c r="AB41" s="980"/>
      <c r="AC41" s="980"/>
      <c r="AD41" s="980"/>
      <c r="AE41" s="980"/>
      <c r="AF41" s="980"/>
      <c r="AG41" s="980"/>
      <c r="AH41" s="980"/>
      <c r="AI41" s="980"/>
      <c r="AJ41" s="980"/>
      <c r="AK41" s="980"/>
      <c r="AL41" s="980"/>
      <c r="AM41" s="980"/>
      <c r="AN41" s="980"/>
      <c r="AO41" s="980"/>
    </row>
    <row r="42" spans="16:41">
      <c r="P42" s="996" t="s">
        <v>305</v>
      </c>
      <c r="Q42" s="997">
        <f>G11</f>
        <v>1030000</v>
      </c>
      <c r="R42" s="980"/>
      <c r="S42" s="980"/>
      <c r="T42" s="980"/>
      <c r="U42" s="980"/>
      <c r="V42" s="991"/>
      <c r="W42" s="980"/>
      <c r="X42" s="980"/>
      <c r="Y42" s="980"/>
      <c r="Z42" s="991"/>
      <c r="AA42" s="980"/>
      <c r="AB42" s="980"/>
      <c r="AC42" s="980"/>
      <c r="AD42" s="980">
        <v>2045</v>
      </c>
      <c r="AE42" s="980"/>
      <c r="AF42" s="980">
        <v>2045</v>
      </c>
      <c r="AG42" s="980"/>
      <c r="AH42" s="980">
        <v>3008</v>
      </c>
      <c r="AI42" s="980"/>
      <c r="AJ42" s="980">
        <v>4045</v>
      </c>
      <c r="AK42" s="980"/>
      <c r="AL42" s="980"/>
      <c r="AM42" s="980">
        <v>2290</v>
      </c>
      <c r="AN42" s="980"/>
      <c r="AO42" s="980"/>
    </row>
    <row r="43" spans="16:41">
      <c r="P43" s="980" t="s">
        <v>307</v>
      </c>
      <c r="Q43" s="998">
        <f>VLOOKUP(1,P35:S37,4,0)</f>
        <v>0.75</v>
      </c>
      <c r="R43" s="980"/>
      <c r="S43" s="980"/>
      <c r="T43" s="980"/>
      <c r="U43" s="980" t="s">
        <v>308</v>
      </c>
      <c r="V43" s="998">
        <f>VLOOKUP(1,T35:W37,4,0)</f>
        <v>0.7</v>
      </c>
      <c r="W43" s="980"/>
      <c r="X43" s="980"/>
      <c r="Y43" s="980" t="s">
        <v>309</v>
      </c>
      <c r="Z43" s="998">
        <f>VLOOKUP(1,X35:AA35,4,0)</f>
        <v>0.7</v>
      </c>
      <c r="AA43" s="980"/>
      <c r="AB43" s="980"/>
      <c r="AC43" s="980"/>
      <c r="AD43" s="980">
        <v>2046</v>
      </c>
      <c r="AE43" s="980"/>
      <c r="AF43" s="980">
        <v>2046</v>
      </c>
      <c r="AG43" s="980"/>
      <c r="AH43" s="980">
        <v>3009</v>
      </c>
      <c r="AI43" s="980"/>
      <c r="AJ43" s="980">
        <v>4046</v>
      </c>
      <c r="AK43" s="980"/>
      <c r="AL43" s="980"/>
      <c r="AM43" s="980">
        <v>2291</v>
      </c>
      <c r="AN43" s="980"/>
      <c r="AO43" s="980"/>
    </row>
    <row r="44" spans="16:41">
      <c r="P44" s="980" t="s">
        <v>310</v>
      </c>
      <c r="Q44" s="991">
        <f>IF(AND(Q43=70%,Q43*Q42&lt;1000000),1000000,IF(AND(Q43=50%,Q43*Q42&lt;1500000),1500000,IF(AND(Q43=50%,Q43*Q42&gt;2000000),2000000,Q43*Q42)))</f>
        <v>772500</v>
      </c>
      <c r="R44" s="980"/>
      <c r="S44" s="980"/>
      <c r="T44" s="980"/>
      <c r="U44" s="980" t="s">
        <v>311</v>
      </c>
      <c r="V44" s="991">
        <f>IF(AND(V43=70%,V43*Q42&lt;750000),750000,IF(AND(V43=65%,V43*Q42&lt;900000),900000,IF(AND(V43=65%,V43*Q42&gt;1250000),1250000,V43*Q42)))</f>
        <v>750000</v>
      </c>
      <c r="W44" s="980"/>
      <c r="X44" s="980"/>
      <c r="Y44" s="980" t="s">
        <v>312</v>
      </c>
      <c r="Z44" s="991">
        <f>IF(Q42*Z43&gt;Z35,Z35,Q42*Z43)</f>
        <v>500000</v>
      </c>
      <c r="AA44" s="980"/>
      <c r="AB44" s="980"/>
      <c r="AC44" s="980"/>
      <c r="AD44" s="980">
        <v>2047</v>
      </c>
      <c r="AE44" s="980"/>
      <c r="AF44" s="980">
        <v>2047</v>
      </c>
      <c r="AG44" s="980"/>
      <c r="AH44" s="980">
        <v>3207</v>
      </c>
      <c r="AI44" s="980"/>
      <c r="AJ44" s="980">
        <v>4047</v>
      </c>
      <c r="AK44" s="980"/>
      <c r="AL44" s="980"/>
      <c r="AM44" s="980">
        <v>2292</v>
      </c>
      <c r="AN44" s="980"/>
      <c r="AO44" s="980"/>
    </row>
    <row r="45" spans="16:41">
      <c r="P45" s="980"/>
      <c r="Q45" s="980"/>
      <c r="R45" s="980"/>
      <c r="S45" s="980"/>
      <c r="T45" s="980"/>
      <c r="U45" s="980"/>
      <c r="V45" s="980"/>
      <c r="W45" s="980"/>
      <c r="X45" s="980"/>
      <c r="Y45" s="980"/>
      <c r="Z45" s="980"/>
      <c r="AA45" s="980"/>
      <c r="AB45" s="980"/>
      <c r="AC45" s="980"/>
      <c r="AD45" s="980">
        <v>2048</v>
      </c>
      <c r="AE45" s="980"/>
      <c r="AF45" s="980">
        <v>2048</v>
      </c>
      <c r="AG45" s="980"/>
      <c r="AH45" s="980">
        <v>5000</v>
      </c>
      <c r="AI45" s="980"/>
      <c r="AJ45" s="980">
        <v>4048</v>
      </c>
      <c r="AK45" s="980"/>
      <c r="AL45" s="980"/>
      <c r="AM45" s="980">
        <v>2293</v>
      </c>
      <c r="AN45" s="980"/>
      <c r="AO45" s="980"/>
    </row>
    <row r="46" spans="16:41">
      <c r="P46" s="996" t="s">
        <v>313</v>
      </c>
      <c r="Q46" s="996">
        <f>G12</f>
        <v>2012</v>
      </c>
      <c r="R46" s="980" t="str">
        <f>IF(IF(ISNA(VLOOKUP(Q46,AD10:AD2559,1,FALSE)),"false","true")="false","The postcode of your property may not yet have been added to our database, please contact us for more details.","")</f>
        <v/>
      </c>
      <c r="S46" s="980"/>
      <c r="T46" s="980"/>
      <c r="U46" s="980"/>
      <c r="V46" s="980"/>
      <c r="W46" s="980"/>
      <c r="X46" s="980"/>
      <c r="Y46" s="980"/>
      <c r="Z46" s="980"/>
      <c r="AA46" s="980"/>
      <c r="AB46" s="980"/>
      <c r="AC46" s="980"/>
      <c r="AD46" s="980">
        <v>2049</v>
      </c>
      <c r="AE46" s="980"/>
      <c r="AF46" s="980">
        <v>2049</v>
      </c>
      <c r="AG46" s="980"/>
      <c r="AH46" s="980">
        <v>5001</v>
      </c>
      <c r="AI46" s="980"/>
      <c r="AJ46" s="980">
        <v>4049</v>
      </c>
      <c r="AK46" s="980"/>
      <c r="AL46" s="980"/>
      <c r="AM46" s="980">
        <v>2294</v>
      </c>
      <c r="AN46" s="980"/>
      <c r="AO46" s="980"/>
    </row>
    <row r="47" spans="16:41">
      <c r="P47" s="980"/>
      <c r="Q47" s="980"/>
      <c r="R47" s="980"/>
      <c r="S47" s="980"/>
      <c r="T47" s="980"/>
      <c r="U47" s="980"/>
      <c r="V47" s="980"/>
      <c r="W47" s="980"/>
      <c r="X47" s="980"/>
      <c r="Y47" s="980"/>
      <c r="Z47" s="980"/>
      <c r="AA47" s="980"/>
      <c r="AB47" s="980"/>
      <c r="AC47" s="980"/>
      <c r="AD47" s="980">
        <v>2050</v>
      </c>
      <c r="AE47" s="980"/>
      <c r="AF47" s="980">
        <v>2050</v>
      </c>
      <c r="AG47" s="980"/>
      <c r="AH47" s="980">
        <v>5002</v>
      </c>
      <c r="AI47" s="980"/>
      <c r="AJ47" s="980">
        <v>4050</v>
      </c>
      <c r="AK47" s="980"/>
      <c r="AL47" s="980"/>
      <c r="AM47" s="980">
        <v>2295</v>
      </c>
      <c r="AN47" s="980"/>
      <c r="AO47" s="980"/>
    </row>
    <row r="48" spans="16:41">
      <c r="P48" s="999" t="s">
        <v>315</v>
      </c>
      <c r="Q48" s="1008">
        <f>IF(VLOOKUP(1,Q38:R41,2,0)="Metro",Q43,IF(VLOOKUP(1,Q38:R41,2,0)="other metro",V43,IF(VLOOKUP(1,Q38:R41,2,0)="Other Cat 1",Z44/Q42,IF(VLOOKUP(1,Q38:R41,2,0)="High Density",65%,""))))</f>
        <v>0.4854368932038835</v>
      </c>
      <c r="R48" s="980"/>
      <c r="S48" s="980"/>
      <c r="T48" s="980"/>
      <c r="U48" s="980"/>
      <c r="V48" s="980"/>
      <c r="W48" s="980"/>
      <c r="X48" s="980"/>
      <c r="Y48" s="980"/>
      <c r="Z48" s="980"/>
      <c r="AA48" s="980"/>
      <c r="AB48" s="980"/>
      <c r="AC48" s="980"/>
      <c r="AD48" s="980">
        <v>2051</v>
      </c>
      <c r="AE48" s="980"/>
      <c r="AF48" s="980">
        <v>2051</v>
      </c>
      <c r="AG48" s="980"/>
      <c r="AH48" s="980">
        <v>5003</v>
      </c>
      <c r="AI48" s="980"/>
      <c r="AJ48" s="980">
        <v>4051</v>
      </c>
      <c r="AK48" s="980"/>
      <c r="AL48" s="980"/>
      <c r="AM48" s="980">
        <v>2296</v>
      </c>
      <c r="AN48" s="980"/>
      <c r="AO48" s="980"/>
    </row>
    <row r="49" spans="16:41">
      <c r="P49" s="987" t="s">
        <v>316</v>
      </c>
      <c r="Q49" s="991">
        <f>IF(VLOOKUP(1,Q38:R41,2,0)="Metro",Q44,IF(VLOOKUP(1,Q38:R41,2,0)="other metro",V44,IF(VLOOKUP(1,Q38:R41,2,0)="Other Cat 1",Z44,IF(VLOOKUP(1,Q38:R41,2,0)="High Density",Q42*Q48,""))))</f>
        <v>500000</v>
      </c>
      <c r="R49" s="980"/>
      <c r="S49" s="980"/>
      <c r="T49" s="980"/>
      <c r="U49" s="980"/>
      <c r="V49" s="980"/>
      <c r="W49" s="980"/>
      <c r="X49" s="980"/>
      <c r="Y49" s="980"/>
      <c r="Z49" s="980"/>
      <c r="AA49" s="980"/>
      <c r="AB49" s="980"/>
      <c r="AC49" s="980"/>
      <c r="AD49" s="980">
        <v>2052</v>
      </c>
      <c r="AE49" s="980"/>
      <c r="AF49" s="980">
        <v>2052</v>
      </c>
      <c r="AG49" s="980" t="s">
        <v>320</v>
      </c>
      <c r="AH49" s="980">
        <v>5004</v>
      </c>
      <c r="AI49" s="980"/>
      <c r="AJ49" s="980">
        <v>4052</v>
      </c>
      <c r="AK49" s="980"/>
      <c r="AL49" s="980"/>
      <c r="AM49" s="980">
        <v>2297</v>
      </c>
      <c r="AN49" s="980"/>
      <c r="AO49" s="980"/>
    </row>
    <row r="50" spans="16:41">
      <c r="P50" s="980"/>
      <c r="Q50" s="980"/>
      <c r="R50" s="980"/>
      <c r="S50" s="980"/>
      <c r="T50" s="980"/>
      <c r="U50" s="980"/>
      <c r="V50" s="980"/>
      <c r="W50" s="980"/>
      <c r="X50" s="980"/>
      <c r="Y50" s="980"/>
      <c r="Z50" s="980"/>
      <c r="AA50" s="980"/>
      <c r="AB50" s="980"/>
      <c r="AC50" s="980"/>
      <c r="AD50" s="980">
        <v>2053</v>
      </c>
      <c r="AE50" s="980"/>
      <c r="AF50" s="980">
        <v>2053</v>
      </c>
      <c r="AG50" s="980"/>
      <c r="AH50" s="980">
        <v>5005</v>
      </c>
      <c r="AI50" s="980"/>
      <c r="AJ50" s="980">
        <v>4053</v>
      </c>
      <c r="AK50" s="980"/>
      <c r="AL50" s="980"/>
      <c r="AM50" s="980">
        <v>2298</v>
      </c>
      <c r="AN50" s="980"/>
      <c r="AO50" s="980"/>
    </row>
    <row r="51" spans="16:41">
      <c r="P51" s="980"/>
      <c r="Q51" s="980"/>
      <c r="R51" s="980"/>
      <c r="S51" s="980"/>
      <c r="T51" s="980"/>
      <c r="U51" s="980"/>
      <c r="V51" s="980"/>
      <c r="W51" s="980"/>
      <c r="X51" s="980"/>
      <c r="Y51" s="980"/>
      <c r="Z51" s="980"/>
      <c r="AA51" s="980"/>
      <c r="AB51" s="980"/>
      <c r="AC51" s="980"/>
      <c r="AD51" s="980">
        <v>2054</v>
      </c>
      <c r="AE51" s="980"/>
      <c r="AF51" s="980">
        <v>2054</v>
      </c>
      <c r="AG51" s="980"/>
      <c r="AH51" s="980">
        <v>6000</v>
      </c>
      <c r="AI51" s="980"/>
      <c r="AJ51" s="980">
        <v>4054</v>
      </c>
      <c r="AK51" s="980"/>
      <c r="AL51" s="980"/>
      <c r="AM51" s="980">
        <v>2299</v>
      </c>
      <c r="AN51" s="980"/>
      <c r="AO51" s="980"/>
    </row>
    <row r="52" spans="16:41">
      <c r="P52" s="980"/>
      <c r="Q52" s="980"/>
      <c r="R52" s="980"/>
      <c r="S52" s="980"/>
      <c r="T52" s="980"/>
      <c r="U52" s="980"/>
      <c r="V52" s="980"/>
      <c r="W52" s="980"/>
      <c r="X52" s="980"/>
      <c r="Y52" s="980"/>
      <c r="Z52" s="980"/>
      <c r="AA52" s="980"/>
      <c r="AB52" s="980"/>
      <c r="AC52" s="980"/>
      <c r="AD52" s="980">
        <v>2055</v>
      </c>
      <c r="AE52" s="980"/>
      <c r="AF52" s="980">
        <v>2055</v>
      </c>
      <c r="AG52" s="980"/>
      <c r="AH52" s="980">
        <v>6001</v>
      </c>
      <c r="AI52" s="980"/>
      <c r="AJ52" s="980">
        <v>4055</v>
      </c>
      <c r="AK52" s="980"/>
      <c r="AL52" s="980"/>
      <c r="AM52" s="980">
        <v>2300</v>
      </c>
      <c r="AN52" s="980"/>
      <c r="AO52" s="980"/>
    </row>
    <row r="53" spans="16:41">
      <c r="P53" s="987" t="s">
        <v>279</v>
      </c>
      <c r="Q53" s="980"/>
      <c r="R53" s="980"/>
      <c r="S53" s="980"/>
      <c r="T53" s="980"/>
      <c r="U53" s="980"/>
      <c r="V53" s="980"/>
      <c r="W53" s="980"/>
      <c r="X53" s="980"/>
      <c r="Y53" s="980"/>
      <c r="Z53" s="980"/>
      <c r="AA53" s="980"/>
      <c r="AB53" s="980"/>
      <c r="AC53" s="980"/>
      <c r="AD53" s="980">
        <v>2056</v>
      </c>
      <c r="AE53" s="980"/>
      <c r="AF53" s="980">
        <v>2056</v>
      </c>
      <c r="AG53" s="980"/>
      <c r="AH53" s="980">
        <v>6002</v>
      </c>
      <c r="AI53" s="980"/>
      <c r="AJ53" s="980">
        <v>4056</v>
      </c>
      <c r="AK53" s="980"/>
      <c r="AL53" s="980"/>
      <c r="AM53" s="980">
        <v>2301</v>
      </c>
      <c r="AN53" s="980"/>
      <c r="AO53" s="980"/>
    </row>
    <row r="54" spans="16:41">
      <c r="P54" s="980"/>
      <c r="Q54" s="980" t="s">
        <v>297</v>
      </c>
      <c r="R54" s="980" t="s">
        <v>298</v>
      </c>
      <c r="S54" s="980" t="s">
        <v>299</v>
      </c>
      <c r="T54" s="980"/>
      <c r="U54" s="980" t="s">
        <v>297</v>
      </c>
      <c r="V54" s="980" t="s">
        <v>298</v>
      </c>
      <c r="W54" s="980" t="s">
        <v>299</v>
      </c>
      <c r="X54" s="980"/>
      <c r="Y54" s="980" t="s">
        <v>297</v>
      </c>
      <c r="Z54" s="980" t="s">
        <v>298</v>
      </c>
      <c r="AA54" s="980"/>
      <c r="AB54" s="980"/>
      <c r="AC54" s="980"/>
      <c r="AD54" s="980">
        <v>2057</v>
      </c>
      <c r="AE54" s="980"/>
      <c r="AF54" s="980">
        <v>2057</v>
      </c>
      <c r="AG54" s="980"/>
      <c r="AH54" s="980">
        <v>6003</v>
      </c>
      <c r="AI54" s="980"/>
      <c r="AJ54" s="980">
        <v>4057</v>
      </c>
      <c r="AK54" s="980"/>
      <c r="AL54" s="980"/>
      <c r="AM54" s="980">
        <v>2302</v>
      </c>
      <c r="AN54" s="980"/>
      <c r="AO54" s="980"/>
    </row>
    <row r="55" spans="16:41">
      <c r="P55" s="980">
        <f>IF(Q62&lt;=Q55,1,0)</f>
        <v>1</v>
      </c>
      <c r="Q55" s="991">
        <f>R55/S55</f>
        <v>1428571.4285714286</v>
      </c>
      <c r="R55" s="991">
        <v>1000000</v>
      </c>
      <c r="S55" s="993">
        <v>0.7</v>
      </c>
      <c r="T55" s="980">
        <f>IF(Q62&lt;=U55,1,0)</f>
        <v>1</v>
      </c>
      <c r="U55" s="994">
        <f>V55/W55</f>
        <v>1071428.5714285716</v>
      </c>
      <c r="V55" s="991">
        <v>750000</v>
      </c>
      <c r="W55" s="992">
        <v>0.7</v>
      </c>
      <c r="X55" s="980">
        <v>1</v>
      </c>
      <c r="Y55" s="983">
        <v>500000</v>
      </c>
      <c r="Z55" s="991">
        <v>500000</v>
      </c>
      <c r="AA55" s="992">
        <v>0.65</v>
      </c>
      <c r="AB55" s="980"/>
      <c r="AC55" s="980"/>
      <c r="AD55" s="980">
        <v>2058</v>
      </c>
      <c r="AE55" s="980"/>
      <c r="AF55" s="980">
        <v>2058</v>
      </c>
      <c r="AG55" s="980"/>
      <c r="AH55" s="980">
        <v>6004</v>
      </c>
      <c r="AI55" s="980"/>
      <c r="AJ55" s="980">
        <v>4058</v>
      </c>
      <c r="AK55" s="980"/>
      <c r="AL55" s="980"/>
      <c r="AM55" s="980">
        <v>2303</v>
      </c>
      <c r="AN55" s="980"/>
      <c r="AO55" s="980"/>
    </row>
    <row r="56" spans="16:41">
      <c r="P56" s="980">
        <f>IF(AND(Q62&lt;=Q56,Q62&gt;Q55),1,0)</f>
        <v>0</v>
      </c>
      <c r="Q56" s="991">
        <f>R56/S56+0.1</f>
        <v>2307692.4076923076</v>
      </c>
      <c r="R56" s="991">
        <v>1500000</v>
      </c>
      <c r="S56" s="993">
        <v>0.65</v>
      </c>
      <c r="T56" s="980">
        <f>IF(AND(Q62&lt;=U56,Q62&gt;U55),1,0)</f>
        <v>0</v>
      </c>
      <c r="U56" s="991">
        <f>V56/W56+0.1</f>
        <v>1384615.4846153846</v>
      </c>
      <c r="V56" s="991">
        <v>900000</v>
      </c>
      <c r="W56" s="992">
        <v>0.65</v>
      </c>
      <c r="X56" s="980"/>
      <c r="Y56" s="994"/>
      <c r="Z56" s="991"/>
      <c r="AA56" s="980"/>
      <c r="AB56" s="980"/>
      <c r="AC56" s="980"/>
      <c r="AD56" s="980">
        <v>2059</v>
      </c>
      <c r="AE56" s="980"/>
      <c r="AF56" s="980">
        <v>2059</v>
      </c>
      <c r="AG56" s="980"/>
      <c r="AH56" s="980">
        <v>6005</v>
      </c>
      <c r="AI56" s="980"/>
      <c r="AJ56" s="980">
        <v>4059</v>
      </c>
      <c r="AK56" s="980"/>
      <c r="AL56" s="980"/>
      <c r="AM56" s="980">
        <v>2304</v>
      </c>
      <c r="AN56" s="980"/>
      <c r="AO56" s="980"/>
    </row>
    <row r="57" spans="16:41">
      <c r="P57" s="980">
        <f>IF(Q62&gt;Q56,1,0)</f>
        <v>0</v>
      </c>
      <c r="Q57" s="991">
        <f>R57/S57+0.1</f>
        <v>4000000.1</v>
      </c>
      <c r="R57" s="991">
        <v>2000000</v>
      </c>
      <c r="S57" s="992">
        <v>0.5</v>
      </c>
      <c r="T57" s="980">
        <f>IF(Q62&gt;U56,1,0)</f>
        <v>0</v>
      </c>
      <c r="U57" s="991">
        <f>V57/W57+0.1</f>
        <v>2083333.4333333336</v>
      </c>
      <c r="V57" s="991">
        <v>1250000</v>
      </c>
      <c r="W57" s="992">
        <v>0.6</v>
      </c>
      <c r="X57" s="980"/>
      <c r="Y57" s="980"/>
      <c r="Z57" s="980"/>
      <c r="AA57" s="980"/>
      <c r="AB57" s="980"/>
      <c r="AC57" s="980"/>
      <c r="AD57" s="980">
        <v>2060</v>
      </c>
      <c r="AE57" s="980"/>
      <c r="AF57" s="980">
        <v>2060</v>
      </c>
      <c r="AG57" s="980"/>
      <c r="AH57" s="980">
        <v>800</v>
      </c>
      <c r="AI57" s="980"/>
      <c r="AJ57" s="980">
        <v>4060</v>
      </c>
      <c r="AK57" s="980"/>
      <c r="AL57" s="980"/>
      <c r="AM57" s="980">
        <v>2305</v>
      </c>
      <c r="AN57" s="980"/>
      <c r="AO57" s="980"/>
    </row>
    <row r="58" spans="16:41">
      <c r="P58" s="995" t="s">
        <v>317</v>
      </c>
      <c r="Q58" s="980">
        <f>IF(ISNA(VLOOKUP(Q66,AM10:AM1020,1,0))=TRUE,0,1)</f>
        <v>1</v>
      </c>
      <c r="R58" s="995" t="s">
        <v>317</v>
      </c>
      <c r="S58" s="992"/>
      <c r="T58" s="992"/>
      <c r="U58" s="991"/>
      <c r="V58" s="991"/>
      <c r="W58" s="992"/>
      <c r="X58" s="980"/>
      <c r="Y58" s="980"/>
      <c r="Z58" s="980"/>
      <c r="AA58" s="992"/>
      <c r="AB58" s="980"/>
      <c r="AC58" s="980"/>
      <c r="AD58" s="980">
        <v>2061</v>
      </c>
      <c r="AE58" s="980"/>
      <c r="AF58" s="980">
        <v>2061</v>
      </c>
      <c r="AG58" s="980"/>
      <c r="AH58" s="980">
        <v>7000</v>
      </c>
      <c r="AI58" s="980"/>
      <c r="AJ58" s="980">
        <v>4061</v>
      </c>
      <c r="AK58" s="980"/>
      <c r="AL58" s="980"/>
      <c r="AM58" s="980">
        <v>2306</v>
      </c>
      <c r="AN58" s="980"/>
      <c r="AO58" s="980"/>
    </row>
    <row r="59" spans="16:41">
      <c r="P59" s="991" t="s">
        <v>318</v>
      </c>
      <c r="Q59" s="980">
        <f>IF(ISNA(VLOOKUP(Q66,AJ10:AJ1020,1,0))=TRUE,0,1)</f>
        <v>0</v>
      </c>
      <c r="R59" s="991" t="s">
        <v>318</v>
      </c>
      <c r="S59" s="992"/>
      <c r="T59" s="980"/>
      <c r="U59" s="980"/>
      <c r="V59" s="980"/>
      <c r="W59" s="980"/>
      <c r="X59" s="980"/>
      <c r="Y59" s="980"/>
      <c r="Z59" s="980"/>
      <c r="AA59" s="980"/>
      <c r="AB59" s="980"/>
      <c r="AC59" s="980"/>
      <c r="AD59" s="980">
        <v>2062</v>
      </c>
      <c r="AE59" s="980"/>
      <c r="AF59" s="980">
        <v>2062</v>
      </c>
      <c r="AG59" s="980"/>
      <c r="AH59" s="980"/>
      <c r="AI59" s="980"/>
      <c r="AJ59" s="980">
        <v>4062</v>
      </c>
      <c r="AK59" s="980"/>
      <c r="AL59" s="980"/>
      <c r="AM59" s="980">
        <v>2307</v>
      </c>
      <c r="AN59" s="980"/>
      <c r="AO59" s="980"/>
    </row>
    <row r="60" spans="16:41">
      <c r="P60" s="991" t="s">
        <v>319</v>
      </c>
      <c r="Q60" s="980">
        <f>IF(ISNA(VLOOKUP(Q66,AF10:AF1020,1,0))=TRUE,0,1)</f>
        <v>1</v>
      </c>
      <c r="R60" s="991" t="s">
        <v>319</v>
      </c>
      <c r="S60" s="980"/>
      <c r="T60" s="980"/>
      <c r="U60" s="980"/>
      <c r="V60" s="980"/>
      <c r="W60" s="980"/>
      <c r="X60" s="980"/>
      <c r="Y60" s="980"/>
      <c r="Z60" s="980"/>
      <c r="AA60" s="980"/>
      <c r="AB60" s="980"/>
      <c r="AC60" s="980"/>
      <c r="AD60" s="980">
        <v>2063</v>
      </c>
      <c r="AE60" s="980"/>
      <c r="AF60" s="980">
        <v>2063</v>
      </c>
      <c r="AG60" s="980" t="s">
        <v>321</v>
      </c>
      <c r="AH60" s="980"/>
      <c r="AI60" s="980"/>
      <c r="AJ60" s="980">
        <v>4063</v>
      </c>
      <c r="AK60" s="980"/>
      <c r="AL60" s="980"/>
      <c r="AM60" s="980">
        <v>2308</v>
      </c>
      <c r="AN60" s="980"/>
      <c r="AO60" s="980"/>
    </row>
    <row r="61" spans="16:41">
      <c r="P61" s="991"/>
      <c r="Q61" s="980"/>
      <c r="R61" s="995"/>
      <c r="S61" s="980"/>
      <c r="T61" s="980"/>
      <c r="U61" s="980"/>
      <c r="V61" s="980"/>
      <c r="W61" s="980"/>
      <c r="X61" s="980"/>
      <c r="Y61" s="980"/>
      <c r="Z61" s="980"/>
      <c r="AA61" s="980"/>
      <c r="AB61" s="980"/>
      <c r="AC61" s="980"/>
      <c r="AD61" s="980">
        <v>2064</v>
      </c>
      <c r="AE61" s="980"/>
      <c r="AF61" s="980">
        <v>2064</v>
      </c>
      <c r="AG61" s="980"/>
      <c r="AH61" s="980"/>
      <c r="AI61" s="980"/>
      <c r="AJ61" s="980">
        <v>4064</v>
      </c>
      <c r="AK61" s="980"/>
      <c r="AL61" s="980"/>
      <c r="AM61" s="980">
        <v>2315</v>
      </c>
      <c r="AN61" s="980"/>
      <c r="AO61" s="980"/>
    </row>
    <row r="62" spans="16:41">
      <c r="P62" s="996" t="s">
        <v>305</v>
      </c>
      <c r="Q62" s="997">
        <f>G11</f>
        <v>1030000</v>
      </c>
      <c r="R62" s="980"/>
      <c r="S62" s="980"/>
      <c r="T62" s="980"/>
      <c r="U62" s="980"/>
      <c r="V62" s="991"/>
      <c r="W62" s="980"/>
      <c r="X62" s="980"/>
      <c r="Y62" s="980"/>
      <c r="Z62" s="991"/>
      <c r="AA62" s="980"/>
      <c r="AB62" s="980"/>
      <c r="AC62" s="980"/>
      <c r="AD62" s="980">
        <v>2065</v>
      </c>
      <c r="AE62" s="980"/>
      <c r="AF62" s="980">
        <v>2065</v>
      </c>
      <c r="AG62" s="980"/>
      <c r="AH62" s="980"/>
      <c r="AI62" s="980"/>
      <c r="AJ62" s="980">
        <v>4065</v>
      </c>
      <c r="AK62" s="980"/>
      <c r="AL62" s="980"/>
      <c r="AM62" s="980">
        <v>2316</v>
      </c>
      <c r="AN62" s="980"/>
      <c r="AO62" s="980"/>
    </row>
    <row r="63" spans="16:41">
      <c r="P63" s="980" t="s">
        <v>307</v>
      </c>
      <c r="Q63" s="998">
        <f>VLOOKUP(1,P55:S57,4,0)</f>
        <v>0.7</v>
      </c>
      <c r="R63" s="980"/>
      <c r="S63" s="980"/>
      <c r="T63" s="980"/>
      <c r="U63" s="980" t="s">
        <v>308</v>
      </c>
      <c r="V63" s="998">
        <f>VLOOKUP(1,T55:W57,4,0)</f>
        <v>0.7</v>
      </c>
      <c r="W63" s="980"/>
      <c r="X63" s="980"/>
      <c r="Y63" s="980" t="s">
        <v>309</v>
      </c>
      <c r="Z63" s="998">
        <v>0.65</v>
      </c>
      <c r="AA63" s="980"/>
      <c r="AB63" s="980"/>
      <c r="AC63" s="980"/>
      <c r="AD63" s="980">
        <v>2066</v>
      </c>
      <c r="AE63" s="980"/>
      <c r="AF63" s="980">
        <v>2066</v>
      </c>
      <c r="AG63" s="980"/>
      <c r="AH63" s="980"/>
      <c r="AI63" s="980"/>
      <c r="AJ63" s="980">
        <v>4066</v>
      </c>
      <c r="AK63" s="980"/>
      <c r="AL63" s="980"/>
      <c r="AM63" s="980">
        <v>2317</v>
      </c>
      <c r="AN63" s="980"/>
      <c r="AO63" s="980"/>
    </row>
    <row r="64" spans="16:41">
      <c r="P64" s="980" t="s">
        <v>310</v>
      </c>
      <c r="Q64" s="991">
        <f>IF(AND(Q63=65%,Q63*Q62&lt;1000000),1000000,IF(AND(Q63=50%,Q63*Q62&lt;1500000),1500000,IF(AND(Q63=50%,Q63*Q62&gt;2000000),2000000,Q63*Q62)))</f>
        <v>721000</v>
      </c>
      <c r="R64" s="980"/>
      <c r="S64" s="980"/>
      <c r="T64" s="980"/>
      <c r="U64" s="980" t="s">
        <v>311</v>
      </c>
      <c r="V64" s="991">
        <f>IF(AND(V63=65%,V63*Q62&lt;750000),750000,IF(AND(V63=60%,V63*Q62&lt;900000),900000,IF(AND(V63=60%,V63*Q62&gt;1250000),1250000,V63*Q62)))</f>
        <v>721000</v>
      </c>
      <c r="W64" s="980"/>
      <c r="X64" s="980"/>
      <c r="Y64" s="980" t="s">
        <v>312</v>
      </c>
      <c r="Z64" s="991">
        <f>IF(Q62*Z63&gt;Z55,Z55,Q62*Z63)</f>
        <v>500000</v>
      </c>
      <c r="AA64" s="980"/>
      <c r="AB64" s="980"/>
      <c r="AC64" s="980"/>
      <c r="AD64" s="980">
        <v>2067</v>
      </c>
      <c r="AE64" s="980"/>
      <c r="AF64" s="980">
        <v>2067</v>
      </c>
      <c r="AG64" s="980"/>
      <c r="AH64" s="980"/>
      <c r="AI64" s="980"/>
      <c r="AJ64" s="980">
        <v>4067</v>
      </c>
      <c r="AK64" s="980"/>
      <c r="AL64" s="980"/>
      <c r="AM64" s="980">
        <v>2318</v>
      </c>
      <c r="AN64" s="980"/>
      <c r="AO64" s="980"/>
    </row>
    <row r="65" spans="16:41">
      <c r="P65" s="980"/>
      <c r="Q65" s="980"/>
      <c r="R65" s="980"/>
      <c r="S65" s="980"/>
      <c r="T65" s="980"/>
      <c r="U65" s="980"/>
      <c r="V65" s="980"/>
      <c r="W65" s="980"/>
      <c r="X65" s="980"/>
      <c r="Y65" s="980"/>
      <c r="Z65" s="980"/>
      <c r="AA65" s="980"/>
      <c r="AB65" s="980"/>
      <c r="AC65" s="980"/>
      <c r="AD65" s="980">
        <v>2068</v>
      </c>
      <c r="AE65" s="980"/>
      <c r="AF65" s="980">
        <v>2068</v>
      </c>
      <c r="AG65" s="980"/>
      <c r="AH65" s="980"/>
      <c r="AI65" s="980"/>
      <c r="AJ65" s="980">
        <v>4068</v>
      </c>
      <c r="AK65" s="980"/>
      <c r="AL65" s="980"/>
      <c r="AM65" s="980">
        <v>2319</v>
      </c>
      <c r="AN65" s="980"/>
      <c r="AO65" s="980"/>
    </row>
    <row r="66" spans="16:41">
      <c r="P66" s="996" t="s">
        <v>313</v>
      </c>
      <c r="Q66" s="996">
        <f>G12</f>
        <v>2012</v>
      </c>
      <c r="R66" s="980" t="str">
        <f>IF(IF(ISNA(VLOOKUP(Q66,AD30:AD2579,1,FALSE)),"false","true")="false","The postcode of your property may not yet have been added to our database, please contact us for more details.","")</f>
        <v/>
      </c>
      <c r="S66" s="980"/>
      <c r="T66" s="980"/>
      <c r="U66" s="980"/>
      <c r="V66" s="980"/>
      <c r="W66" s="980"/>
      <c r="X66" s="980"/>
      <c r="Y66" s="980"/>
      <c r="Z66" s="980"/>
      <c r="AA66" s="980"/>
      <c r="AB66" s="980"/>
      <c r="AC66" s="980"/>
      <c r="AD66" s="980">
        <v>2069</v>
      </c>
      <c r="AE66" s="980"/>
      <c r="AF66" s="980">
        <v>2069</v>
      </c>
      <c r="AG66" s="980"/>
      <c r="AH66" s="980"/>
      <c r="AI66" s="980"/>
      <c r="AJ66" s="980">
        <v>4069</v>
      </c>
      <c r="AK66" s="980"/>
      <c r="AL66" s="980"/>
      <c r="AM66" s="980">
        <v>2320</v>
      </c>
      <c r="AN66" s="980"/>
      <c r="AO66" s="980"/>
    </row>
    <row r="67" spans="16:41">
      <c r="P67" s="980"/>
      <c r="Q67" s="980"/>
      <c r="R67" s="980"/>
      <c r="S67" s="980"/>
      <c r="T67" s="980"/>
      <c r="U67" s="980"/>
      <c r="V67" s="980"/>
      <c r="W67" s="980"/>
      <c r="X67" s="980"/>
      <c r="Y67" s="980"/>
      <c r="Z67" s="980"/>
      <c r="AA67" s="980"/>
      <c r="AB67" s="980"/>
      <c r="AC67" s="980"/>
      <c r="AD67" s="980">
        <v>2070</v>
      </c>
      <c r="AE67" s="980"/>
      <c r="AF67" s="980">
        <v>2070</v>
      </c>
      <c r="AG67" s="980"/>
      <c r="AH67" s="980"/>
      <c r="AI67" s="980"/>
      <c r="AJ67" s="980">
        <v>4070</v>
      </c>
      <c r="AK67" s="980"/>
      <c r="AL67" s="980"/>
      <c r="AM67" s="980">
        <v>2321</v>
      </c>
      <c r="AN67" s="980"/>
      <c r="AO67" s="980"/>
    </row>
    <row r="68" spans="16:41">
      <c r="P68" s="999" t="s">
        <v>315</v>
      </c>
      <c r="Q68" s="1008">
        <f>IF(VLOOKUP(1,Q58:R61,2,0)="Metro",Q63,IF(VLOOKUP(1,Q58:R61,2,0)="other metro",V63,IF(VLOOKUP(1,Q58:R61,2,0)="Other Cat 1",Z63,IF(VLOOKUP(1,Q58:R61,2,0)="High Density",65%,""))))</f>
        <v>0.65</v>
      </c>
      <c r="R68" s="980"/>
      <c r="S68" s="980"/>
      <c r="T68" s="980"/>
      <c r="U68" s="980"/>
      <c r="V68" s="980"/>
      <c r="W68" s="980"/>
      <c r="X68" s="980"/>
      <c r="Y68" s="980"/>
      <c r="Z68" s="980"/>
      <c r="AA68" s="980"/>
      <c r="AB68" s="980"/>
      <c r="AC68" s="980"/>
      <c r="AD68" s="980">
        <v>2071</v>
      </c>
      <c r="AE68" s="980"/>
      <c r="AF68" s="980">
        <v>2071</v>
      </c>
      <c r="AG68" s="980"/>
      <c r="AH68" s="980"/>
      <c r="AI68" s="980"/>
      <c r="AJ68" s="980">
        <v>4071</v>
      </c>
      <c r="AK68" s="980"/>
      <c r="AL68" s="980"/>
      <c r="AM68" s="980">
        <v>2322</v>
      </c>
      <c r="AN68" s="980"/>
      <c r="AO68" s="980"/>
    </row>
    <row r="69" spans="16:41">
      <c r="P69" s="987" t="s">
        <v>316</v>
      </c>
      <c r="Q69" s="991">
        <f>IF(Q68=0,0,IF(VLOOKUP(1,Q58:R61,2,0)="Metro",Q64,IF(VLOOKUP(1,Q58:R61,2,0)="other metro",V64,IF(VLOOKUP(1,Q58:R61,2,0)="Other Cat 1",Z64,IF(VLOOKUP(1,Q58:R61,2,0)="High Density",Q62*Q68,"")))))</f>
        <v>500000</v>
      </c>
      <c r="R69" s="980"/>
      <c r="S69" s="980"/>
      <c r="T69" s="980"/>
      <c r="U69" s="980"/>
      <c r="V69" s="980"/>
      <c r="W69" s="980"/>
      <c r="X69" s="980"/>
      <c r="Y69" s="980"/>
      <c r="Z69" s="980"/>
      <c r="AA69" s="980"/>
      <c r="AB69" s="980"/>
      <c r="AC69" s="980"/>
      <c r="AD69" s="980">
        <v>2072</v>
      </c>
      <c r="AE69" s="980"/>
      <c r="AF69" s="980">
        <v>2072</v>
      </c>
      <c r="AG69" s="980"/>
      <c r="AH69" s="980"/>
      <c r="AI69" s="980"/>
      <c r="AJ69" s="980">
        <v>4072</v>
      </c>
      <c r="AK69" s="980"/>
      <c r="AL69" s="980"/>
      <c r="AM69" s="980">
        <v>2323</v>
      </c>
      <c r="AN69" s="980"/>
      <c r="AO69" s="980"/>
    </row>
    <row r="70" spans="16:41">
      <c r="P70" s="980"/>
      <c r="Q70" s="980"/>
      <c r="R70" s="980"/>
      <c r="S70" s="980"/>
      <c r="T70" s="980"/>
      <c r="U70" s="980"/>
      <c r="V70" s="980"/>
      <c r="W70" s="980"/>
      <c r="X70" s="980"/>
      <c r="Y70" s="980"/>
      <c r="Z70" s="980"/>
      <c r="AA70" s="980"/>
      <c r="AB70" s="980"/>
      <c r="AC70" s="980"/>
      <c r="AD70" s="980">
        <v>2073</v>
      </c>
      <c r="AE70" s="980"/>
      <c r="AF70" s="980">
        <v>2073</v>
      </c>
      <c r="AG70" s="980"/>
      <c r="AH70" s="980"/>
      <c r="AI70" s="980"/>
      <c r="AJ70" s="980">
        <v>4073</v>
      </c>
      <c r="AK70" s="980"/>
      <c r="AL70" s="980"/>
      <c r="AM70" s="980">
        <v>2327</v>
      </c>
      <c r="AN70" s="980"/>
      <c r="AO70" s="980"/>
    </row>
    <row r="71" spans="16:41">
      <c r="P71" s="980"/>
      <c r="Q71" s="980"/>
      <c r="R71" s="980"/>
      <c r="S71" s="980"/>
      <c r="T71" s="980"/>
      <c r="U71" s="980"/>
      <c r="V71" s="980"/>
      <c r="W71" s="980"/>
      <c r="X71" s="980"/>
      <c r="Y71" s="980"/>
      <c r="Z71" s="980"/>
      <c r="AA71" s="980"/>
      <c r="AB71" s="980"/>
      <c r="AC71" s="980"/>
      <c r="AD71" s="980">
        <v>2074</v>
      </c>
      <c r="AE71" s="980"/>
      <c r="AF71" s="980">
        <v>2074</v>
      </c>
      <c r="AG71" s="980"/>
      <c r="AH71" s="980"/>
      <c r="AI71" s="980"/>
      <c r="AJ71" s="980">
        <v>4074</v>
      </c>
      <c r="AK71" s="980"/>
      <c r="AL71" s="980"/>
      <c r="AM71" s="980">
        <v>2340</v>
      </c>
      <c r="AN71" s="980"/>
      <c r="AO71" s="980"/>
    </row>
    <row r="72" spans="16:41">
      <c r="P72" s="980"/>
      <c r="Q72" s="980"/>
      <c r="R72" s="980"/>
      <c r="S72" s="980"/>
      <c r="T72" s="980"/>
      <c r="U72" s="980"/>
      <c r="V72" s="980"/>
      <c r="W72" s="980"/>
      <c r="X72" s="980"/>
      <c r="Y72" s="980"/>
      <c r="Z72" s="980"/>
      <c r="AA72" s="980"/>
      <c r="AB72" s="980"/>
      <c r="AC72" s="980"/>
      <c r="AD72" s="980">
        <v>2075</v>
      </c>
      <c r="AE72" s="980"/>
      <c r="AF72" s="980">
        <v>2075</v>
      </c>
      <c r="AG72" s="980"/>
      <c r="AH72" s="980"/>
      <c r="AI72" s="980"/>
      <c r="AJ72" s="980">
        <v>4075</v>
      </c>
      <c r="AK72" s="980"/>
      <c r="AL72" s="980"/>
      <c r="AM72" s="980">
        <v>2444</v>
      </c>
      <c r="AN72" s="980"/>
      <c r="AO72" s="980"/>
    </row>
    <row r="73" spans="16:41">
      <c r="P73" s="980"/>
      <c r="Q73" s="980"/>
      <c r="R73" s="980"/>
      <c r="S73" s="980"/>
      <c r="T73" s="980"/>
      <c r="U73" s="980"/>
      <c r="V73" s="980"/>
      <c r="W73" s="980"/>
      <c r="X73" s="980"/>
      <c r="Y73" s="980"/>
      <c r="Z73" s="980"/>
      <c r="AA73" s="980"/>
      <c r="AB73" s="980"/>
      <c r="AC73" s="980"/>
      <c r="AD73" s="980">
        <v>2076</v>
      </c>
      <c r="AE73" s="980"/>
      <c r="AF73" s="980">
        <v>2076</v>
      </c>
      <c r="AG73" s="980"/>
      <c r="AH73" s="980"/>
      <c r="AI73" s="980"/>
      <c r="AJ73" s="980">
        <v>4076</v>
      </c>
      <c r="AK73" s="980"/>
      <c r="AL73" s="980"/>
      <c r="AM73" s="980">
        <v>2450</v>
      </c>
      <c r="AN73" s="980"/>
      <c r="AO73" s="980"/>
    </row>
    <row r="74" spans="16:41">
      <c r="P74" s="980"/>
      <c r="Q74" s="980"/>
      <c r="R74" s="980"/>
      <c r="S74" s="980"/>
      <c r="T74" s="980"/>
      <c r="U74" s="980"/>
      <c r="V74" s="980"/>
      <c r="W74" s="980"/>
      <c r="X74" s="980"/>
      <c r="Y74" s="980"/>
      <c r="Z74" s="980"/>
      <c r="AA74" s="980"/>
      <c r="AB74" s="980"/>
      <c r="AC74" s="980"/>
      <c r="AD74" s="980">
        <v>2077</v>
      </c>
      <c r="AE74" s="980"/>
      <c r="AF74" s="980">
        <v>2077</v>
      </c>
      <c r="AG74" s="980"/>
      <c r="AH74" s="980"/>
      <c r="AI74" s="980"/>
      <c r="AJ74" s="980">
        <v>4077</v>
      </c>
      <c r="AK74" s="980"/>
      <c r="AL74" s="980"/>
      <c r="AM74" s="980">
        <v>2451</v>
      </c>
      <c r="AN74" s="980"/>
      <c r="AO74" s="980"/>
    </row>
    <row r="75" spans="16:41">
      <c r="P75" s="980"/>
      <c r="Q75" s="980"/>
      <c r="R75" s="980"/>
      <c r="S75" s="980"/>
      <c r="T75" s="980"/>
      <c r="U75" s="980"/>
      <c r="V75" s="980"/>
      <c r="W75" s="980"/>
      <c r="X75" s="980"/>
      <c r="Y75" s="980"/>
      <c r="Z75" s="980"/>
      <c r="AA75" s="980"/>
      <c r="AB75" s="980"/>
      <c r="AC75" s="980"/>
      <c r="AD75" s="980">
        <v>2078</v>
      </c>
      <c r="AE75" s="980"/>
      <c r="AF75" s="980">
        <v>2078</v>
      </c>
      <c r="AG75" s="980"/>
      <c r="AH75" s="980"/>
      <c r="AI75" s="980"/>
      <c r="AJ75" s="980">
        <v>4078</v>
      </c>
      <c r="AK75" s="980"/>
      <c r="AL75" s="980"/>
      <c r="AM75" s="980">
        <v>2452</v>
      </c>
      <c r="AN75" s="980"/>
      <c r="AO75" s="980"/>
    </row>
    <row r="76" spans="16:41">
      <c r="P76" s="980"/>
      <c r="Q76" s="980"/>
      <c r="R76" s="980"/>
      <c r="S76" s="980"/>
      <c r="T76" s="980"/>
      <c r="U76" s="980"/>
      <c r="V76" s="980"/>
      <c r="W76" s="980"/>
      <c r="X76" s="980"/>
      <c r="Y76" s="980"/>
      <c r="Z76" s="980"/>
      <c r="AA76" s="980"/>
      <c r="AB76" s="980"/>
      <c r="AC76" s="980"/>
      <c r="AD76" s="980">
        <v>2079</v>
      </c>
      <c r="AE76" s="980"/>
      <c r="AF76" s="980">
        <v>2079</v>
      </c>
      <c r="AG76" s="980"/>
      <c r="AH76" s="980"/>
      <c r="AI76" s="980"/>
      <c r="AJ76" s="980">
        <v>4079</v>
      </c>
      <c r="AK76" s="980"/>
      <c r="AL76" s="980"/>
      <c r="AM76" s="980">
        <v>2477</v>
      </c>
      <c r="AN76" s="980"/>
      <c r="AO76" s="980"/>
    </row>
    <row r="77" spans="16:41">
      <c r="P77" s="980"/>
      <c r="Q77" s="980"/>
      <c r="R77" s="980"/>
      <c r="S77" s="980"/>
      <c r="T77" s="980"/>
      <c r="U77" s="980"/>
      <c r="V77" s="980"/>
      <c r="W77" s="980"/>
      <c r="X77" s="980"/>
      <c r="Y77" s="980"/>
      <c r="Z77" s="980"/>
      <c r="AA77" s="980"/>
      <c r="AB77" s="980"/>
      <c r="AC77" s="980"/>
      <c r="AD77" s="980">
        <v>2080</v>
      </c>
      <c r="AE77" s="980"/>
      <c r="AF77" s="980">
        <v>2080</v>
      </c>
      <c r="AG77" s="980"/>
      <c r="AH77" s="980"/>
      <c r="AI77" s="980"/>
      <c r="AJ77" s="980">
        <v>4080</v>
      </c>
      <c r="AK77" s="980"/>
      <c r="AL77" s="980"/>
      <c r="AM77" s="980">
        <v>2478</v>
      </c>
      <c r="AN77" s="980"/>
      <c r="AO77" s="980"/>
    </row>
    <row r="78" spans="16:41">
      <c r="P78" s="980"/>
      <c r="Q78" s="980"/>
      <c r="R78" s="980"/>
      <c r="S78" s="980"/>
      <c r="T78" s="980"/>
      <c r="U78" s="980"/>
      <c r="V78" s="980"/>
      <c r="W78" s="980"/>
      <c r="X78" s="980"/>
      <c r="Y78" s="980"/>
      <c r="Z78" s="980"/>
      <c r="AA78" s="980"/>
      <c r="AB78" s="980"/>
      <c r="AC78" s="980"/>
      <c r="AD78" s="980">
        <v>2081</v>
      </c>
      <c r="AE78" s="980"/>
      <c r="AF78" s="980">
        <v>2081</v>
      </c>
      <c r="AG78" s="980"/>
      <c r="AH78" s="980"/>
      <c r="AI78" s="980"/>
      <c r="AJ78" s="980">
        <v>4081</v>
      </c>
      <c r="AK78" s="980"/>
      <c r="AL78" s="980"/>
      <c r="AM78" s="980">
        <v>2479</v>
      </c>
      <c r="AN78" s="980"/>
      <c r="AO78" s="980"/>
    </row>
    <row r="79" spans="16:41">
      <c r="P79" s="980"/>
      <c r="Q79" s="980"/>
      <c r="R79" s="980"/>
      <c r="S79" s="980"/>
      <c r="T79" s="980"/>
      <c r="U79" s="980"/>
      <c r="V79" s="980"/>
      <c r="W79" s="980"/>
      <c r="X79" s="980"/>
      <c r="Y79" s="980"/>
      <c r="Z79" s="980"/>
      <c r="AA79" s="980"/>
      <c r="AB79" s="980"/>
      <c r="AC79" s="980"/>
      <c r="AD79" s="980">
        <v>2082</v>
      </c>
      <c r="AE79" s="980"/>
      <c r="AF79" s="980">
        <v>2082</v>
      </c>
      <c r="AG79" s="980"/>
      <c r="AH79" s="980"/>
      <c r="AI79" s="980"/>
      <c r="AJ79" s="980">
        <v>4082</v>
      </c>
      <c r="AK79" s="980"/>
      <c r="AL79" s="980"/>
      <c r="AM79" s="980">
        <v>2480</v>
      </c>
      <c r="AN79" s="980"/>
      <c r="AO79" s="980"/>
    </row>
    <row r="80" spans="16:41">
      <c r="P80" s="980"/>
      <c r="Q80" s="980"/>
      <c r="R80" s="980"/>
      <c r="S80" s="980"/>
      <c r="T80" s="980"/>
      <c r="U80" s="980"/>
      <c r="V80" s="980"/>
      <c r="W80" s="980"/>
      <c r="X80" s="980"/>
      <c r="Y80" s="980"/>
      <c r="Z80" s="980"/>
      <c r="AA80" s="980"/>
      <c r="AB80" s="980"/>
      <c r="AC80" s="980"/>
      <c r="AD80" s="980">
        <v>2083</v>
      </c>
      <c r="AE80" s="980"/>
      <c r="AF80" s="980">
        <v>2083</v>
      </c>
      <c r="AG80" s="980"/>
      <c r="AH80" s="980"/>
      <c r="AI80" s="980"/>
      <c r="AJ80" s="980">
        <v>4083</v>
      </c>
      <c r="AK80" s="980"/>
      <c r="AL80" s="980"/>
      <c r="AM80" s="980">
        <v>2481</v>
      </c>
      <c r="AN80" s="980"/>
      <c r="AO80" s="980"/>
    </row>
    <row r="81" spans="16:41">
      <c r="P81" s="980"/>
      <c r="Q81" s="980"/>
      <c r="R81" s="980"/>
      <c r="S81" s="980"/>
      <c r="T81" s="980"/>
      <c r="U81" s="980"/>
      <c r="V81" s="980"/>
      <c r="W81" s="980"/>
      <c r="X81" s="980"/>
      <c r="Y81" s="980"/>
      <c r="Z81" s="980"/>
      <c r="AA81" s="980"/>
      <c r="AB81" s="980"/>
      <c r="AC81" s="980"/>
      <c r="AD81" s="980">
        <v>2084</v>
      </c>
      <c r="AE81" s="980"/>
      <c r="AF81" s="980">
        <v>2084</v>
      </c>
      <c r="AG81" s="980"/>
      <c r="AH81" s="980"/>
      <c r="AI81" s="980"/>
      <c r="AJ81" s="980">
        <v>4084</v>
      </c>
      <c r="AK81" s="980"/>
      <c r="AL81" s="980"/>
      <c r="AM81" s="980">
        <v>2482</v>
      </c>
      <c r="AN81" s="980"/>
      <c r="AO81" s="980"/>
    </row>
    <row r="82" spans="16:41">
      <c r="P82" s="980"/>
      <c r="Q82" s="980"/>
      <c r="R82" s="980"/>
      <c r="S82" s="980"/>
      <c r="T82" s="980"/>
      <c r="U82" s="980"/>
      <c r="V82" s="980"/>
      <c r="W82" s="980"/>
      <c r="X82" s="980"/>
      <c r="Y82" s="980"/>
      <c r="Z82" s="980"/>
      <c r="AA82" s="980"/>
      <c r="AB82" s="980"/>
      <c r="AC82" s="980"/>
      <c r="AD82" s="980">
        <v>2085</v>
      </c>
      <c r="AE82" s="980"/>
      <c r="AF82" s="980">
        <v>2085</v>
      </c>
      <c r="AG82" s="980"/>
      <c r="AH82" s="980"/>
      <c r="AI82" s="980"/>
      <c r="AJ82" s="980">
        <v>4085</v>
      </c>
      <c r="AK82" s="980"/>
      <c r="AL82" s="980"/>
      <c r="AM82" s="980">
        <v>2483</v>
      </c>
      <c r="AN82" s="980"/>
      <c r="AO82" s="980"/>
    </row>
    <row r="83" spans="16:41">
      <c r="P83" s="980"/>
      <c r="Q83" s="980"/>
      <c r="R83" s="980"/>
      <c r="S83" s="980"/>
      <c r="T83" s="980"/>
      <c r="U83" s="980"/>
      <c r="V83" s="980"/>
      <c r="W83" s="980"/>
      <c r="X83" s="980"/>
      <c r="Y83" s="980"/>
      <c r="Z83" s="980"/>
      <c r="AA83" s="980"/>
      <c r="AB83" s="980"/>
      <c r="AC83" s="980"/>
      <c r="AD83" s="980">
        <v>2086</v>
      </c>
      <c r="AE83" s="980"/>
      <c r="AF83" s="980">
        <v>2086</v>
      </c>
      <c r="AG83" s="980"/>
      <c r="AH83" s="980"/>
      <c r="AI83" s="980"/>
      <c r="AJ83" s="980">
        <v>4086</v>
      </c>
      <c r="AK83" s="980"/>
      <c r="AL83" s="980"/>
      <c r="AM83" s="980">
        <v>2484</v>
      </c>
      <c r="AN83" s="980"/>
      <c r="AO83" s="980"/>
    </row>
    <row r="84" spans="16:41">
      <c r="P84" s="980"/>
      <c r="Q84" s="980"/>
      <c r="R84" s="980"/>
      <c r="S84" s="980"/>
      <c r="T84" s="980"/>
      <c r="U84" s="980"/>
      <c r="V84" s="980"/>
      <c r="W84" s="980"/>
      <c r="X84" s="980"/>
      <c r="Y84" s="980"/>
      <c r="Z84" s="980"/>
      <c r="AA84" s="980"/>
      <c r="AB84" s="980"/>
      <c r="AC84" s="980"/>
      <c r="AD84" s="980">
        <v>2087</v>
      </c>
      <c r="AE84" s="980"/>
      <c r="AF84" s="980">
        <v>2087</v>
      </c>
      <c r="AG84" s="980"/>
      <c r="AH84" s="980"/>
      <c r="AI84" s="980"/>
      <c r="AJ84" s="980">
        <v>4087</v>
      </c>
      <c r="AK84" s="980"/>
      <c r="AL84" s="980"/>
      <c r="AM84" s="980">
        <v>2485</v>
      </c>
      <c r="AN84" s="980"/>
      <c r="AO84" s="980"/>
    </row>
    <row r="85" spans="16:41">
      <c r="P85" s="980"/>
      <c r="Q85" s="980"/>
      <c r="R85" s="980"/>
      <c r="S85" s="980"/>
      <c r="T85" s="980"/>
      <c r="U85" s="980"/>
      <c r="V85" s="980"/>
      <c r="W85" s="980"/>
      <c r="X85" s="980"/>
      <c r="Y85" s="980"/>
      <c r="Z85" s="980"/>
      <c r="AA85" s="980"/>
      <c r="AB85" s="980"/>
      <c r="AC85" s="980"/>
      <c r="AD85" s="980">
        <v>2088</v>
      </c>
      <c r="AE85" s="980"/>
      <c r="AF85" s="980">
        <v>2088</v>
      </c>
      <c r="AG85" s="980"/>
      <c r="AH85" s="980"/>
      <c r="AI85" s="980"/>
      <c r="AJ85" s="980">
        <v>4088</v>
      </c>
      <c r="AK85" s="980"/>
      <c r="AL85" s="980"/>
      <c r="AM85" s="980">
        <v>2486</v>
      </c>
      <c r="AN85" s="980"/>
      <c r="AO85" s="980"/>
    </row>
    <row r="86" spans="16:41">
      <c r="P86" s="980"/>
      <c r="Q86" s="980"/>
      <c r="R86" s="980"/>
      <c r="S86" s="980"/>
      <c r="T86" s="980"/>
      <c r="U86" s="980"/>
      <c r="V86" s="980"/>
      <c r="W86" s="980"/>
      <c r="X86" s="980"/>
      <c r="Y86" s="980"/>
      <c r="Z86" s="980"/>
      <c r="AA86" s="980"/>
      <c r="AB86" s="980"/>
      <c r="AC86" s="980"/>
      <c r="AD86" s="980">
        <v>2089</v>
      </c>
      <c r="AE86" s="980"/>
      <c r="AF86" s="980">
        <v>2089</v>
      </c>
      <c r="AG86" s="980"/>
      <c r="AH86" s="980"/>
      <c r="AI86" s="980"/>
      <c r="AJ86" s="980">
        <v>4089</v>
      </c>
      <c r="AK86" s="980"/>
      <c r="AL86" s="980"/>
      <c r="AM86" s="980">
        <v>2487</v>
      </c>
      <c r="AN86" s="980"/>
      <c r="AO86" s="980"/>
    </row>
    <row r="87" spans="16:41">
      <c r="P87" s="980"/>
      <c r="Q87" s="980"/>
      <c r="R87" s="980"/>
      <c r="S87" s="980"/>
      <c r="T87" s="980"/>
      <c r="U87" s="980"/>
      <c r="V87" s="980"/>
      <c r="W87" s="980"/>
      <c r="X87" s="980"/>
      <c r="Y87" s="980"/>
      <c r="Z87" s="980"/>
      <c r="AA87" s="980"/>
      <c r="AB87" s="980"/>
      <c r="AC87" s="980"/>
      <c r="AD87" s="980">
        <v>2090</v>
      </c>
      <c r="AE87" s="980"/>
      <c r="AF87" s="980">
        <v>2090</v>
      </c>
      <c r="AG87" s="980"/>
      <c r="AH87" s="980"/>
      <c r="AI87" s="980"/>
      <c r="AJ87" s="980">
        <v>4090</v>
      </c>
      <c r="AK87" s="980"/>
      <c r="AL87" s="980"/>
      <c r="AM87" s="980">
        <v>2488</v>
      </c>
      <c r="AN87" s="980"/>
      <c r="AO87" s="980"/>
    </row>
    <row r="88" spans="16:41">
      <c r="P88" s="980"/>
      <c r="Q88" s="980"/>
      <c r="R88" s="980"/>
      <c r="S88" s="980"/>
      <c r="T88" s="980"/>
      <c r="U88" s="980"/>
      <c r="V88" s="980"/>
      <c r="W88" s="980"/>
      <c r="X88" s="980"/>
      <c r="Y88" s="980"/>
      <c r="Z88" s="980"/>
      <c r="AA88" s="980"/>
      <c r="AB88" s="980"/>
      <c r="AC88" s="980"/>
      <c r="AD88" s="980">
        <v>2091</v>
      </c>
      <c r="AE88" s="980"/>
      <c r="AF88" s="980">
        <v>2091</v>
      </c>
      <c r="AG88" s="980"/>
      <c r="AH88" s="980"/>
      <c r="AI88" s="980"/>
      <c r="AJ88" s="980">
        <v>4091</v>
      </c>
      <c r="AK88" s="980"/>
      <c r="AL88" s="980"/>
      <c r="AM88" s="980">
        <v>2489</v>
      </c>
      <c r="AN88" s="980"/>
      <c r="AO88" s="980"/>
    </row>
    <row r="89" spans="16:41">
      <c r="P89" s="980"/>
      <c r="Q89" s="980"/>
      <c r="R89" s="980"/>
      <c r="S89" s="980"/>
      <c r="T89" s="980"/>
      <c r="U89" s="980"/>
      <c r="V89" s="980"/>
      <c r="W89" s="980"/>
      <c r="X89" s="980"/>
      <c r="Y89" s="980"/>
      <c r="Z89" s="980"/>
      <c r="AA89" s="980"/>
      <c r="AB89" s="980"/>
      <c r="AC89" s="980"/>
      <c r="AD89" s="980">
        <v>2092</v>
      </c>
      <c r="AE89" s="980"/>
      <c r="AF89" s="980">
        <v>2092</v>
      </c>
      <c r="AG89" s="980"/>
      <c r="AH89" s="980"/>
      <c r="AI89" s="980"/>
      <c r="AJ89" s="980">
        <v>4092</v>
      </c>
      <c r="AK89" s="980"/>
      <c r="AL89" s="980"/>
      <c r="AM89" s="980">
        <v>2500</v>
      </c>
      <c r="AN89" s="980"/>
      <c r="AO89" s="980"/>
    </row>
    <row r="90" spans="16:41">
      <c r="P90" s="980"/>
      <c r="Q90" s="980"/>
      <c r="R90" s="980"/>
      <c r="S90" s="980"/>
      <c r="T90" s="980"/>
      <c r="U90" s="980"/>
      <c r="V90" s="980"/>
      <c r="W90" s="980"/>
      <c r="X90" s="980"/>
      <c r="Y90" s="980"/>
      <c r="Z90" s="980"/>
      <c r="AA90" s="980"/>
      <c r="AB90" s="980"/>
      <c r="AC90" s="980"/>
      <c r="AD90" s="980">
        <v>2093</v>
      </c>
      <c r="AE90" s="980"/>
      <c r="AF90" s="980">
        <v>2093</v>
      </c>
      <c r="AG90" s="980"/>
      <c r="AH90" s="980"/>
      <c r="AI90" s="980"/>
      <c r="AJ90" s="980">
        <v>4093</v>
      </c>
      <c r="AK90" s="980"/>
      <c r="AL90" s="980"/>
      <c r="AM90" s="980">
        <v>2501</v>
      </c>
      <c r="AN90" s="980"/>
      <c r="AO90" s="980"/>
    </row>
    <row r="91" spans="16:41">
      <c r="P91" s="980"/>
      <c r="Q91" s="980"/>
      <c r="R91" s="980"/>
      <c r="S91" s="980"/>
      <c r="T91" s="980"/>
      <c r="U91" s="980"/>
      <c r="V91" s="980"/>
      <c r="W91" s="980"/>
      <c r="X91" s="980"/>
      <c r="Y91" s="980"/>
      <c r="Z91" s="980"/>
      <c r="AA91" s="980"/>
      <c r="AB91" s="980"/>
      <c r="AC91" s="980"/>
      <c r="AD91" s="980">
        <v>2094</v>
      </c>
      <c r="AE91" s="980"/>
      <c r="AF91" s="980">
        <v>2094</v>
      </c>
      <c r="AG91" s="980"/>
      <c r="AH91" s="980"/>
      <c r="AI91" s="980"/>
      <c r="AJ91" s="980">
        <v>4094</v>
      </c>
      <c r="AK91" s="980"/>
      <c r="AL91" s="980"/>
      <c r="AM91" s="980">
        <v>2502</v>
      </c>
      <c r="AN91" s="980"/>
      <c r="AO91" s="980"/>
    </row>
    <row r="92" spans="16:41">
      <c r="P92" s="980"/>
      <c r="Q92" s="980"/>
      <c r="R92" s="980"/>
      <c r="S92" s="980"/>
      <c r="T92" s="980"/>
      <c r="U92" s="980"/>
      <c r="V92" s="980"/>
      <c r="W92" s="980"/>
      <c r="X92" s="980"/>
      <c r="Y92" s="980"/>
      <c r="Z92" s="980"/>
      <c r="AA92" s="980"/>
      <c r="AB92" s="980"/>
      <c r="AC92" s="980"/>
      <c r="AD92" s="980">
        <v>2095</v>
      </c>
      <c r="AE92" s="980"/>
      <c r="AF92" s="980">
        <v>2095</v>
      </c>
      <c r="AG92" s="980"/>
      <c r="AH92" s="980"/>
      <c r="AI92" s="980"/>
      <c r="AJ92" s="980">
        <v>4095</v>
      </c>
      <c r="AK92" s="980"/>
      <c r="AL92" s="980"/>
      <c r="AM92" s="980">
        <v>2503</v>
      </c>
      <c r="AN92" s="980"/>
      <c r="AO92" s="980"/>
    </row>
    <row r="93" spans="16:41">
      <c r="P93" s="980"/>
      <c r="Q93" s="980"/>
      <c r="R93" s="980"/>
      <c r="S93" s="980"/>
      <c r="T93" s="980"/>
      <c r="U93" s="980"/>
      <c r="V93" s="980"/>
      <c r="W93" s="980"/>
      <c r="X93" s="980"/>
      <c r="Y93" s="980"/>
      <c r="Z93" s="980"/>
      <c r="AA93" s="980"/>
      <c r="AB93" s="980"/>
      <c r="AC93" s="980"/>
      <c r="AD93" s="980">
        <v>2096</v>
      </c>
      <c r="AE93" s="980"/>
      <c r="AF93" s="980">
        <v>2096</v>
      </c>
      <c r="AG93" s="980"/>
      <c r="AH93" s="980"/>
      <c r="AI93" s="980"/>
      <c r="AJ93" s="980">
        <v>4096</v>
      </c>
      <c r="AK93" s="980"/>
      <c r="AL93" s="980"/>
      <c r="AM93" s="980">
        <v>2504</v>
      </c>
      <c r="AN93" s="980"/>
      <c r="AO93" s="980"/>
    </row>
    <row r="94" spans="16:41">
      <c r="P94" s="980"/>
      <c r="Q94" s="980"/>
      <c r="R94" s="980"/>
      <c r="S94" s="980"/>
      <c r="T94" s="980"/>
      <c r="U94" s="980"/>
      <c r="V94" s="980"/>
      <c r="W94" s="980"/>
      <c r="X94" s="980"/>
      <c r="Y94" s="980"/>
      <c r="Z94" s="980"/>
      <c r="AA94" s="980"/>
      <c r="AB94" s="980"/>
      <c r="AC94" s="980"/>
      <c r="AD94" s="980">
        <v>2097</v>
      </c>
      <c r="AE94" s="980"/>
      <c r="AF94" s="980">
        <v>2097</v>
      </c>
      <c r="AG94" s="980"/>
      <c r="AH94" s="980"/>
      <c r="AI94" s="980"/>
      <c r="AJ94" s="980">
        <v>4097</v>
      </c>
      <c r="AK94" s="980"/>
      <c r="AL94" s="980"/>
      <c r="AM94" s="980">
        <v>2505</v>
      </c>
      <c r="AN94" s="980"/>
      <c r="AO94" s="980"/>
    </row>
    <row r="95" spans="16:41">
      <c r="P95" s="980"/>
      <c r="Q95" s="980"/>
      <c r="R95" s="980"/>
      <c r="S95" s="980"/>
      <c r="T95" s="980"/>
      <c r="U95" s="980"/>
      <c r="V95" s="980"/>
      <c r="W95" s="980"/>
      <c r="X95" s="980"/>
      <c r="Y95" s="980"/>
      <c r="Z95" s="980"/>
      <c r="AA95" s="980"/>
      <c r="AB95" s="980"/>
      <c r="AC95" s="980"/>
      <c r="AD95" s="980">
        <v>2098</v>
      </c>
      <c r="AE95" s="980"/>
      <c r="AF95" s="980">
        <v>2098</v>
      </c>
      <c r="AG95" s="980"/>
      <c r="AH95" s="980"/>
      <c r="AI95" s="980"/>
      <c r="AJ95" s="980">
        <v>4098</v>
      </c>
      <c r="AK95" s="980"/>
      <c r="AL95" s="980"/>
      <c r="AM95" s="980">
        <v>2506</v>
      </c>
      <c r="AN95" s="980"/>
      <c r="AO95" s="980"/>
    </row>
    <row r="96" spans="16:41">
      <c r="P96" s="980"/>
      <c r="Q96" s="980"/>
      <c r="R96" s="980"/>
      <c r="S96" s="980"/>
      <c r="T96" s="980"/>
      <c r="U96" s="980"/>
      <c r="V96" s="980"/>
      <c r="W96" s="980"/>
      <c r="X96" s="980"/>
      <c r="Y96" s="980"/>
      <c r="Z96" s="980"/>
      <c r="AA96" s="980"/>
      <c r="AB96" s="980"/>
      <c r="AC96" s="980"/>
      <c r="AD96" s="980">
        <v>2099</v>
      </c>
      <c r="AE96" s="980"/>
      <c r="AF96" s="980">
        <v>2099</v>
      </c>
      <c r="AG96" s="980"/>
      <c r="AH96" s="980"/>
      <c r="AI96" s="980"/>
      <c r="AJ96" s="980">
        <v>4099</v>
      </c>
      <c r="AK96" s="980"/>
      <c r="AL96" s="980"/>
      <c r="AM96" s="980">
        <v>2507</v>
      </c>
      <c r="AN96" s="980"/>
      <c r="AO96" s="980"/>
    </row>
    <row r="97" spans="16:41">
      <c r="P97" s="980"/>
      <c r="Q97" s="980"/>
      <c r="R97" s="980"/>
      <c r="S97" s="980"/>
      <c r="T97" s="980"/>
      <c r="U97" s="980"/>
      <c r="V97" s="980"/>
      <c r="W97" s="980"/>
      <c r="X97" s="980"/>
      <c r="Y97" s="980"/>
      <c r="Z97" s="980"/>
      <c r="AA97" s="980"/>
      <c r="AB97" s="980"/>
      <c r="AC97" s="980"/>
      <c r="AD97" s="980">
        <v>2100</v>
      </c>
      <c r="AE97" s="980"/>
      <c r="AF97" s="980">
        <v>2100</v>
      </c>
      <c r="AG97" s="980"/>
      <c r="AH97" s="980"/>
      <c r="AI97" s="980"/>
      <c r="AJ97" s="980">
        <v>4100</v>
      </c>
      <c r="AK97" s="980"/>
      <c r="AL97" s="980"/>
      <c r="AM97" s="980">
        <v>2508</v>
      </c>
      <c r="AN97" s="980"/>
      <c r="AO97" s="980"/>
    </row>
    <row r="98" spans="16:41">
      <c r="P98" s="980"/>
      <c r="Q98" s="980"/>
      <c r="R98" s="980"/>
      <c r="S98" s="980"/>
      <c r="T98" s="980"/>
      <c r="U98" s="980"/>
      <c r="V98" s="980"/>
      <c r="W98" s="980"/>
      <c r="X98" s="980"/>
      <c r="Y98" s="980"/>
      <c r="Z98" s="980"/>
      <c r="AA98" s="980"/>
      <c r="AB98" s="980"/>
      <c r="AC98" s="980"/>
      <c r="AD98" s="980">
        <v>2101</v>
      </c>
      <c r="AE98" s="980"/>
      <c r="AF98" s="980">
        <v>2101</v>
      </c>
      <c r="AG98" s="980"/>
      <c r="AH98" s="980"/>
      <c r="AI98" s="980"/>
      <c r="AJ98" s="980">
        <v>4101</v>
      </c>
      <c r="AK98" s="980"/>
      <c r="AL98" s="980"/>
      <c r="AM98" s="980">
        <v>2509</v>
      </c>
      <c r="AN98" s="980"/>
      <c r="AO98" s="980"/>
    </row>
    <row r="99" spans="16:41">
      <c r="P99" s="980"/>
      <c r="Q99" s="980"/>
      <c r="R99" s="980"/>
      <c r="S99" s="980"/>
      <c r="T99" s="980"/>
      <c r="U99" s="980"/>
      <c r="V99" s="980"/>
      <c r="W99" s="980"/>
      <c r="X99" s="980"/>
      <c r="Y99" s="980"/>
      <c r="Z99" s="980"/>
      <c r="AA99" s="980"/>
      <c r="AB99" s="980"/>
      <c r="AC99" s="980"/>
      <c r="AD99" s="980">
        <v>2102</v>
      </c>
      <c r="AE99" s="980"/>
      <c r="AF99" s="980">
        <v>2102</v>
      </c>
      <c r="AG99" s="980"/>
      <c r="AH99" s="980"/>
      <c r="AI99" s="980"/>
      <c r="AJ99" s="980">
        <v>4102</v>
      </c>
      <c r="AK99" s="980"/>
      <c r="AL99" s="980"/>
      <c r="AM99" s="980">
        <v>2510</v>
      </c>
      <c r="AN99" s="980"/>
      <c r="AO99" s="980"/>
    </row>
    <row r="100" spans="16:41">
      <c r="P100" s="980"/>
      <c r="Q100" s="980"/>
      <c r="R100" s="980"/>
      <c r="S100" s="980"/>
      <c r="T100" s="980"/>
      <c r="U100" s="980"/>
      <c r="V100" s="980"/>
      <c r="W100" s="980"/>
      <c r="X100" s="980"/>
      <c r="Y100" s="980"/>
      <c r="Z100" s="980"/>
      <c r="AA100" s="980"/>
      <c r="AB100" s="980"/>
      <c r="AC100" s="980"/>
      <c r="AD100" s="980">
        <v>2103</v>
      </c>
      <c r="AE100" s="980"/>
      <c r="AF100" s="980">
        <v>2103</v>
      </c>
      <c r="AG100" s="980"/>
      <c r="AH100" s="980"/>
      <c r="AI100" s="980"/>
      <c r="AJ100" s="980">
        <v>4103</v>
      </c>
      <c r="AK100" s="980"/>
      <c r="AL100" s="980"/>
      <c r="AM100" s="980">
        <v>2511</v>
      </c>
      <c r="AN100" s="980"/>
      <c r="AO100" s="980"/>
    </row>
    <row r="101" spans="16:41">
      <c r="P101" s="980"/>
      <c r="Q101" s="980"/>
      <c r="R101" s="980"/>
      <c r="S101" s="980"/>
      <c r="T101" s="980"/>
      <c r="U101" s="980"/>
      <c r="V101" s="980"/>
      <c r="W101" s="980"/>
      <c r="X101" s="980"/>
      <c r="Y101" s="980"/>
      <c r="Z101" s="980"/>
      <c r="AA101" s="980"/>
      <c r="AB101" s="980"/>
      <c r="AC101" s="980"/>
      <c r="AD101" s="980">
        <v>2104</v>
      </c>
      <c r="AE101" s="980"/>
      <c r="AF101" s="980">
        <v>2104</v>
      </c>
      <c r="AG101" s="980"/>
      <c r="AH101" s="980"/>
      <c r="AI101" s="980"/>
      <c r="AJ101" s="980">
        <v>4104</v>
      </c>
      <c r="AK101" s="980"/>
      <c r="AL101" s="980"/>
      <c r="AM101" s="980">
        <v>2512</v>
      </c>
      <c r="AN101" s="980"/>
      <c r="AO101" s="980"/>
    </row>
    <row r="102" spans="16:41">
      <c r="P102" s="980"/>
      <c r="Q102" s="980"/>
      <c r="R102" s="980"/>
      <c r="S102" s="980"/>
      <c r="T102" s="980"/>
      <c r="U102" s="980"/>
      <c r="V102" s="980"/>
      <c r="W102" s="980"/>
      <c r="X102" s="980"/>
      <c r="Y102" s="980"/>
      <c r="Z102" s="980"/>
      <c r="AA102" s="980"/>
      <c r="AB102" s="980"/>
      <c r="AC102" s="980"/>
      <c r="AD102" s="980">
        <v>2105</v>
      </c>
      <c r="AE102" s="980"/>
      <c r="AF102" s="980">
        <v>2105</v>
      </c>
      <c r="AG102" s="980"/>
      <c r="AH102" s="980"/>
      <c r="AI102" s="980"/>
      <c r="AJ102" s="980">
        <v>4105</v>
      </c>
      <c r="AK102" s="980"/>
      <c r="AL102" s="980"/>
      <c r="AM102" s="980">
        <v>2513</v>
      </c>
      <c r="AN102" s="980"/>
      <c r="AO102" s="980"/>
    </row>
    <row r="103" spans="16:41">
      <c r="P103" s="980"/>
      <c r="Q103" s="980"/>
      <c r="R103" s="980"/>
      <c r="S103" s="980"/>
      <c r="T103" s="980"/>
      <c r="U103" s="980"/>
      <c r="V103" s="980"/>
      <c r="W103" s="980"/>
      <c r="X103" s="980"/>
      <c r="Y103" s="980"/>
      <c r="Z103" s="980"/>
      <c r="AA103" s="980"/>
      <c r="AB103" s="980"/>
      <c r="AC103" s="980"/>
      <c r="AD103" s="980">
        <v>2106</v>
      </c>
      <c r="AE103" s="980"/>
      <c r="AF103" s="980">
        <v>2106</v>
      </c>
      <c r="AG103" s="980"/>
      <c r="AH103" s="980"/>
      <c r="AI103" s="980"/>
      <c r="AJ103" s="980">
        <v>4106</v>
      </c>
      <c r="AK103" s="980"/>
      <c r="AL103" s="980"/>
      <c r="AM103" s="980">
        <v>2514</v>
      </c>
      <c r="AN103" s="980"/>
      <c r="AO103" s="980"/>
    </row>
    <row r="104" spans="16:41">
      <c r="P104" s="980"/>
      <c r="Q104" s="980"/>
      <c r="R104" s="980"/>
      <c r="S104" s="980"/>
      <c r="T104" s="980"/>
      <c r="U104" s="980"/>
      <c r="V104" s="980"/>
      <c r="W104" s="980"/>
      <c r="X104" s="980"/>
      <c r="Y104" s="980"/>
      <c r="Z104" s="980"/>
      <c r="AA104" s="980"/>
      <c r="AB104" s="980"/>
      <c r="AC104" s="980"/>
      <c r="AD104" s="980">
        <v>2107</v>
      </c>
      <c r="AE104" s="980"/>
      <c r="AF104" s="980">
        <v>2107</v>
      </c>
      <c r="AG104" s="980"/>
      <c r="AH104" s="980"/>
      <c r="AI104" s="980"/>
      <c r="AJ104" s="980">
        <v>4107</v>
      </c>
      <c r="AK104" s="980"/>
      <c r="AL104" s="980"/>
      <c r="AM104" s="980">
        <v>2515</v>
      </c>
      <c r="AN104" s="980"/>
      <c r="AO104" s="980"/>
    </row>
    <row r="105" spans="16:41">
      <c r="P105" s="980"/>
      <c r="Q105" s="980"/>
      <c r="R105" s="980"/>
      <c r="S105" s="980"/>
      <c r="T105" s="980"/>
      <c r="U105" s="980"/>
      <c r="V105" s="980"/>
      <c r="W105" s="980"/>
      <c r="X105" s="980"/>
      <c r="Y105" s="980"/>
      <c r="Z105" s="980"/>
      <c r="AA105" s="980"/>
      <c r="AB105" s="980"/>
      <c r="AC105" s="980"/>
      <c r="AD105" s="980">
        <v>2108</v>
      </c>
      <c r="AE105" s="980"/>
      <c r="AF105" s="980">
        <v>2108</v>
      </c>
      <c r="AG105" s="980"/>
      <c r="AH105" s="980"/>
      <c r="AI105" s="980"/>
      <c r="AJ105" s="980">
        <v>4108</v>
      </c>
      <c r="AK105" s="980"/>
      <c r="AL105" s="980"/>
      <c r="AM105" s="980">
        <v>2516</v>
      </c>
      <c r="AN105" s="980"/>
      <c r="AO105" s="980"/>
    </row>
    <row r="106" spans="16:41">
      <c r="P106" s="980"/>
      <c r="Q106" s="980"/>
      <c r="R106" s="980"/>
      <c r="S106" s="980"/>
      <c r="T106" s="980"/>
      <c r="U106" s="980"/>
      <c r="V106" s="980"/>
      <c r="W106" s="980"/>
      <c r="X106" s="980"/>
      <c r="Y106" s="980"/>
      <c r="Z106" s="980"/>
      <c r="AA106" s="980"/>
      <c r="AB106" s="980"/>
      <c r="AC106" s="980"/>
      <c r="AD106" s="980">
        <v>2109</v>
      </c>
      <c r="AE106" s="980"/>
      <c r="AF106" s="980">
        <v>2109</v>
      </c>
      <c r="AG106" s="980"/>
      <c r="AH106" s="980"/>
      <c r="AI106" s="980"/>
      <c r="AJ106" s="980">
        <v>4109</v>
      </c>
      <c r="AK106" s="980"/>
      <c r="AL106" s="980"/>
      <c r="AM106" s="980">
        <v>2517</v>
      </c>
      <c r="AN106" s="980"/>
      <c r="AO106" s="980"/>
    </row>
    <row r="107" spans="16:41">
      <c r="P107" s="980"/>
      <c r="Q107" s="980"/>
      <c r="R107" s="980"/>
      <c r="S107" s="980"/>
      <c r="T107" s="980"/>
      <c r="U107" s="980"/>
      <c r="V107" s="980"/>
      <c r="W107" s="980"/>
      <c r="X107" s="980"/>
      <c r="Y107" s="980"/>
      <c r="Z107" s="980"/>
      <c r="AA107" s="980"/>
      <c r="AB107" s="980"/>
      <c r="AC107" s="980"/>
      <c r="AD107" s="980">
        <v>2110</v>
      </c>
      <c r="AE107" s="980"/>
      <c r="AF107" s="980">
        <v>2110</v>
      </c>
      <c r="AG107" s="980"/>
      <c r="AH107" s="980"/>
      <c r="AI107" s="980"/>
      <c r="AJ107" s="980">
        <v>4110</v>
      </c>
      <c r="AK107" s="980"/>
      <c r="AL107" s="980"/>
      <c r="AM107" s="980">
        <v>2518</v>
      </c>
      <c r="AN107" s="980"/>
      <c r="AO107" s="980"/>
    </row>
    <row r="108" spans="16:41">
      <c r="P108" s="980"/>
      <c r="Q108" s="980"/>
      <c r="R108" s="980"/>
      <c r="S108" s="980"/>
      <c r="T108" s="980"/>
      <c r="U108" s="980"/>
      <c r="V108" s="980"/>
      <c r="W108" s="980"/>
      <c r="X108" s="980"/>
      <c r="Y108" s="980"/>
      <c r="Z108" s="980"/>
      <c r="AA108" s="980"/>
      <c r="AB108" s="980"/>
      <c r="AC108" s="980"/>
      <c r="AD108" s="980">
        <v>2111</v>
      </c>
      <c r="AE108" s="980"/>
      <c r="AF108" s="980">
        <v>2111</v>
      </c>
      <c r="AG108" s="980"/>
      <c r="AH108" s="980"/>
      <c r="AI108" s="980"/>
      <c r="AJ108" s="980">
        <v>4111</v>
      </c>
      <c r="AK108" s="980"/>
      <c r="AL108" s="980"/>
      <c r="AM108" s="980">
        <v>2519</v>
      </c>
      <c r="AN108" s="980"/>
      <c r="AO108" s="980"/>
    </row>
    <row r="109" spans="16:41">
      <c r="P109" s="980"/>
      <c r="Q109" s="980"/>
      <c r="R109" s="980"/>
      <c r="S109" s="980"/>
      <c r="T109" s="980"/>
      <c r="U109" s="980"/>
      <c r="V109" s="980"/>
      <c r="W109" s="980"/>
      <c r="X109" s="980"/>
      <c r="Y109" s="980"/>
      <c r="Z109" s="980"/>
      <c r="AA109" s="980"/>
      <c r="AB109" s="980"/>
      <c r="AC109" s="980"/>
      <c r="AD109" s="980">
        <v>2112</v>
      </c>
      <c r="AE109" s="980"/>
      <c r="AF109" s="980">
        <v>2112</v>
      </c>
      <c r="AG109" s="980"/>
      <c r="AH109" s="980"/>
      <c r="AI109" s="980"/>
      <c r="AJ109" s="980">
        <v>4112</v>
      </c>
      <c r="AK109" s="980"/>
      <c r="AL109" s="980"/>
      <c r="AM109" s="980">
        <v>2520</v>
      </c>
      <c r="AN109" s="980"/>
      <c r="AO109" s="980"/>
    </row>
    <row r="110" spans="16:41">
      <c r="P110" s="980"/>
      <c r="Q110" s="980"/>
      <c r="R110" s="980"/>
      <c r="S110" s="980"/>
      <c r="T110" s="980"/>
      <c r="U110" s="980"/>
      <c r="V110" s="980"/>
      <c r="W110" s="980"/>
      <c r="X110" s="980"/>
      <c r="Y110" s="980"/>
      <c r="Z110" s="980"/>
      <c r="AA110" s="980"/>
      <c r="AB110" s="980"/>
      <c r="AC110" s="980"/>
      <c r="AD110" s="980">
        <v>2113</v>
      </c>
      <c r="AE110" s="980"/>
      <c r="AF110" s="980">
        <v>2113</v>
      </c>
      <c r="AG110" s="980"/>
      <c r="AH110" s="980"/>
      <c r="AI110" s="980"/>
      <c r="AJ110" s="980">
        <v>4113</v>
      </c>
      <c r="AK110" s="980"/>
      <c r="AL110" s="980"/>
      <c r="AM110" s="980">
        <v>2521</v>
      </c>
      <c r="AN110" s="980"/>
      <c r="AO110" s="980"/>
    </row>
    <row r="111" spans="16:41">
      <c r="P111" s="980"/>
      <c r="Q111" s="980"/>
      <c r="R111" s="980"/>
      <c r="S111" s="980"/>
      <c r="T111" s="980"/>
      <c r="U111" s="980"/>
      <c r="V111" s="980"/>
      <c r="W111" s="980"/>
      <c r="X111" s="980"/>
      <c r="Y111" s="980"/>
      <c r="Z111" s="980"/>
      <c r="AA111" s="980"/>
      <c r="AB111" s="980"/>
      <c r="AC111" s="980"/>
      <c r="AD111" s="980">
        <v>2114</v>
      </c>
      <c r="AE111" s="980"/>
      <c r="AF111" s="980">
        <v>2114</v>
      </c>
      <c r="AG111" s="980"/>
      <c r="AH111" s="980"/>
      <c r="AI111" s="980"/>
      <c r="AJ111" s="980">
        <v>4114</v>
      </c>
      <c r="AK111" s="980"/>
      <c r="AL111" s="980"/>
      <c r="AM111" s="980">
        <v>2522</v>
      </c>
      <c r="AN111" s="980"/>
      <c r="AO111" s="980"/>
    </row>
    <row r="112" spans="16:41">
      <c r="P112" s="980"/>
      <c r="Q112" s="980"/>
      <c r="R112" s="980"/>
      <c r="S112" s="980"/>
      <c r="T112" s="980"/>
      <c r="U112" s="980"/>
      <c r="V112" s="980"/>
      <c r="W112" s="980"/>
      <c r="X112" s="980"/>
      <c r="Y112" s="980"/>
      <c r="Z112" s="980"/>
      <c r="AA112" s="980"/>
      <c r="AB112" s="980"/>
      <c r="AC112" s="980"/>
      <c r="AD112" s="980">
        <v>2115</v>
      </c>
      <c r="AE112" s="980"/>
      <c r="AF112" s="980">
        <v>2115</v>
      </c>
      <c r="AG112" s="980"/>
      <c r="AH112" s="980"/>
      <c r="AI112" s="980"/>
      <c r="AJ112" s="980">
        <v>4115</v>
      </c>
      <c r="AK112" s="980"/>
      <c r="AL112" s="980"/>
      <c r="AM112" s="980">
        <v>2523</v>
      </c>
      <c r="AN112" s="980"/>
      <c r="AO112" s="980"/>
    </row>
    <row r="113" spans="16:41">
      <c r="P113" s="980"/>
      <c r="Q113" s="980"/>
      <c r="R113" s="980"/>
      <c r="S113" s="980"/>
      <c r="T113" s="980"/>
      <c r="U113" s="980"/>
      <c r="V113" s="980"/>
      <c r="W113" s="980"/>
      <c r="X113" s="980"/>
      <c r="Y113" s="980"/>
      <c r="Z113" s="980"/>
      <c r="AA113" s="980"/>
      <c r="AB113" s="980"/>
      <c r="AC113" s="980"/>
      <c r="AD113" s="980">
        <v>2116</v>
      </c>
      <c r="AE113" s="980"/>
      <c r="AF113" s="980">
        <v>2116</v>
      </c>
      <c r="AG113" s="980"/>
      <c r="AH113" s="980"/>
      <c r="AI113" s="980"/>
      <c r="AJ113" s="980">
        <v>4116</v>
      </c>
      <c r="AK113" s="980"/>
      <c r="AL113" s="980"/>
      <c r="AM113" s="980">
        <v>2524</v>
      </c>
      <c r="AN113" s="980"/>
      <c r="AO113" s="980"/>
    </row>
    <row r="114" spans="16:41">
      <c r="P114" s="980"/>
      <c r="Q114" s="980"/>
      <c r="R114" s="980"/>
      <c r="S114" s="980"/>
      <c r="T114" s="980"/>
      <c r="U114" s="980"/>
      <c r="V114" s="980"/>
      <c r="W114" s="980"/>
      <c r="X114" s="980"/>
      <c r="Y114" s="980"/>
      <c r="Z114" s="980"/>
      <c r="AA114" s="980"/>
      <c r="AB114" s="980"/>
      <c r="AC114" s="980"/>
      <c r="AD114" s="980">
        <v>2117</v>
      </c>
      <c r="AE114" s="980"/>
      <c r="AF114" s="980">
        <v>2117</v>
      </c>
      <c r="AG114" s="980"/>
      <c r="AH114" s="980"/>
      <c r="AI114" s="980"/>
      <c r="AJ114" s="980">
        <v>4117</v>
      </c>
      <c r="AK114" s="980"/>
      <c r="AL114" s="980"/>
      <c r="AM114" s="980">
        <v>2525</v>
      </c>
      <c r="AN114" s="980"/>
      <c r="AO114" s="980"/>
    </row>
    <row r="115" spans="16:41">
      <c r="P115" s="980"/>
      <c r="Q115" s="980"/>
      <c r="R115" s="980"/>
      <c r="S115" s="980"/>
      <c r="T115" s="980"/>
      <c r="U115" s="980"/>
      <c r="V115" s="980"/>
      <c r="W115" s="980"/>
      <c r="X115" s="980"/>
      <c r="Y115" s="980"/>
      <c r="Z115" s="980"/>
      <c r="AA115" s="980"/>
      <c r="AB115" s="980"/>
      <c r="AC115" s="980"/>
      <c r="AD115" s="980">
        <v>2118</v>
      </c>
      <c r="AE115" s="980"/>
      <c r="AF115" s="980">
        <v>2118</v>
      </c>
      <c r="AG115" s="980"/>
      <c r="AH115" s="980"/>
      <c r="AI115" s="980"/>
      <c r="AJ115" s="980">
        <v>4118</v>
      </c>
      <c r="AK115" s="980"/>
      <c r="AL115" s="980"/>
      <c r="AM115" s="980">
        <v>2526</v>
      </c>
      <c r="AN115" s="980"/>
      <c r="AO115" s="980"/>
    </row>
    <row r="116" spans="16:41">
      <c r="P116" s="980"/>
      <c r="Q116" s="980"/>
      <c r="R116" s="980"/>
      <c r="S116" s="980"/>
      <c r="T116" s="980"/>
      <c r="U116" s="980"/>
      <c r="V116" s="980"/>
      <c r="W116" s="980"/>
      <c r="X116" s="980"/>
      <c r="Y116" s="980"/>
      <c r="Z116" s="980"/>
      <c r="AA116" s="980"/>
      <c r="AB116" s="980"/>
      <c r="AC116" s="980"/>
      <c r="AD116" s="980">
        <v>2119</v>
      </c>
      <c r="AE116" s="980"/>
      <c r="AF116" s="980">
        <v>2119</v>
      </c>
      <c r="AG116" s="980"/>
      <c r="AH116" s="980"/>
      <c r="AI116" s="980"/>
      <c r="AJ116" s="980">
        <v>4119</v>
      </c>
      <c r="AK116" s="980"/>
      <c r="AL116" s="980"/>
      <c r="AM116" s="980">
        <v>2527</v>
      </c>
      <c r="AN116" s="980"/>
      <c r="AO116" s="980"/>
    </row>
    <row r="117" spans="16:41">
      <c r="P117" s="980"/>
      <c r="Q117" s="980"/>
      <c r="R117" s="980"/>
      <c r="S117" s="980"/>
      <c r="T117" s="980"/>
      <c r="U117" s="980"/>
      <c r="V117" s="980"/>
      <c r="W117" s="980"/>
      <c r="X117" s="980"/>
      <c r="Y117" s="980"/>
      <c r="Z117" s="980"/>
      <c r="AA117" s="980"/>
      <c r="AB117" s="980"/>
      <c r="AC117" s="980"/>
      <c r="AD117" s="980">
        <v>2120</v>
      </c>
      <c r="AE117" s="980"/>
      <c r="AF117" s="980">
        <v>2120</v>
      </c>
      <c r="AG117" s="980"/>
      <c r="AH117" s="980"/>
      <c r="AI117" s="980"/>
      <c r="AJ117" s="980">
        <v>4120</v>
      </c>
      <c r="AK117" s="980"/>
      <c r="AL117" s="980"/>
      <c r="AM117" s="980">
        <v>2528</v>
      </c>
      <c r="AN117" s="980"/>
      <c r="AO117" s="980"/>
    </row>
    <row r="118" spans="16:41">
      <c r="P118" s="980"/>
      <c r="Q118" s="980"/>
      <c r="R118" s="980"/>
      <c r="S118" s="980"/>
      <c r="T118" s="980"/>
      <c r="U118" s="980"/>
      <c r="V118" s="980"/>
      <c r="W118" s="980"/>
      <c r="X118" s="980"/>
      <c r="Y118" s="980"/>
      <c r="Z118" s="980"/>
      <c r="AA118" s="980"/>
      <c r="AB118" s="980"/>
      <c r="AC118" s="980"/>
      <c r="AD118" s="980">
        <v>2121</v>
      </c>
      <c r="AE118" s="980"/>
      <c r="AF118" s="980">
        <v>2121</v>
      </c>
      <c r="AG118" s="980"/>
      <c r="AH118" s="980"/>
      <c r="AI118" s="980"/>
      <c r="AJ118" s="980">
        <v>4121</v>
      </c>
      <c r="AK118" s="980"/>
      <c r="AL118" s="980"/>
      <c r="AM118" s="980">
        <v>2529</v>
      </c>
      <c r="AN118" s="980"/>
      <c r="AO118" s="980"/>
    </row>
    <row r="119" spans="16:41">
      <c r="P119" s="980"/>
      <c r="Q119" s="980"/>
      <c r="R119" s="980"/>
      <c r="S119" s="980"/>
      <c r="T119" s="980"/>
      <c r="U119" s="980"/>
      <c r="V119" s="980"/>
      <c r="W119" s="980"/>
      <c r="X119" s="980"/>
      <c r="Y119" s="980"/>
      <c r="Z119" s="980"/>
      <c r="AA119" s="980"/>
      <c r="AB119" s="980"/>
      <c r="AC119" s="980"/>
      <c r="AD119" s="980">
        <v>2122</v>
      </c>
      <c r="AE119" s="980"/>
      <c r="AF119" s="980">
        <v>2122</v>
      </c>
      <c r="AG119" s="980"/>
      <c r="AH119" s="980"/>
      <c r="AI119" s="980"/>
      <c r="AJ119" s="980">
        <v>4122</v>
      </c>
      <c r="AK119" s="980"/>
      <c r="AL119" s="980"/>
      <c r="AM119" s="980">
        <v>2530</v>
      </c>
      <c r="AN119" s="980"/>
      <c r="AO119" s="980"/>
    </row>
    <row r="120" spans="16:41">
      <c r="P120" s="980"/>
      <c r="Q120" s="980"/>
      <c r="R120" s="980"/>
      <c r="S120" s="980"/>
      <c r="T120" s="980"/>
      <c r="U120" s="980"/>
      <c r="V120" s="980"/>
      <c r="W120" s="980"/>
      <c r="X120" s="980"/>
      <c r="Y120" s="980"/>
      <c r="Z120" s="980"/>
      <c r="AA120" s="980"/>
      <c r="AB120" s="980"/>
      <c r="AC120" s="980"/>
      <c r="AD120" s="980">
        <v>2123</v>
      </c>
      <c r="AE120" s="980"/>
      <c r="AF120" s="980">
        <v>2123</v>
      </c>
      <c r="AG120" s="980"/>
      <c r="AH120" s="980"/>
      <c r="AI120" s="980"/>
      <c r="AJ120" s="980">
        <v>4123</v>
      </c>
      <c r="AK120" s="980"/>
      <c r="AL120" s="980"/>
      <c r="AM120" s="980">
        <v>2531</v>
      </c>
      <c r="AN120" s="980"/>
      <c r="AO120" s="980"/>
    </row>
    <row r="121" spans="16:41">
      <c r="P121" s="980"/>
      <c r="Q121" s="980"/>
      <c r="R121" s="980"/>
      <c r="S121" s="980"/>
      <c r="T121" s="980"/>
      <c r="U121" s="980"/>
      <c r="V121" s="980"/>
      <c r="W121" s="980"/>
      <c r="X121" s="980"/>
      <c r="Y121" s="980"/>
      <c r="Z121" s="980"/>
      <c r="AA121" s="980"/>
      <c r="AB121" s="980"/>
      <c r="AC121" s="980"/>
      <c r="AD121" s="980">
        <v>2124</v>
      </c>
      <c r="AE121" s="980"/>
      <c r="AF121" s="980">
        <v>2124</v>
      </c>
      <c r="AG121" s="980"/>
      <c r="AH121" s="980"/>
      <c r="AI121" s="980"/>
      <c r="AJ121" s="980">
        <v>4124</v>
      </c>
      <c r="AK121" s="980"/>
      <c r="AL121" s="980"/>
      <c r="AM121" s="980">
        <v>2532</v>
      </c>
      <c r="AN121" s="980"/>
      <c r="AO121" s="980"/>
    </row>
    <row r="122" spans="16:41">
      <c r="P122" s="980"/>
      <c r="Q122" s="980"/>
      <c r="R122" s="980"/>
      <c r="S122" s="980"/>
      <c r="T122" s="980"/>
      <c r="U122" s="980"/>
      <c r="V122" s="980"/>
      <c r="W122" s="980"/>
      <c r="X122" s="980"/>
      <c r="Y122" s="980"/>
      <c r="Z122" s="980"/>
      <c r="AA122" s="980"/>
      <c r="AB122" s="980"/>
      <c r="AC122" s="980"/>
      <c r="AD122" s="980">
        <v>2125</v>
      </c>
      <c r="AE122" s="980"/>
      <c r="AF122" s="980">
        <v>2125</v>
      </c>
      <c r="AG122" s="980"/>
      <c r="AH122" s="980"/>
      <c r="AI122" s="980"/>
      <c r="AJ122" s="980">
        <v>4125</v>
      </c>
      <c r="AK122" s="980"/>
      <c r="AL122" s="980"/>
      <c r="AM122" s="980">
        <v>2533</v>
      </c>
      <c r="AN122" s="980"/>
      <c r="AO122" s="980"/>
    </row>
    <row r="123" spans="16:41">
      <c r="P123" s="980"/>
      <c r="Q123" s="980"/>
      <c r="R123" s="980"/>
      <c r="S123" s="980"/>
      <c r="T123" s="980"/>
      <c r="U123" s="980"/>
      <c r="V123" s="980"/>
      <c r="W123" s="980"/>
      <c r="X123" s="980"/>
      <c r="Y123" s="980"/>
      <c r="Z123" s="980"/>
      <c r="AA123" s="980"/>
      <c r="AB123" s="980"/>
      <c r="AC123" s="980"/>
      <c r="AD123" s="980">
        <v>2126</v>
      </c>
      <c r="AE123" s="980"/>
      <c r="AF123" s="980">
        <v>2126</v>
      </c>
      <c r="AG123" s="980"/>
      <c r="AH123" s="980"/>
      <c r="AI123" s="980"/>
      <c r="AJ123" s="980">
        <v>4126</v>
      </c>
      <c r="AK123" s="980"/>
      <c r="AL123" s="980"/>
      <c r="AM123" s="980">
        <v>2534</v>
      </c>
      <c r="AN123" s="980"/>
      <c r="AO123" s="980"/>
    </row>
    <row r="124" spans="16:41">
      <c r="P124" s="980"/>
      <c r="Q124" s="980"/>
      <c r="R124" s="980"/>
      <c r="S124" s="980"/>
      <c r="T124" s="980"/>
      <c r="U124" s="980"/>
      <c r="V124" s="980"/>
      <c r="W124" s="980"/>
      <c r="X124" s="980"/>
      <c r="Y124" s="980"/>
      <c r="Z124" s="980"/>
      <c r="AA124" s="980"/>
      <c r="AB124" s="980"/>
      <c r="AC124" s="980"/>
      <c r="AD124" s="980">
        <v>2127</v>
      </c>
      <c r="AE124" s="980"/>
      <c r="AF124" s="980">
        <v>2127</v>
      </c>
      <c r="AG124" s="980"/>
      <c r="AH124" s="980"/>
      <c r="AI124" s="980"/>
      <c r="AJ124" s="980">
        <v>4127</v>
      </c>
      <c r="AK124" s="980"/>
      <c r="AL124" s="980"/>
      <c r="AM124" s="980">
        <v>2555</v>
      </c>
      <c r="AN124" s="980"/>
      <c r="AO124" s="980"/>
    </row>
    <row r="125" spans="16:41">
      <c r="P125" s="980"/>
      <c r="Q125" s="980"/>
      <c r="R125" s="980"/>
      <c r="S125" s="980"/>
      <c r="T125" s="980"/>
      <c r="U125" s="980"/>
      <c r="V125" s="980"/>
      <c r="W125" s="980"/>
      <c r="X125" s="980"/>
      <c r="Y125" s="980"/>
      <c r="Z125" s="980"/>
      <c r="AA125" s="980"/>
      <c r="AB125" s="980"/>
      <c r="AC125" s="980"/>
      <c r="AD125" s="980">
        <v>2128</v>
      </c>
      <c r="AE125" s="980"/>
      <c r="AF125" s="980">
        <v>2128</v>
      </c>
      <c r="AG125" s="980"/>
      <c r="AH125" s="980"/>
      <c r="AI125" s="980"/>
      <c r="AJ125" s="980">
        <v>4128</v>
      </c>
      <c r="AK125" s="980"/>
      <c r="AL125" s="980"/>
      <c r="AM125" s="980">
        <v>2556</v>
      </c>
      <c r="AN125" s="980"/>
      <c r="AO125" s="980"/>
    </row>
    <row r="126" spans="16:41">
      <c r="P126" s="980"/>
      <c r="Q126" s="980"/>
      <c r="R126" s="980"/>
      <c r="S126" s="980"/>
      <c r="T126" s="980"/>
      <c r="U126" s="980"/>
      <c r="V126" s="980"/>
      <c r="W126" s="980"/>
      <c r="X126" s="980"/>
      <c r="Y126" s="980"/>
      <c r="Z126" s="980"/>
      <c r="AA126" s="980"/>
      <c r="AB126" s="980"/>
      <c r="AC126" s="980"/>
      <c r="AD126" s="980">
        <v>2129</v>
      </c>
      <c r="AE126" s="980"/>
      <c r="AF126" s="980">
        <v>2129</v>
      </c>
      <c r="AG126" s="980"/>
      <c r="AH126" s="980"/>
      <c r="AI126" s="980"/>
      <c r="AJ126" s="980">
        <v>4129</v>
      </c>
      <c r="AK126" s="980"/>
      <c r="AL126" s="980"/>
      <c r="AM126" s="980">
        <v>2557</v>
      </c>
      <c r="AN126" s="980"/>
      <c r="AO126" s="980"/>
    </row>
    <row r="127" spans="16:41">
      <c r="P127" s="980"/>
      <c r="Q127" s="980"/>
      <c r="R127" s="980"/>
      <c r="S127" s="980"/>
      <c r="T127" s="980"/>
      <c r="U127" s="980"/>
      <c r="V127" s="980"/>
      <c r="W127" s="980"/>
      <c r="X127" s="980"/>
      <c r="Y127" s="980"/>
      <c r="Z127" s="980"/>
      <c r="AA127" s="980"/>
      <c r="AB127" s="980"/>
      <c r="AC127" s="980"/>
      <c r="AD127" s="980">
        <v>2130</v>
      </c>
      <c r="AE127" s="980"/>
      <c r="AF127" s="980">
        <v>2130</v>
      </c>
      <c r="AG127" s="980"/>
      <c r="AH127" s="980"/>
      <c r="AI127" s="980"/>
      <c r="AJ127" s="980">
        <v>4130</v>
      </c>
      <c r="AK127" s="980"/>
      <c r="AL127" s="980"/>
      <c r="AM127" s="980">
        <v>2558</v>
      </c>
      <c r="AN127" s="980"/>
      <c r="AO127" s="980"/>
    </row>
    <row r="128" spans="16:41">
      <c r="P128" s="980"/>
      <c r="Q128" s="980"/>
      <c r="R128" s="980"/>
      <c r="S128" s="980"/>
      <c r="T128" s="980"/>
      <c r="U128" s="980"/>
      <c r="V128" s="980"/>
      <c r="W128" s="980"/>
      <c r="X128" s="980"/>
      <c r="Y128" s="980"/>
      <c r="Z128" s="980"/>
      <c r="AA128" s="980"/>
      <c r="AB128" s="980"/>
      <c r="AC128" s="980"/>
      <c r="AD128" s="980">
        <v>2131</v>
      </c>
      <c r="AE128" s="980"/>
      <c r="AF128" s="980">
        <v>2131</v>
      </c>
      <c r="AG128" s="980"/>
      <c r="AH128" s="980"/>
      <c r="AI128" s="980"/>
      <c r="AJ128" s="980">
        <v>4131</v>
      </c>
      <c r="AK128" s="980"/>
      <c r="AL128" s="980"/>
      <c r="AM128" s="980">
        <v>2559</v>
      </c>
      <c r="AN128" s="980"/>
      <c r="AO128" s="980"/>
    </row>
    <row r="129" spans="16:41">
      <c r="P129" s="980"/>
      <c r="Q129" s="980"/>
      <c r="R129" s="980"/>
      <c r="S129" s="980"/>
      <c r="T129" s="980"/>
      <c r="U129" s="980"/>
      <c r="V129" s="980"/>
      <c r="W129" s="980"/>
      <c r="X129" s="980"/>
      <c r="Y129" s="980"/>
      <c r="Z129" s="980"/>
      <c r="AA129" s="980"/>
      <c r="AB129" s="980"/>
      <c r="AC129" s="980"/>
      <c r="AD129" s="980">
        <v>2132</v>
      </c>
      <c r="AE129" s="980"/>
      <c r="AF129" s="980">
        <v>2132</v>
      </c>
      <c r="AG129" s="980"/>
      <c r="AH129" s="980"/>
      <c r="AI129" s="980"/>
      <c r="AJ129" s="980">
        <v>4132</v>
      </c>
      <c r="AK129" s="980"/>
      <c r="AL129" s="980"/>
      <c r="AM129" s="980">
        <v>2560</v>
      </c>
      <c r="AN129" s="980"/>
      <c r="AO129" s="980"/>
    </row>
    <row r="130" spans="16:41">
      <c r="P130" s="980"/>
      <c r="Q130" s="980"/>
      <c r="R130" s="980"/>
      <c r="S130" s="980"/>
      <c r="T130" s="980"/>
      <c r="U130" s="980"/>
      <c r="V130" s="980"/>
      <c r="W130" s="980"/>
      <c r="X130" s="980"/>
      <c r="Y130" s="980"/>
      <c r="Z130" s="980"/>
      <c r="AA130" s="980"/>
      <c r="AB130" s="980"/>
      <c r="AC130" s="980"/>
      <c r="AD130" s="980">
        <v>2133</v>
      </c>
      <c r="AE130" s="980"/>
      <c r="AF130" s="980">
        <v>2133</v>
      </c>
      <c r="AG130" s="980"/>
      <c r="AH130" s="980"/>
      <c r="AI130" s="980"/>
      <c r="AJ130" s="980">
        <v>4133</v>
      </c>
      <c r="AK130" s="980"/>
      <c r="AL130" s="980"/>
      <c r="AM130" s="980">
        <v>2561</v>
      </c>
      <c r="AN130" s="980"/>
      <c r="AO130" s="980"/>
    </row>
    <row r="131" spans="16:41">
      <c r="P131" s="980"/>
      <c r="Q131" s="980"/>
      <c r="R131" s="980"/>
      <c r="S131" s="980"/>
      <c r="T131" s="980"/>
      <c r="U131" s="980"/>
      <c r="V131" s="980"/>
      <c r="W131" s="980"/>
      <c r="X131" s="980"/>
      <c r="Y131" s="980"/>
      <c r="Z131" s="980"/>
      <c r="AA131" s="980"/>
      <c r="AB131" s="980"/>
      <c r="AC131" s="980"/>
      <c r="AD131" s="980">
        <v>2134</v>
      </c>
      <c r="AE131" s="980"/>
      <c r="AF131" s="980">
        <v>2134</v>
      </c>
      <c r="AG131" s="980"/>
      <c r="AH131" s="980"/>
      <c r="AI131" s="980"/>
      <c r="AJ131" s="980">
        <v>4134</v>
      </c>
      <c r="AK131" s="980"/>
      <c r="AL131" s="980"/>
      <c r="AM131" s="980">
        <v>2562</v>
      </c>
      <c r="AN131" s="980"/>
      <c r="AO131" s="980"/>
    </row>
    <row r="132" spans="16:41">
      <c r="P132" s="980"/>
      <c r="Q132" s="980"/>
      <c r="R132" s="980"/>
      <c r="S132" s="980"/>
      <c r="T132" s="980"/>
      <c r="U132" s="980"/>
      <c r="V132" s="980"/>
      <c r="W132" s="980"/>
      <c r="X132" s="980"/>
      <c r="Y132" s="980"/>
      <c r="Z132" s="980"/>
      <c r="AA132" s="980"/>
      <c r="AB132" s="980"/>
      <c r="AC132" s="980"/>
      <c r="AD132" s="980">
        <v>2135</v>
      </c>
      <c r="AE132" s="980"/>
      <c r="AF132" s="980">
        <v>2135</v>
      </c>
      <c r="AG132" s="980"/>
      <c r="AH132" s="980"/>
      <c r="AI132" s="980"/>
      <c r="AJ132" s="980">
        <v>4135</v>
      </c>
      <c r="AK132" s="980"/>
      <c r="AL132" s="980"/>
      <c r="AM132" s="980">
        <v>2563</v>
      </c>
      <c r="AN132" s="980"/>
      <c r="AO132" s="980"/>
    </row>
    <row r="133" spans="16:41">
      <c r="P133" s="980"/>
      <c r="Q133" s="980"/>
      <c r="R133" s="980"/>
      <c r="S133" s="980"/>
      <c r="T133" s="980"/>
      <c r="U133" s="980"/>
      <c r="V133" s="980"/>
      <c r="W133" s="980"/>
      <c r="X133" s="980"/>
      <c r="Y133" s="980"/>
      <c r="Z133" s="980"/>
      <c r="AA133" s="980"/>
      <c r="AB133" s="980"/>
      <c r="AC133" s="980"/>
      <c r="AD133" s="980">
        <v>2136</v>
      </c>
      <c r="AE133" s="980"/>
      <c r="AF133" s="980">
        <v>2136</v>
      </c>
      <c r="AG133" s="980"/>
      <c r="AH133" s="980"/>
      <c r="AI133" s="980"/>
      <c r="AJ133" s="980">
        <v>4136</v>
      </c>
      <c r="AK133" s="980"/>
      <c r="AL133" s="980"/>
      <c r="AM133" s="980">
        <v>2564</v>
      </c>
      <c r="AN133" s="980"/>
      <c r="AO133" s="980"/>
    </row>
    <row r="134" spans="16:41">
      <c r="P134" s="980"/>
      <c r="Q134" s="980"/>
      <c r="R134" s="980"/>
      <c r="S134" s="980"/>
      <c r="T134" s="980"/>
      <c r="U134" s="980"/>
      <c r="V134" s="980"/>
      <c r="W134" s="980"/>
      <c r="X134" s="980"/>
      <c r="Y134" s="980"/>
      <c r="Z134" s="980"/>
      <c r="AA134" s="980"/>
      <c r="AB134" s="980"/>
      <c r="AC134" s="980"/>
      <c r="AD134" s="980">
        <v>2137</v>
      </c>
      <c r="AE134" s="980"/>
      <c r="AF134" s="980">
        <v>2137</v>
      </c>
      <c r="AG134" s="980"/>
      <c r="AH134" s="980"/>
      <c r="AI134" s="980"/>
      <c r="AJ134" s="980">
        <v>4137</v>
      </c>
      <c r="AK134" s="980"/>
      <c r="AL134" s="980"/>
      <c r="AM134" s="980">
        <v>2565</v>
      </c>
      <c r="AN134" s="980"/>
      <c r="AO134" s="980"/>
    </row>
    <row r="135" spans="16:41">
      <c r="P135" s="980"/>
      <c r="Q135" s="980"/>
      <c r="R135" s="980"/>
      <c r="S135" s="980"/>
      <c r="T135" s="980"/>
      <c r="U135" s="980"/>
      <c r="V135" s="980"/>
      <c r="W135" s="980"/>
      <c r="X135" s="980"/>
      <c r="Y135" s="980"/>
      <c r="Z135" s="980"/>
      <c r="AA135" s="980"/>
      <c r="AB135" s="980"/>
      <c r="AC135" s="980"/>
      <c r="AD135" s="980">
        <v>2138</v>
      </c>
      <c r="AE135" s="980"/>
      <c r="AF135" s="980">
        <v>2138</v>
      </c>
      <c r="AG135" s="980"/>
      <c r="AH135" s="980"/>
      <c r="AI135" s="980"/>
      <c r="AJ135" s="980">
        <v>4138</v>
      </c>
      <c r="AK135" s="980"/>
      <c r="AL135" s="980"/>
      <c r="AM135" s="980">
        <v>2566</v>
      </c>
      <c r="AN135" s="980"/>
      <c r="AO135" s="980"/>
    </row>
    <row r="136" spans="16:41">
      <c r="P136" s="980"/>
      <c r="Q136" s="980"/>
      <c r="R136" s="980"/>
      <c r="S136" s="980"/>
      <c r="T136" s="980"/>
      <c r="U136" s="980"/>
      <c r="V136" s="980"/>
      <c r="W136" s="980"/>
      <c r="X136" s="980"/>
      <c r="Y136" s="980"/>
      <c r="Z136" s="980"/>
      <c r="AA136" s="980"/>
      <c r="AB136" s="980"/>
      <c r="AC136" s="980"/>
      <c r="AD136" s="980">
        <v>2139</v>
      </c>
      <c r="AE136" s="980"/>
      <c r="AF136" s="980">
        <v>2139</v>
      </c>
      <c r="AG136" s="980"/>
      <c r="AH136" s="980"/>
      <c r="AI136" s="980"/>
      <c r="AJ136" s="980">
        <v>4139</v>
      </c>
      <c r="AK136" s="980"/>
      <c r="AL136" s="980"/>
      <c r="AM136" s="980">
        <v>2567</v>
      </c>
      <c r="AN136" s="980"/>
      <c r="AO136" s="980"/>
    </row>
    <row r="137" spans="16:41">
      <c r="P137" s="980"/>
      <c r="Q137" s="980"/>
      <c r="R137" s="980"/>
      <c r="S137" s="980"/>
      <c r="T137" s="980"/>
      <c r="U137" s="980"/>
      <c r="V137" s="980"/>
      <c r="W137" s="980"/>
      <c r="X137" s="980"/>
      <c r="Y137" s="980"/>
      <c r="Z137" s="980"/>
      <c r="AA137" s="980"/>
      <c r="AB137" s="980"/>
      <c r="AC137" s="980"/>
      <c r="AD137" s="980">
        <v>2140</v>
      </c>
      <c r="AE137" s="980"/>
      <c r="AF137" s="980">
        <v>2140</v>
      </c>
      <c r="AG137" s="980"/>
      <c r="AH137" s="980"/>
      <c r="AI137" s="980"/>
      <c r="AJ137" s="980">
        <v>4140</v>
      </c>
      <c r="AK137" s="980"/>
      <c r="AL137" s="980"/>
      <c r="AM137" s="980">
        <v>2568</v>
      </c>
      <c r="AN137" s="980"/>
      <c r="AO137" s="980"/>
    </row>
    <row r="138" spans="16:41">
      <c r="P138" s="980"/>
      <c r="Q138" s="980"/>
      <c r="R138" s="980"/>
      <c r="S138" s="980"/>
      <c r="T138" s="980"/>
      <c r="U138" s="980"/>
      <c r="V138" s="980"/>
      <c r="W138" s="980"/>
      <c r="X138" s="980"/>
      <c r="Y138" s="980"/>
      <c r="Z138" s="980"/>
      <c r="AA138" s="980"/>
      <c r="AB138" s="980"/>
      <c r="AC138" s="980"/>
      <c r="AD138" s="980">
        <v>2141</v>
      </c>
      <c r="AE138" s="980"/>
      <c r="AF138" s="980">
        <v>2141</v>
      </c>
      <c r="AG138" s="980"/>
      <c r="AH138" s="980"/>
      <c r="AI138" s="980"/>
      <c r="AJ138" s="980">
        <v>4141</v>
      </c>
      <c r="AK138" s="980"/>
      <c r="AL138" s="980"/>
      <c r="AM138" s="980">
        <v>2569</v>
      </c>
      <c r="AN138" s="980"/>
      <c r="AO138" s="980"/>
    </row>
    <row r="139" spans="16:41">
      <c r="P139" s="980"/>
      <c r="Q139" s="980"/>
      <c r="R139" s="980"/>
      <c r="S139" s="980"/>
      <c r="T139" s="980"/>
      <c r="U139" s="980"/>
      <c r="V139" s="980"/>
      <c r="W139" s="980"/>
      <c r="X139" s="980"/>
      <c r="Y139" s="980"/>
      <c r="Z139" s="980"/>
      <c r="AA139" s="980"/>
      <c r="AB139" s="980"/>
      <c r="AC139" s="980"/>
      <c r="AD139" s="980">
        <v>2142</v>
      </c>
      <c r="AE139" s="980"/>
      <c r="AF139" s="980">
        <v>2142</v>
      </c>
      <c r="AG139" s="980"/>
      <c r="AH139" s="980"/>
      <c r="AI139" s="980"/>
      <c r="AJ139" s="980">
        <v>4142</v>
      </c>
      <c r="AK139" s="980"/>
      <c r="AL139" s="980"/>
      <c r="AM139" s="980">
        <v>2570</v>
      </c>
      <c r="AN139" s="980"/>
      <c r="AO139" s="980"/>
    </row>
    <row r="140" spans="16:41">
      <c r="P140" s="980"/>
      <c r="Q140" s="980"/>
      <c r="R140" s="980"/>
      <c r="S140" s="980"/>
      <c r="T140" s="980"/>
      <c r="U140" s="980"/>
      <c r="V140" s="980"/>
      <c r="W140" s="980"/>
      <c r="X140" s="980"/>
      <c r="Y140" s="980"/>
      <c r="Z140" s="980"/>
      <c r="AA140" s="980"/>
      <c r="AB140" s="980"/>
      <c r="AC140" s="980"/>
      <c r="AD140" s="980">
        <v>2143</v>
      </c>
      <c r="AE140" s="980"/>
      <c r="AF140" s="980">
        <v>2143</v>
      </c>
      <c r="AG140" s="980"/>
      <c r="AH140" s="980"/>
      <c r="AI140" s="980"/>
      <c r="AJ140" s="980">
        <v>4143</v>
      </c>
      <c r="AK140" s="980"/>
      <c r="AL140" s="980"/>
      <c r="AM140" s="980">
        <v>2571</v>
      </c>
      <c r="AN140" s="980"/>
      <c r="AO140" s="980"/>
    </row>
    <row r="141" spans="16:41">
      <c r="P141" s="980"/>
      <c r="Q141" s="980"/>
      <c r="R141" s="980"/>
      <c r="S141" s="980"/>
      <c r="T141" s="980"/>
      <c r="U141" s="980"/>
      <c r="V141" s="980"/>
      <c r="W141" s="980"/>
      <c r="X141" s="980"/>
      <c r="Y141" s="980"/>
      <c r="Z141" s="980"/>
      <c r="AA141" s="980"/>
      <c r="AB141" s="980"/>
      <c r="AC141" s="980"/>
      <c r="AD141" s="980">
        <v>2144</v>
      </c>
      <c r="AE141" s="980"/>
      <c r="AF141" s="980">
        <v>2144</v>
      </c>
      <c r="AG141" s="980"/>
      <c r="AH141" s="980"/>
      <c r="AI141" s="980"/>
      <c r="AJ141" s="980">
        <v>4144</v>
      </c>
      <c r="AK141" s="980"/>
      <c r="AL141" s="980"/>
      <c r="AM141" s="980">
        <v>2572</v>
      </c>
      <c r="AN141" s="980"/>
      <c r="AO141" s="980"/>
    </row>
    <row r="142" spans="16:41">
      <c r="P142" s="980"/>
      <c r="Q142" s="980"/>
      <c r="R142" s="980"/>
      <c r="S142" s="980"/>
      <c r="T142" s="980"/>
      <c r="U142" s="980"/>
      <c r="V142" s="980"/>
      <c r="W142" s="980"/>
      <c r="X142" s="980"/>
      <c r="Y142" s="980"/>
      <c r="Z142" s="980"/>
      <c r="AA142" s="980"/>
      <c r="AB142" s="980"/>
      <c r="AC142" s="980"/>
      <c r="AD142" s="980">
        <v>2145</v>
      </c>
      <c r="AE142" s="980"/>
      <c r="AF142" s="980">
        <v>2145</v>
      </c>
      <c r="AG142" s="980"/>
      <c r="AH142" s="980"/>
      <c r="AI142" s="980"/>
      <c r="AJ142" s="980">
        <v>4145</v>
      </c>
      <c r="AK142" s="980"/>
      <c r="AL142" s="980"/>
      <c r="AM142" s="980">
        <v>2573</v>
      </c>
      <c r="AN142" s="980"/>
      <c r="AO142" s="980"/>
    </row>
    <row r="143" spans="16:41">
      <c r="P143" s="980"/>
      <c r="Q143" s="980"/>
      <c r="R143" s="980"/>
      <c r="S143" s="980"/>
      <c r="T143" s="980"/>
      <c r="U143" s="980"/>
      <c r="V143" s="980"/>
      <c r="W143" s="980"/>
      <c r="X143" s="980"/>
      <c r="Y143" s="980"/>
      <c r="Z143" s="980"/>
      <c r="AA143" s="980"/>
      <c r="AB143" s="980"/>
      <c r="AC143" s="980"/>
      <c r="AD143" s="980">
        <v>2146</v>
      </c>
      <c r="AE143" s="980"/>
      <c r="AF143" s="980">
        <v>2146</v>
      </c>
      <c r="AG143" s="980"/>
      <c r="AH143" s="980"/>
      <c r="AI143" s="980"/>
      <c r="AJ143" s="980">
        <v>4146</v>
      </c>
      <c r="AK143" s="980"/>
      <c r="AL143" s="980"/>
      <c r="AM143" s="980">
        <v>2574</v>
      </c>
      <c r="AN143" s="980"/>
      <c r="AO143" s="980"/>
    </row>
    <row r="144" spans="16:41">
      <c r="P144" s="980"/>
      <c r="Q144" s="980"/>
      <c r="R144" s="980"/>
      <c r="S144" s="980"/>
      <c r="T144" s="980"/>
      <c r="U144" s="980"/>
      <c r="V144" s="980"/>
      <c r="W144" s="980"/>
      <c r="X144" s="980"/>
      <c r="Y144" s="980"/>
      <c r="Z144" s="980"/>
      <c r="AA144" s="980"/>
      <c r="AB144" s="980"/>
      <c r="AC144" s="980"/>
      <c r="AD144" s="980">
        <v>2147</v>
      </c>
      <c r="AE144" s="980"/>
      <c r="AF144" s="980">
        <v>2147</v>
      </c>
      <c r="AG144" s="980"/>
      <c r="AH144" s="980"/>
      <c r="AI144" s="980"/>
      <c r="AJ144" s="980">
        <v>4147</v>
      </c>
      <c r="AK144" s="980"/>
      <c r="AL144" s="980"/>
      <c r="AM144" s="980">
        <v>2575</v>
      </c>
      <c r="AN144" s="980"/>
      <c r="AO144" s="980"/>
    </row>
    <row r="145" spans="16:41">
      <c r="P145" s="980"/>
      <c r="Q145" s="980"/>
      <c r="R145" s="980"/>
      <c r="S145" s="980"/>
      <c r="T145" s="980"/>
      <c r="U145" s="980"/>
      <c r="V145" s="980"/>
      <c r="W145" s="980"/>
      <c r="X145" s="980"/>
      <c r="Y145" s="980"/>
      <c r="Z145" s="980"/>
      <c r="AA145" s="980"/>
      <c r="AB145" s="980"/>
      <c r="AC145" s="980"/>
      <c r="AD145" s="980">
        <v>2148</v>
      </c>
      <c r="AE145" s="980"/>
      <c r="AF145" s="980">
        <v>2148</v>
      </c>
      <c r="AG145" s="980"/>
      <c r="AH145" s="980"/>
      <c r="AI145" s="980"/>
      <c r="AJ145" s="980">
        <v>4148</v>
      </c>
      <c r="AK145" s="980"/>
      <c r="AL145" s="980"/>
      <c r="AM145" s="980">
        <v>2576</v>
      </c>
      <c r="AN145" s="980"/>
      <c r="AO145" s="980"/>
    </row>
    <row r="146" spans="16:41">
      <c r="P146" s="980"/>
      <c r="Q146" s="980"/>
      <c r="R146" s="980"/>
      <c r="S146" s="980"/>
      <c r="T146" s="980"/>
      <c r="U146" s="980"/>
      <c r="V146" s="980"/>
      <c r="W146" s="980"/>
      <c r="X146" s="980"/>
      <c r="Y146" s="980"/>
      <c r="Z146" s="980"/>
      <c r="AA146" s="980"/>
      <c r="AB146" s="980"/>
      <c r="AC146" s="980"/>
      <c r="AD146" s="980">
        <v>2149</v>
      </c>
      <c r="AE146" s="980"/>
      <c r="AF146" s="980">
        <v>2149</v>
      </c>
      <c r="AG146" s="980"/>
      <c r="AH146" s="980"/>
      <c r="AI146" s="980"/>
      <c r="AJ146" s="980">
        <v>4149</v>
      </c>
      <c r="AK146" s="980"/>
      <c r="AL146" s="980"/>
      <c r="AM146" s="980">
        <v>2577</v>
      </c>
      <c r="AN146" s="980"/>
      <c r="AO146" s="980"/>
    </row>
    <row r="147" spans="16:41">
      <c r="P147" s="980"/>
      <c r="Q147" s="980"/>
      <c r="R147" s="980"/>
      <c r="S147" s="980"/>
      <c r="T147" s="980"/>
      <c r="U147" s="980"/>
      <c r="V147" s="980"/>
      <c r="W147" s="980"/>
      <c r="X147" s="980"/>
      <c r="Y147" s="980"/>
      <c r="Z147" s="980"/>
      <c r="AA147" s="980"/>
      <c r="AB147" s="980"/>
      <c r="AC147" s="980"/>
      <c r="AD147" s="980">
        <v>2150</v>
      </c>
      <c r="AE147" s="980"/>
      <c r="AF147" s="980">
        <v>2150</v>
      </c>
      <c r="AG147" s="980"/>
      <c r="AH147" s="980"/>
      <c r="AI147" s="980"/>
      <c r="AJ147" s="980">
        <v>4150</v>
      </c>
      <c r="AK147" s="980"/>
      <c r="AL147" s="980"/>
      <c r="AM147" s="980">
        <v>2578</v>
      </c>
      <c r="AN147" s="980"/>
      <c r="AO147" s="980"/>
    </row>
    <row r="148" spans="16:41">
      <c r="P148" s="980"/>
      <c r="Q148" s="980"/>
      <c r="R148" s="980"/>
      <c r="S148" s="980"/>
      <c r="T148" s="980"/>
      <c r="U148" s="980"/>
      <c r="V148" s="980"/>
      <c r="W148" s="980"/>
      <c r="X148" s="980"/>
      <c r="Y148" s="980"/>
      <c r="Z148" s="980"/>
      <c r="AA148" s="980"/>
      <c r="AB148" s="980"/>
      <c r="AC148" s="980"/>
      <c r="AD148" s="980">
        <v>2151</v>
      </c>
      <c r="AE148" s="980"/>
      <c r="AF148" s="980">
        <v>2151</v>
      </c>
      <c r="AG148" s="980"/>
      <c r="AH148" s="980"/>
      <c r="AI148" s="980"/>
      <c r="AJ148" s="980">
        <v>4151</v>
      </c>
      <c r="AK148" s="980"/>
      <c r="AL148" s="980"/>
      <c r="AM148" s="980">
        <v>2579</v>
      </c>
      <c r="AN148" s="980"/>
      <c r="AO148" s="980"/>
    </row>
    <row r="149" spans="16:41">
      <c r="P149" s="980"/>
      <c r="Q149" s="980"/>
      <c r="R149" s="980"/>
      <c r="S149" s="980"/>
      <c r="T149" s="980"/>
      <c r="U149" s="980"/>
      <c r="V149" s="980"/>
      <c r="W149" s="980"/>
      <c r="X149" s="980"/>
      <c r="Y149" s="980"/>
      <c r="Z149" s="980"/>
      <c r="AA149" s="980"/>
      <c r="AB149" s="980"/>
      <c r="AC149" s="980"/>
      <c r="AD149" s="980">
        <v>2152</v>
      </c>
      <c r="AE149" s="980"/>
      <c r="AF149" s="980">
        <v>2152</v>
      </c>
      <c r="AG149" s="980"/>
      <c r="AH149" s="980"/>
      <c r="AI149" s="980"/>
      <c r="AJ149" s="980">
        <v>4152</v>
      </c>
      <c r="AK149" s="980"/>
      <c r="AL149" s="980"/>
      <c r="AM149" s="980">
        <v>2619</v>
      </c>
      <c r="AN149" s="980"/>
      <c r="AO149" s="980"/>
    </row>
    <row r="150" spans="16:41">
      <c r="P150" s="980"/>
      <c r="Q150" s="980"/>
      <c r="R150" s="980"/>
      <c r="S150" s="980"/>
      <c r="T150" s="980"/>
      <c r="U150" s="980"/>
      <c r="V150" s="980"/>
      <c r="W150" s="980"/>
      <c r="X150" s="980"/>
      <c r="Y150" s="980"/>
      <c r="Z150" s="980"/>
      <c r="AA150" s="980"/>
      <c r="AB150" s="980"/>
      <c r="AC150" s="980"/>
      <c r="AD150" s="980">
        <v>2153</v>
      </c>
      <c r="AE150" s="980"/>
      <c r="AF150" s="980">
        <v>2153</v>
      </c>
      <c r="AG150" s="980"/>
      <c r="AH150" s="980"/>
      <c r="AI150" s="980"/>
      <c r="AJ150" s="980">
        <v>4153</v>
      </c>
      <c r="AK150" s="980"/>
      <c r="AL150" s="980"/>
      <c r="AM150" s="980">
        <v>2620</v>
      </c>
      <c r="AN150" s="980"/>
      <c r="AO150" s="980"/>
    </row>
    <row r="151" spans="16:41">
      <c r="P151" s="980"/>
      <c r="Q151" s="980"/>
      <c r="R151" s="980"/>
      <c r="S151" s="980"/>
      <c r="T151" s="980"/>
      <c r="U151" s="980"/>
      <c r="V151" s="980"/>
      <c r="W151" s="980"/>
      <c r="X151" s="980"/>
      <c r="Y151" s="980"/>
      <c r="Z151" s="980"/>
      <c r="AA151" s="980"/>
      <c r="AB151" s="980"/>
      <c r="AC151" s="980"/>
      <c r="AD151" s="980">
        <v>2154</v>
      </c>
      <c r="AE151" s="980"/>
      <c r="AF151" s="980">
        <v>2154</v>
      </c>
      <c r="AG151" s="980"/>
      <c r="AH151" s="980"/>
      <c r="AI151" s="980"/>
      <c r="AJ151" s="980">
        <v>4154</v>
      </c>
      <c r="AK151" s="980"/>
      <c r="AL151" s="980"/>
      <c r="AM151" s="980">
        <v>2621</v>
      </c>
      <c r="AN151" s="980"/>
      <c r="AO151" s="980"/>
    </row>
    <row r="152" spans="16:41">
      <c r="P152" s="980"/>
      <c r="Q152" s="980"/>
      <c r="R152" s="980"/>
      <c r="S152" s="980"/>
      <c r="T152" s="980"/>
      <c r="U152" s="980"/>
      <c r="V152" s="980"/>
      <c r="W152" s="980"/>
      <c r="X152" s="980"/>
      <c r="Y152" s="980"/>
      <c r="Z152" s="980"/>
      <c r="AA152" s="980"/>
      <c r="AB152" s="980"/>
      <c r="AC152" s="980"/>
      <c r="AD152" s="980">
        <v>2155</v>
      </c>
      <c r="AE152" s="980"/>
      <c r="AF152" s="980">
        <v>2155</v>
      </c>
      <c r="AG152" s="980"/>
      <c r="AH152" s="980"/>
      <c r="AI152" s="980"/>
      <c r="AJ152" s="980">
        <v>4155</v>
      </c>
      <c r="AK152" s="980"/>
      <c r="AL152" s="980"/>
      <c r="AM152" s="980">
        <v>2640</v>
      </c>
      <c r="AN152" s="980"/>
      <c r="AO152" s="980"/>
    </row>
    <row r="153" spans="16:41">
      <c r="P153" s="980"/>
      <c r="Q153" s="980"/>
      <c r="R153" s="980"/>
      <c r="S153" s="980"/>
      <c r="T153" s="980"/>
      <c r="U153" s="980"/>
      <c r="V153" s="980"/>
      <c r="W153" s="980"/>
      <c r="X153" s="980"/>
      <c r="Y153" s="980"/>
      <c r="Z153" s="980"/>
      <c r="AA153" s="980"/>
      <c r="AB153" s="980"/>
      <c r="AC153" s="980"/>
      <c r="AD153" s="980">
        <v>2156</v>
      </c>
      <c r="AE153" s="980"/>
      <c r="AF153" s="980">
        <v>2156</v>
      </c>
      <c r="AG153" s="980"/>
      <c r="AH153" s="980"/>
      <c r="AI153" s="980"/>
      <c r="AJ153" s="980">
        <v>4156</v>
      </c>
      <c r="AK153" s="980"/>
      <c r="AL153" s="980"/>
      <c r="AM153" s="980">
        <v>2641</v>
      </c>
      <c r="AN153" s="980"/>
      <c r="AO153" s="980"/>
    </row>
    <row r="154" spans="16:41">
      <c r="P154" s="980"/>
      <c r="Q154" s="980"/>
      <c r="R154" s="980"/>
      <c r="S154" s="980"/>
      <c r="T154" s="980"/>
      <c r="U154" s="980"/>
      <c r="V154" s="980"/>
      <c r="W154" s="980"/>
      <c r="X154" s="980"/>
      <c r="Y154" s="980"/>
      <c r="Z154" s="980"/>
      <c r="AA154" s="980"/>
      <c r="AB154" s="980"/>
      <c r="AC154" s="980"/>
      <c r="AD154" s="980">
        <v>2157</v>
      </c>
      <c r="AE154" s="980"/>
      <c r="AF154" s="980">
        <v>2157</v>
      </c>
      <c r="AG154" s="980"/>
      <c r="AH154" s="980"/>
      <c r="AI154" s="980"/>
      <c r="AJ154" s="980">
        <v>4157</v>
      </c>
      <c r="AK154" s="980"/>
      <c r="AL154" s="980"/>
      <c r="AM154" s="980">
        <v>2650</v>
      </c>
      <c r="AN154" s="980"/>
      <c r="AO154" s="980"/>
    </row>
    <row r="155" spans="16:41">
      <c r="P155" s="980"/>
      <c r="Q155" s="980"/>
      <c r="R155" s="980"/>
      <c r="S155" s="980"/>
      <c r="T155" s="980"/>
      <c r="U155" s="980"/>
      <c r="V155" s="980"/>
      <c r="W155" s="980"/>
      <c r="X155" s="980"/>
      <c r="Y155" s="980"/>
      <c r="Z155" s="980"/>
      <c r="AA155" s="980"/>
      <c r="AB155" s="980"/>
      <c r="AC155" s="980"/>
      <c r="AD155" s="980">
        <v>2158</v>
      </c>
      <c r="AE155" s="980"/>
      <c r="AF155" s="980">
        <v>2158</v>
      </c>
      <c r="AG155" s="980"/>
      <c r="AH155" s="980"/>
      <c r="AI155" s="980"/>
      <c r="AJ155" s="980">
        <v>4158</v>
      </c>
      <c r="AK155" s="980"/>
      <c r="AL155" s="980"/>
      <c r="AM155" s="980">
        <v>2651</v>
      </c>
      <c r="AN155" s="980"/>
      <c r="AO155" s="980"/>
    </row>
    <row r="156" spans="16:41">
      <c r="P156" s="980"/>
      <c r="Q156" s="980"/>
      <c r="R156" s="980"/>
      <c r="S156" s="980"/>
      <c r="T156" s="980"/>
      <c r="U156" s="980"/>
      <c r="V156" s="980"/>
      <c r="W156" s="980"/>
      <c r="X156" s="980"/>
      <c r="Y156" s="980"/>
      <c r="Z156" s="980"/>
      <c r="AA156" s="980"/>
      <c r="AB156" s="980"/>
      <c r="AC156" s="980"/>
      <c r="AD156" s="980">
        <v>2159</v>
      </c>
      <c r="AE156" s="980"/>
      <c r="AF156" s="980">
        <v>2159</v>
      </c>
      <c r="AG156" s="980"/>
      <c r="AH156" s="980"/>
      <c r="AI156" s="980"/>
      <c r="AJ156" s="980">
        <v>4159</v>
      </c>
      <c r="AK156" s="980"/>
      <c r="AL156" s="980"/>
      <c r="AM156" s="980">
        <v>2776</v>
      </c>
      <c r="AN156" s="980"/>
      <c r="AO156" s="980"/>
    </row>
    <row r="157" spans="16:41">
      <c r="P157" s="980"/>
      <c r="Q157" s="980"/>
      <c r="R157" s="980"/>
      <c r="S157" s="980"/>
      <c r="T157" s="980"/>
      <c r="U157" s="980"/>
      <c r="V157" s="980"/>
      <c r="W157" s="980"/>
      <c r="X157" s="980"/>
      <c r="Y157" s="980"/>
      <c r="Z157" s="980"/>
      <c r="AA157" s="980"/>
      <c r="AB157" s="980"/>
      <c r="AC157" s="980"/>
      <c r="AD157" s="980">
        <v>2160</v>
      </c>
      <c r="AE157" s="980"/>
      <c r="AF157" s="980">
        <v>2160</v>
      </c>
      <c r="AG157" s="980"/>
      <c r="AH157" s="980"/>
      <c r="AI157" s="980"/>
      <c r="AJ157" s="980">
        <v>4160</v>
      </c>
      <c r="AK157" s="980"/>
      <c r="AL157" s="980"/>
      <c r="AM157" s="980">
        <v>2777</v>
      </c>
      <c r="AN157" s="980"/>
      <c r="AO157" s="980"/>
    </row>
    <row r="158" spans="16:41">
      <c r="P158" s="980"/>
      <c r="Q158" s="980"/>
      <c r="R158" s="980"/>
      <c r="S158" s="980"/>
      <c r="T158" s="980"/>
      <c r="U158" s="980"/>
      <c r="V158" s="980"/>
      <c r="W158" s="980"/>
      <c r="X158" s="980"/>
      <c r="Y158" s="980"/>
      <c r="Z158" s="980"/>
      <c r="AA158" s="980"/>
      <c r="AB158" s="980"/>
      <c r="AC158" s="980"/>
      <c r="AD158" s="980">
        <v>2161</v>
      </c>
      <c r="AE158" s="980"/>
      <c r="AF158" s="980">
        <v>2161</v>
      </c>
      <c r="AG158" s="980"/>
      <c r="AH158" s="980"/>
      <c r="AI158" s="980"/>
      <c r="AJ158" s="980">
        <v>4161</v>
      </c>
      <c r="AK158" s="980"/>
      <c r="AL158" s="980"/>
      <c r="AM158" s="980">
        <v>2778</v>
      </c>
      <c r="AN158" s="980"/>
      <c r="AO158" s="980"/>
    </row>
    <row r="159" spans="16:41">
      <c r="P159" s="980"/>
      <c r="Q159" s="980"/>
      <c r="R159" s="980"/>
      <c r="S159" s="980"/>
      <c r="T159" s="980"/>
      <c r="U159" s="980"/>
      <c r="V159" s="980"/>
      <c r="W159" s="980"/>
      <c r="X159" s="980"/>
      <c r="Y159" s="980"/>
      <c r="Z159" s="980"/>
      <c r="AA159" s="980"/>
      <c r="AB159" s="980"/>
      <c r="AC159" s="980"/>
      <c r="AD159" s="980">
        <v>2162</v>
      </c>
      <c r="AE159" s="980"/>
      <c r="AF159" s="980">
        <v>2162</v>
      </c>
      <c r="AG159" s="980"/>
      <c r="AH159" s="980"/>
      <c r="AI159" s="980"/>
      <c r="AJ159" s="980">
        <v>4162</v>
      </c>
      <c r="AK159" s="980"/>
      <c r="AL159" s="980"/>
      <c r="AM159" s="980">
        <v>2779</v>
      </c>
      <c r="AN159" s="980"/>
      <c r="AO159" s="980"/>
    </row>
    <row r="160" spans="16:41">
      <c r="P160" s="980"/>
      <c r="Q160" s="980"/>
      <c r="R160" s="980"/>
      <c r="S160" s="980"/>
      <c r="T160" s="980"/>
      <c r="U160" s="980"/>
      <c r="V160" s="980"/>
      <c r="W160" s="980"/>
      <c r="X160" s="980"/>
      <c r="Y160" s="980"/>
      <c r="Z160" s="980"/>
      <c r="AA160" s="980"/>
      <c r="AB160" s="980"/>
      <c r="AC160" s="980"/>
      <c r="AD160" s="980">
        <v>2163</v>
      </c>
      <c r="AE160" s="980"/>
      <c r="AF160" s="980">
        <v>2163</v>
      </c>
      <c r="AG160" s="980"/>
      <c r="AH160" s="980"/>
      <c r="AI160" s="980"/>
      <c r="AJ160" s="980">
        <v>4163</v>
      </c>
      <c r="AK160" s="980"/>
      <c r="AL160" s="980"/>
      <c r="AM160" s="980">
        <v>2780</v>
      </c>
      <c r="AN160" s="980"/>
      <c r="AO160" s="980"/>
    </row>
    <row r="161" spans="16:41">
      <c r="P161" s="980"/>
      <c r="Q161" s="980"/>
      <c r="R161" s="980"/>
      <c r="S161" s="980"/>
      <c r="T161" s="980"/>
      <c r="U161" s="980"/>
      <c r="V161" s="980"/>
      <c r="W161" s="980"/>
      <c r="X161" s="980"/>
      <c r="Y161" s="980"/>
      <c r="Z161" s="980"/>
      <c r="AA161" s="980"/>
      <c r="AB161" s="980"/>
      <c r="AC161" s="980"/>
      <c r="AD161" s="980">
        <v>2164</v>
      </c>
      <c r="AE161" s="980"/>
      <c r="AF161" s="980">
        <v>2164</v>
      </c>
      <c r="AG161" s="980"/>
      <c r="AH161" s="980"/>
      <c r="AI161" s="980"/>
      <c r="AJ161" s="980">
        <v>4164</v>
      </c>
      <c r="AK161" s="980"/>
      <c r="AL161" s="980"/>
      <c r="AM161" s="980">
        <v>2781</v>
      </c>
      <c r="AN161" s="980"/>
      <c r="AO161" s="980"/>
    </row>
    <row r="162" spans="16:41">
      <c r="P162" s="980"/>
      <c r="Q162" s="980"/>
      <c r="R162" s="980"/>
      <c r="S162" s="980"/>
      <c r="T162" s="980"/>
      <c r="U162" s="980"/>
      <c r="V162" s="980"/>
      <c r="W162" s="980"/>
      <c r="X162" s="980"/>
      <c r="Y162" s="980"/>
      <c r="Z162" s="980"/>
      <c r="AA162" s="980"/>
      <c r="AB162" s="980"/>
      <c r="AC162" s="980"/>
      <c r="AD162" s="980">
        <v>2165</v>
      </c>
      <c r="AE162" s="980"/>
      <c r="AF162" s="980">
        <v>2165</v>
      </c>
      <c r="AG162" s="980"/>
      <c r="AH162" s="980"/>
      <c r="AI162" s="980"/>
      <c r="AJ162" s="980">
        <v>4165</v>
      </c>
      <c r="AK162" s="980"/>
      <c r="AL162" s="980"/>
      <c r="AM162" s="980">
        <v>2782</v>
      </c>
      <c r="AN162" s="980"/>
      <c r="AO162" s="980"/>
    </row>
    <row r="163" spans="16:41">
      <c r="P163" s="980"/>
      <c r="Q163" s="980"/>
      <c r="R163" s="980"/>
      <c r="S163" s="980"/>
      <c r="T163" s="980"/>
      <c r="U163" s="980"/>
      <c r="V163" s="980"/>
      <c r="W163" s="980"/>
      <c r="X163" s="980"/>
      <c r="Y163" s="980"/>
      <c r="Z163" s="980"/>
      <c r="AA163" s="980"/>
      <c r="AB163" s="980"/>
      <c r="AC163" s="980"/>
      <c r="AD163" s="980">
        <v>2166</v>
      </c>
      <c r="AE163" s="980"/>
      <c r="AF163" s="980">
        <v>2166</v>
      </c>
      <c r="AG163" s="980"/>
      <c r="AH163" s="980"/>
      <c r="AI163" s="980"/>
      <c r="AJ163" s="980">
        <v>4166</v>
      </c>
      <c r="AK163" s="980"/>
      <c r="AL163" s="980"/>
      <c r="AM163" s="980">
        <v>2783</v>
      </c>
      <c r="AN163" s="980"/>
      <c r="AO163" s="980"/>
    </row>
    <row r="164" spans="16:41">
      <c r="P164" s="980"/>
      <c r="Q164" s="980"/>
      <c r="R164" s="980"/>
      <c r="S164" s="980"/>
      <c r="T164" s="980"/>
      <c r="U164" s="980"/>
      <c r="V164" s="980"/>
      <c r="W164" s="980"/>
      <c r="X164" s="980"/>
      <c r="Y164" s="980"/>
      <c r="Z164" s="980"/>
      <c r="AA164" s="980"/>
      <c r="AB164" s="980"/>
      <c r="AC164" s="980"/>
      <c r="AD164" s="980">
        <v>2167</v>
      </c>
      <c r="AE164" s="980"/>
      <c r="AF164" s="980">
        <v>2167</v>
      </c>
      <c r="AG164" s="980"/>
      <c r="AH164" s="980"/>
      <c r="AI164" s="980"/>
      <c r="AJ164" s="980">
        <v>4167</v>
      </c>
      <c r="AK164" s="980"/>
      <c r="AL164" s="980"/>
      <c r="AM164" s="980">
        <v>2784</v>
      </c>
      <c r="AN164" s="980"/>
      <c r="AO164" s="980"/>
    </row>
    <row r="165" spans="16:41">
      <c r="P165" s="980"/>
      <c r="Q165" s="980"/>
      <c r="R165" s="980"/>
      <c r="S165" s="980"/>
      <c r="T165" s="980"/>
      <c r="U165" s="980"/>
      <c r="V165" s="980"/>
      <c r="W165" s="980"/>
      <c r="X165" s="980"/>
      <c r="Y165" s="980"/>
      <c r="Z165" s="980"/>
      <c r="AA165" s="980"/>
      <c r="AB165" s="980"/>
      <c r="AC165" s="980"/>
      <c r="AD165" s="980">
        <v>2168</v>
      </c>
      <c r="AE165" s="980"/>
      <c r="AF165" s="980">
        <v>2168</v>
      </c>
      <c r="AG165" s="980"/>
      <c r="AH165" s="980"/>
      <c r="AI165" s="980"/>
      <c r="AJ165" s="980">
        <v>4168</v>
      </c>
      <c r="AK165" s="980"/>
      <c r="AL165" s="980"/>
      <c r="AM165" s="980">
        <v>2785</v>
      </c>
      <c r="AN165" s="980"/>
      <c r="AO165" s="980"/>
    </row>
    <row r="166" spans="16:41">
      <c r="P166" s="980"/>
      <c r="Q166" s="980"/>
      <c r="R166" s="980"/>
      <c r="S166" s="980"/>
      <c r="T166" s="980"/>
      <c r="U166" s="980"/>
      <c r="V166" s="980"/>
      <c r="W166" s="980"/>
      <c r="X166" s="980"/>
      <c r="Y166" s="980"/>
      <c r="Z166" s="980"/>
      <c r="AA166" s="980"/>
      <c r="AB166" s="980"/>
      <c r="AC166" s="980"/>
      <c r="AD166" s="980">
        <v>2169</v>
      </c>
      <c r="AE166" s="980"/>
      <c r="AF166" s="980">
        <v>2169</v>
      </c>
      <c r="AG166" s="980"/>
      <c r="AH166" s="980"/>
      <c r="AI166" s="980"/>
      <c r="AJ166" s="980">
        <v>4169</v>
      </c>
      <c r="AK166" s="980"/>
      <c r="AL166" s="980"/>
      <c r="AM166" s="980">
        <v>2795</v>
      </c>
      <c r="AN166" s="980"/>
      <c r="AO166" s="980"/>
    </row>
    <row r="167" spans="16:41">
      <c r="P167" s="980"/>
      <c r="Q167" s="980"/>
      <c r="R167" s="980"/>
      <c r="S167" s="980"/>
      <c r="T167" s="980"/>
      <c r="U167" s="980"/>
      <c r="V167" s="980"/>
      <c r="W167" s="980"/>
      <c r="X167" s="980"/>
      <c r="Y167" s="980"/>
      <c r="Z167" s="980"/>
      <c r="AA167" s="980"/>
      <c r="AB167" s="980"/>
      <c r="AC167" s="980"/>
      <c r="AD167" s="980">
        <v>2170</v>
      </c>
      <c r="AE167" s="980"/>
      <c r="AF167" s="980">
        <v>2170</v>
      </c>
      <c r="AG167" s="980"/>
      <c r="AH167" s="980"/>
      <c r="AI167" s="980"/>
      <c r="AJ167" s="980">
        <v>4170</v>
      </c>
      <c r="AK167" s="980"/>
      <c r="AL167" s="980"/>
      <c r="AM167" s="980">
        <v>2830</v>
      </c>
      <c r="AN167" s="980"/>
      <c r="AO167" s="980"/>
    </row>
    <row r="168" spans="16:41">
      <c r="P168" s="980"/>
      <c r="Q168" s="980"/>
      <c r="R168" s="980"/>
      <c r="S168" s="980"/>
      <c r="T168" s="980"/>
      <c r="U168" s="980"/>
      <c r="V168" s="980"/>
      <c r="W168" s="980"/>
      <c r="X168" s="980"/>
      <c r="Y168" s="980"/>
      <c r="Z168" s="980"/>
      <c r="AA168" s="980"/>
      <c r="AB168" s="980"/>
      <c r="AC168" s="980"/>
      <c r="AD168" s="980">
        <v>2171</v>
      </c>
      <c r="AE168" s="980"/>
      <c r="AF168" s="980">
        <v>2171</v>
      </c>
      <c r="AG168" s="980"/>
      <c r="AH168" s="980"/>
      <c r="AI168" s="980"/>
      <c r="AJ168" s="980">
        <v>4171</v>
      </c>
      <c r="AK168" s="980"/>
      <c r="AL168" s="980"/>
      <c r="AM168" s="980">
        <v>2907</v>
      </c>
      <c r="AN168" s="980"/>
      <c r="AO168" s="980"/>
    </row>
    <row r="169" spans="16:41">
      <c r="P169" s="980"/>
      <c r="Q169" s="980"/>
      <c r="R169" s="980"/>
      <c r="S169" s="980"/>
      <c r="T169" s="980"/>
      <c r="U169" s="980"/>
      <c r="V169" s="980"/>
      <c r="W169" s="980"/>
      <c r="X169" s="980"/>
      <c r="Y169" s="980"/>
      <c r="Z169" s="980"/>
      <c r="AA169" s="980"/>
      <c r="AB169" s="980"/>
      <c r="AC169" s="980"/>
      <c r="AD169" s="980">
        <v>2172</v>
      </c>
      <c r="AE169" s="980"/>
      <c r="AF169" s="980">
        <v>2172</v>
      </c>
      <c r="AG169" s="980"/>
      <c r="AH169" s="980"/>
      <c r="AI169" s="980"/>
      <c r="AJ169" s="980">
        <v>4172</v>
      </c>
      <c r="AK169" s="980"/>
      <c r="AL169" s="980"/>
      <c r="AM169" s="980">
        <v>2908</v>
      </c>
      <c r="AN169" s="980"/>
      <c r="AO169" s="980"/>
    </row>
    <row r="170" spans="16:41">
      <c r="P170" s="980"/>
      <c r="Q170" s="980"/>
      <c r="R170" s="980"/>
      <c r="S170" s="980"/>
      <c r="T170" s="980"/>
      <c r="U170" s="980"/>
      <c r="V170" s="980"/>
      <c r="W170" s="980"/>
      <c r="X170" s="980"/>
      <c r="Y170" s="980"/>
      <c r="Z170" s="980"/>
      <c r="AA170" s="980"/>
      <c r="AB170" s="980"/>
      <c r="AC170" s="980"/>
      <c r="AD170" s="980">
        <v>2173</v>
      </c>
      <c r="AE170" s="980"/>
      <c r="AF170" s="980">
        <v>2173</v>
      </c>
      <c r="AG170" s="980"/>
      <c r="AH170" s="980"/>
      <c r="AI170" s="980"/>
      <c r="AJ170" s="980">
        <v>4173</v>
      </c>
      <c r="AK170" s="980"/>
      <c r="AL170" s="980"/>
      <c r="AM170" s="980">
        <v>2909</v>
      </c>
      <c r="AN170" s="980"/>
      <c r="AO170" s="980"/>
    </row>
    <row r="171" spans="16:41">
      <c r="P171" s="980"/>
      <c r="Q171" s="980"/>
      <c r="R171" s="980"/>
      <c r="S171" s="980"/>
      <c r="T171" s="980"/>
      <c r="U171" s="980"/>
      <c r="V171" s="980"/>
      <c r="W171" s="980"/>
      <c r="X171" s="980"/>
      <c r="Y171" s="980"/>
      <c r="Z171" s="980"/>
      <c r="AA171" s="980"/>
      <c r="AB171" s="980"/>
      <c r="AC171" s="980"/>
      <c r="AD171" s="980">
        <v>2174</v>
      </c>
      <c r="AE171" s="980"/>
      <c r="AF171" s="980">
        <v>2174</v>
      </c>
      <c r="AG171" s="980"/>
      <c r="AH171" s="980"/>
      <c r="AI171" s="980"/>
      <c r="AJ171" s="980">
        <v>4174</v>
      </c>
      <c r="AK171" s="980"/>
      <c r="AL171" s="980"/>
      <c r="AM171" s="980">
        <v>2910</v>
      </c>
      <c r="AN171" s="980"/>
      <c r="AO171" s="980"/>
    </row>
    <row r="172" spans="16:41">
      <c r="P172" s="980"/>
      <c r="Q172" s="980"/>
      <c r="R172" s="980"/>
      <c r="S172" s="980"/>
      <c r="T172" s="980"/>
      <c r="U172" s="980"/>
      <c r="V172" s="980"/>
      <c r="W172" s="980"/>
      <c r="X172" s="980"/>
      <c r="Y172" s="980"/>
      <c r="Z172" s="980"/>
      <c r="AA172" s="980"/>
      <c r="AB172" s="980"/>
      <c r="AC172" s="980"/>
      <c r="AD172" s="980">
        <v>2175</v>
      </c>
      <c r="AE172" s="980"/>
      <c r="AF172" s="980">
        <v>2175</v>
      </c>
      <c r="AG172" s="980"/>
      <c r="AH172" s="980"/>
      <c r="AI172" s="980"/>
      <c r="AJ172" s="980">
        <v>4175</v>
      </c>
      <c r="AK172" s="980"/>
      <c r="AL172" s="980"/>
      <c r="AM172" s="980">
        <v>3211</v>
      </c>
      <c r="AN172" s="980"/>
      <c r="AO172" s="980"/>
    </row>
    <row r="173" spans="16:41">
      <c r="P173" s="980"/>
      <c r="Q173" s="980"/>
      <c r="R173" s="980"/>
      <c r="S173" s="980"/>
      <c r="T173" s="980"/>
      <c r="U173" s="980"/>
      <c r="V173" s="980"/>
      <c r="W173" s="980"/>
      <c r="X173" s="980"/>
      <c r="Y173" s="980"/>
      <c r="Z173" s="980"/>
      <c r="AA173" s="980"/>
      <c r="AB173" s="980"/>
      <c r="AC173" s="980"/>
      <c r="AD173" s="980">
        <v>2176</v>
      </c>
      <c r="AE173" s="980"/>
      <c r="AF173" s="980">
        <v>2176</v>
      </c>
      <c r="AG173" s="980"/>
      <c r="AH173" s="980"/>
      <c r="AI173" s="980"/>
      <c r="AJ173" s="980">
        <v>4176</v>
      </c>
      <c r="AK173" s="980"/>
      <c r="AL173" s="980" t="s">
        <v>322</v>
      </c>
      <c r="AM173" s="980">
        <v>3212</v>
      </c>
      <c r="AN173" s="980"/>
      <c r="AO173" s="980"/>
    </row>
    <row r="174" spans="16:41">
      <c r="P174" s="980"/>
      <c r="Q174" s="980"/>
      <c r="R174" s="980"/>
      <c r="S174" s="980"/>
      <c r="T174" s="980"/>
      <c r="U174" s="980"/>
      <c r="V174" s="980"/>
      <c r="W174" s="980"/>
      <c r="X174" s="980"/>
      <c r="Y174" s="980"/>
      <c r="Z174" s="980"/>
      <c r="AA174" s="980"/>
      <c r="AB174" s="980"/>
      <c r="AC174" s="980"/>
      <c r="AD174" s="980">
        <v>2177</v>
      </c>
      <c r="AE174" s="980"/>
      <c r="AF174" s="980">
        <v>2177</v>
      </c>
      <c r="AG174" s="980"/>
      <c r="AH174" s="980"/>
      <c r="AI174" s="980"/>
      <c r="AJ174" s="980">
        <v>4177</v>
      </c>
      <c r="AK174" s="980"/>
      <c r="AL174" s="980"/>
      <c r="AM174" s="980">
        <v>3213</v>
      </c>
      <c r="AN174" s="980"/>
      <c r="AO174" s="980"/>
    </row>
    <row r="175" spans="16:41">
      <c r="P175" s="980"/>
      <c r="Q175" s="980"/>
      <c r="R175" s="980"/>
      <c r="S175" s="980"/>
      <c r="T175" s="980"/>
      <c r="U175" s="980"/>
      <c r="V175" s="980"/>
      <c r="W175" s="980"/>
      <c r="X175" s="980"/>
      <c r="Y175" s="980"/>
      <c r="Z175" s="980"/>
      <c r="AA175" s="980"/>
      <c r="AB175" s="980"/>
      <c r="AC175" s="980"/>
      <c r="AD175" s="980">
        <v>2178</v>
      </c>
      <c r="AE175" s="980"/>
      <c r="AF175" s="980">
        <v>2178</v>
      </c>
      <c r="AG175" s="980"/>
      <c r="AH175" s="980"/>
      <c r="AI175" s="980"/>
      <c r="AJ175" s="980">
        <v>4178</v>
      </c>
      <c r="AK175" s="980"/>
      <c r="AL175" s="980"/>
      <c r="AM175" s="980">
        <v>3214</v>
      </c>
      <c r="AN175" s="980"/>
      <c r="AO175" s="980"/>
    </row>
    <row r="176" spans="16:41">
      <c r="P176" s="980"/>
      <c r="Q176" s="980"/>
      <c r="R176" s="980"/>
      <c r="S176" s="980"/>
      <c r="T176" s="980"/>
      <c r="U176" s="980"/>
      <c r="V176" s="980"/>
      <c r="W176" s="980"/>
      <c r="X176" s="980"/>
      <c r="Y176" s="980"/>
      <c r="Z176" s="980"/>
      <c r="AA176" s="980"/>
      <c r="AB176" s="980"/>
      <c r="AC176" s="980"/>
      <c r="AD176" s="980">
        <v>2179</v>
      </c>
      <c r="AE176" s="980"/>
      <c r="AF176" s="980">
        <v>2179</v>
      </c>
      <c r="AG176" s="980"/>
      <c r="AH176" s="980"/>
      <c r="AI176" s="980"/>
      <c r="AJ176" s="980">
        <v>4179</v>
      </c>
      <c r="AK176" s="980"/>
      <c r="AL176" s="980"/>
      <c r="AM176" s="980">
        <v>3215</v>
      </c>
      <c r="AN176" s="980"/>
      <c r="AO176" s="980"/>
    </row>
    <row r="177" spans="30:40">
      <c r="AD177">
        <v>2180</v>
      </c>
      <c r="AF177">
        <v>2180</v>
      </c>
      <c r="AJ177">
        <v>4205</v>
      </c>
      <c r="AM177">
        <v>3216</v>
      </c>
      <c r="AN177" s="980"/>
    </row>
    <row r="178" spans="30:40">
      <c r="AD178">
        <v>2181</v>
      </c>
      <c r="AF178">
        <v>2181</v>
      </c>
      <c r="AJ178">
        <v>4206</v>
      </c>
      <c r="AM178">
        <v>3218</v>
      </c>
      <c r="AN178" s="980"/>
    </row>
    <row r="179" spans="30:40">
      <c r="AD179">
        <v>2182</v>
      </c>
      <c r="AF179">
        <v>2182</v>
      </c>
      <c r="AJ179">
        <v>4207</v>
      </c>
      <c r="AM179">
        <v>3219</v>
      </c>
      <c r="AN179" s="980"/>
    </row>
    <row r="180" spans="30:40">
      <c r="AD180">
        <v>2183</v>
      </c>
      <c r="AF180">
        <v>2183</v>
      </c>
      <c r="AJ180">
        <v>4208</v>
      </c>
      <c r="AM180">
        <v>3220</v>
      </c>
      <c r="AN180" s="980"/>
    </row>
    <row r="181" spans="30:40">
      <c r="AD181">
        <v>2184</v>
      </c>
      <c r="AF181">
        <v>2184</v>
      </c>
      <c r="AJ181">
        <v>4209</v>
      </c>
      <c r="AM181">
        <v>3221</v>
      </c>
      <c r="AN181" s="980"/>
    </row>
    <row r="182" spans="30:40">
      <c r="AD182">
        <v>2185</v>
      </c>
      <c r="AF182">
        <v>2185</v>
      </c>
      <c r="AJ182">
        <v>4210</v>
      </c>
      <c r="AL182" t="s">
        <v>320</v>
      </c>
      <c r="AM182">
        <v>3222</v>
      </c>
      <c r="AN182" s="980"/>
    </row>
    <row r="183" spans="30:40">
      <c r="AD183">
        <v>2186</v>
      </c>
      <c r="AF183">
        <v>2186</v>
      </c>
      <c r="AJ183">
        <v>4211</v>
      </c>
      <c r="AM183">
        <v>3223</v>
      </c>
      <c r="AN183" s="980"/>
    </row>
    <row r="184" spans="30:40">
      <c r="AD184">
        <v>2187</v>
      </c>
      <c r="AF184">
        <v>2187</v>
      </c>
      <c r="AJ184">
        <v>4212</v>
      </c>
      <c r="AM184">
        <v>3224</v>
      </c>
      <c r="AN184" s="980"/>
    </row>
    <row r="185" spans="30:40">
      <c r="AD185">
        <v>2188</v>
      </c>
      <c r="AF185">
        <v>2188</v>
      </c>
      <c r="AJ185">
        <v>4213</v>
      </c>
      <c r="AM185">
        <v>3225</v>
      </c>
      <c r="AN185" s="980"/>
    </row>
    <row r="186" spans="30:40">
      <c r="AD186">
        <v>2189</v>
      </c>
      <c r="AF186">
        <v>2189</v>
      </c>
      <c r="AJ186">
        <v>4214</v>
      </c>
      <c r="AM186">
        <v>3226</v>
      </c>
      <c r="AN186" s="980"/>
    </row>
    <row r="187" spans="30:40">
      <c r="AD187">
        <v>2190</v>
      </c>
      <c r="AF187">
        <v>2190</v>
      </c>
      <c r="AJ187">
        <v>4215</v>
      </c>
      <c r="AM187">
        <v>3227</v>
      </c>
      <c r="AN187" s="980"/>
    </row>
    <row r="188" spans="30:40">
      <c r="AD188">
        <v>2191</v>
      </c>
      <c r="AF188">
        <v>2191</v>
      </c>
      <c r="AJ188">
        <v>4216</v>
      </c>
      <c r="AM188">
        <v>3228</v>
      </c>
      <c r="AN188" s="980"/>
    </row>
    <row r="189" spans="30:40">
      <c r="AD189">
        <v>2192</v>
      </c>
      <c r="AF189">
        <v>2192</v>
      </c>
      <c r="AJ189">
        <v>4217</v>
      </c>
      <c r="AM189">
        <v>3232</v>
      </c>
      <c r="AN189" s="980"/>
    </row>
    <row r="190" spans="30:40">
      <c r="AD190">
        <v>2193</v>
      </c>
      <c r="AF190">
        <v>2193</v>
      </c>
      <c r="AJ190">
        <v>4218</v>
      </c>
      <c r="AM190">
        <v>3233</v>
      </c>
      <c r="AN190" s="980"/>
    </row>
    <row r="191" spans="30:40">
      <c r="AD191">
        <v>2194</v>
      </c>
      <c r="AF191">
        <v>2194</v>
      </c>
      <c r="AJ191">
        <v>4219</v>
      </c>
      <c r="AM191">
        <v>3234</v>
      </c>
      <c r="AN191" s="980"/>
    </row>
    <row r="192" spans="30:40">
      <c r="AD192">
        <v>2195</v>
      </c>
      <c r="AF192">
        <v>2195</v>
      </c>
      <c r="AJ192">
        <v>4220</v>
      </c>
      <c r="AM192">
        <v>3335</v>
      </c>
      <c r="AN192" s="980"/>
    </row>
    <row r="193" spans="30:40">
      <c r="AD193">
        <v>2196</v>
      </c>
      <c r="AF193">
        <v>2196</v>
      </c>
      <c r="AJ193">
        <v>4221</v>
      </c>
      <c r="AM193">
        <v>3336</v>
      </c>
      <c r="AN193" s="980"/>
    </row>
    <row r="194" spans="30:40">
      <c r="AD194">
        <v>2197</v>
      </c>
      <c r="AF194">
        <v>2197</v>
      </c>
      <c r="AJ194">
        <v>4223</v>
      </c>
      <c r="AM194">
        <v>3337</v>
      </c>
      <c r="AN194" s="980"/>
    </row>
    <row r="195" spans="30:40">
      <c r="AD195">
        <v>2198</v>
      </c>
      <c r="AF195">
        <v>2198</v>
      </c>
      <c r="AJ195">
        <v>4224</v>
      </c>
      <c r="AM195">
        <v>3338</v>
      </c>
      <c r="AN195" s="980"/>
    </row>
    <row r="196" spans="30:40">
      <c r="AD196">
        <v>2199</v>
      </c>
      <c r="AF196">
        <v>2199</v>
      </c>
      <c r="AJ196">
        <v>4225</v>
      </c>
      <c r="AM196">
        <v>3339</v>
      </c>
      <c r="AN196" s="980"/>
    </row>
    <row r="197" spans="30:40">
      <c r="AD197">
        <v>2200</v>
      </c>
      <c r="AF197">
        <v>2200</v>
      </c>
      <c r="AJ197">
        <v>4226</v>
      </c>
      <c r="AM197">
        <v>3340</v>
      </c>
      <c r="AN197" s="980"/>
    </row>
    <row r="198" spans="30:40">
      <c r="AD198">
        <v>2201</v>
      </c>
      <c r="AF198">
        <v>2201</v>
      </c>
      <c r="AJ198">
        <v>4227</v>
      </c>
      <c r="AM198">
        <v>3341</v>
      </c>
      <c r="AN198" s="980"/>
    </row>
    <row r="199" spans="30:40">
      <c r="AD199">
        <v>2202</v>
      </c>
      <c r="AF199">
        <v>2202</v>
      </c>
      <c r="AJ199">
        <v>4228</v>
      </c>
      <c r="AM199">
        <v>3429</v>
      </c>
      <c r="AN199" s="980"/>
    </row>
    <row r="200" spans="30:40">
      <c r="AD200">
        <v>2203</v>
      </c>
      <c r="AF200">
        <v>2203</v>
      </c>
      <c r="AJ200">
        <v>4229</v>
      </c>
      <c r="AM200">
        <v>3690</v>
      </c>
      <c r="AN200" s="980"/>
    </row>
    <row r="201" spans="30:40">
      <c r="AD201">
        <v>2204</v>
      </c>
      <c r="AF201">
        <v>2204</v>
      </c>
      <c r="AJ201">
        <v>2600</v>
      </c>
      <c r="AM201">
        <v>3750</v>
      </c>
      <c r="AN201" s="980"/>
    </row>
    <row r="202" spans="30:40">
      <c r="AD202">
        <v>2205</v>
      </c>
      <c r="AF202">
        <v>2205</v>
      </c>
      <c r="AJ202">
        <v>2601</v>
      </c>
      <c r="AM202">
        <v>3751</v>
      </c>
      <c r="AN202" s="980"/>
    </row>
    <row r="203" spans="30:40">
      <c r="AD203">
        <v>2206</v>
      </c>
      <c r="AF203">
        <v>2206</v>
      </c>
      <c r="AJ203">
        <v>2602</v>
      </c>
      <c r="AM203">
        <v>3752</v>
      </c>
      <c r="AN203" s="980"/>
    </row>
    <row r="204" spans="30:40">
      <c r="AD204">
        <v>2207</v>
      </c>
      <c r="AF204">
        <v>2207</v>
      </c>
      <c r="AJ204">
        <v>2603</v>
      </c>
      <c r="AM204">
        <v>3753</v>
      </c>
      <c r="AN204" s="980"/>
    </row>
    <row r="205" spans="30:40">
      <c r="AD205">
        <v>2208</v>
      </c>
      <c r="AF205">
        <v>2208</v>
      </c>
      <c r="AJ205">
        <v>2604</v>
      </c>
      <c r="AM205">
        <v>3754</v>
      </c>
      <c r="AN205" s="980"/>
    </row>
    <row r="206" spans="30:40">
      <c r="AD206">
        <v>2209</v>
      </c>
      <c r="AF206">
        <v>2209</v>
      </c>
      <c r="AJ206">
        <v>2605</v>
      </c>
      <c r="AM206">
        <v>3755</v>
      </c>
      <c r="AN206" s="980"/>
    </row>
    <row r="207" spans="30:40">
      <c r="AD207">
        <v>2210</v>
      </c>
      <c r="AF207">
        <v>2210</v>
      </c>
      <c r="AJ207">
        <v>2606</v>
      </c>
      <c r="AM207">
        <v>3765</v>
      </c>
      <c r="AN207" s="980"/>
    </row>
    <row r="208" spans="30:40">
      <c r="AD208">
        <v>2211</v>
      </c>
      <c r="AF208">
        <v>2211</v>
      </c>
      <c r="AJ208">
        <v>2607</v>
      </c>
      <c r="AM208">
        <v>3766</v>
      </c>
      <c r="AN208" s="980"/>
    </row>
    <row r="209" spans="30:40">
      <c r="AD209">
        <v>2212</v>
      </c>
      <c r="AF209">
        <v>2212</v>
      </c>
      <c r="AJ209">
        <v>2608</v>
      </c>
      <c r="AM209">
        <v>3767</v>
      </c>
      <c r="AN209" s="980"/>
    </row>
    <row r="210" spans="30:40">
      <c r="AD210">
        <v>2213</v>
      </c>
      <c r="AF210">
        <v>2213</v>
      </c>
      <c r="AJ210">
        <v>2609</v>
      </c>
      <c r="AM210">
        <v>3781</v>
      </c>
      <c r="AN210" s="980"/>
    </row>
    <row r="211" spans="30:40">
      <c r="AD211">
        <v>2214</v>
      </c>
      <c r="AF211">
        <v>2214</v>
      </c>
      <c r="AI211" t="s">
        <v>323</v>
      </c>
      <c r="AJ211">
        <v>2610</v>
      </c>
      <c r="AM211">
        <v>3782</v>
      </c>
      <c r="AN211" s="980"/>
    </row>
    <row r="212" spans="30:40">
      <c r="AD212">
        <v>2215</v>
      </c>
      <c r="AF212">
        <v>2215</v>
      </c>
      <c r="AJ212">
        <v>2611</v>
      </c>
      <c r="AM212">
        <v>3783</v>
      </c>
      <c r="AN212" s="980"/>
    </row>
    <row r="213" spans="30:40">
      <c r="AD213">
        <v>2216</v>
      </c>
      <c r="AF213">
        <v>2216</v>
      </c>
      <c r="AJ213">
        <v>2612</v>
      </c>
      <c r="AM213">
        <v>3784</v>
      </c>
      <c r="AN213" s="980"/>
    </row>
    <row r="214" spans="30:40">
      <c r="AD214">
        <v>2217</v>
      </c>
      <c r="AF214">
        <v>2217</v>
      </c>
      <c r="AJ214">
        <v>2900</v>
      </c>
      <c r="AM214">
        <v>3785</v>
      </c>
      <c r="AN214" s="980"/>
    </row>
    <row r="215" spans="30:40">
      <c r="AD215">
        <v>2218</v>
      </c>
      <c r="AF215">
        <v>2218</v>
      </c>
      <c r="AJ215">
        <v>2901</v>
      </c>
      <c r="AM215">
        <v>3786</v>
      </c>
      <c r="AN215" s="980"/>
    </row>
    <row r="216" spans="30:40">
      <c r="AD216">
        <v>2219</v>
      </c>
      <c r="AF216">
        <v>2219</v>
      </c>
      <c r="AJ216">
        <v>2902</v>
      </c>
      <c r="AM216">
        <v>3787</v>
      </c>
      <c r="AN216" s="980"/>
    </row>
    <row r="217" spans="30:40">
      <c r="AD217">
        <v>2220</v>
      </c>
      <c r="AF217">
        <v>2220</v>
      </c>
      <c r="AJ217">
        <v>2903</v>
      </c>
      <c r="AM217">
        <v>3788</v>
      </c>
      <c r="AN217" s="980"/>
    </row>
    <row r="218" spans="30:40">
      <c r="AD218">
        <v>2221</v>
      </c>
      <c r="AF218">
        <v>2221</v>
      </c>
      <c r="AJ218">
        <v>2904</v>
      </c>
      <c r="AM218">
        <v>3789</v>
      </c>
      <c r="AN218" s="980"/>
    </row>
    <row r="219" spans="30:40">
      <c r="AD219">
        <v>2222</v>
      </c>
      <c r="AF219">
        <v>2222</v>
      </c>
      <c r="AJ219">
        <v>2905</v>
      </c>
      <c r="AM219">
        <v>3790</v>
      </c>
      <c r="AN219" s="980"/>
    </row>
    <row r="220" spans="30:40">
      <c r="AD220">
        <v>2223</v>
      </c>
      <c r="AF220">
        <v>2223</v>
      </c>
      <c r="AJ220">
        <v>2906</v>
      </c>
      <c r="AM220">
        <v>3791</v>
      </c>
      <c r="AN220" s="980"/>
    </row>
    <row r="221" spans="30:40">
      <c r="AD221">
        <v>2224</v>
      </c>
      <c r="AF221">
        <v>2224</v>
      </c>
      <c r="AJ221">
        <v>2907</v>
      </c>
      <c r="AM221">
        <v>3792</v>
      </c>
      <c r="AN221" s="980"/>
    </row>
    <row r="222" spans="30:40">
      <c r="AD222">
        <v>2225</v>
      </c>
      <c r="AF222">
        <v>2225</v>
      </c>
      <c r="AJ222">
        <v>2908</v>
      </c>
      <c r="AM222">
        <v>3793</v>
      </c>
      <c r="AN222" s="980"/>
    </row>
    <row r="223" spans="30:40">
      <c r="AD223">
        <v>2226</v>
      </c>
      <c r="AF223">
        <v>2226</v>
      </c>
      <c r="AJ223">
        <v>2909</v>
      </c>
      <c r="AM223">
        <v>3794</v>
      </c>
      <c r="AN223" s="980"/>
    </row>
    <row r="224" spans="30:40">
      <c r="AD224">
        <v>2227</v>
      </c>
      <c r="AF224">
        <v>2227</v>
      </c>
      <c r="AJ224">
        <v>2910</v>
      </c>
      <c r="AM224">
        <v>3795</v>
      </c>
      <c r="AN224" s="980"/>
    </row>
    <row r="225" spans="30:40">
      <c r="AD225">
        <v>2228</v>
      </c>
      <c r="AF225">
        <v>2228</v>
      </c>
      <c r="AJ225">
        <v>2911</v>
      </c>
      <c r="AM225">
        <v>3796</v>
      </c>
      <c r="AN225" s="980"/>
    </row>
    <row r="226" spans="30:40">
      <c r="AD226">
        <v>2229</v>
      </c>
      <c r="AF226">
        <v>2229</v>
      </c>
      <c r="AJ226">
        <v>2912</v>
      </c>
      <c r="AM226">
        <v>3802</v>
      </c>
      <c r="AN226" s="980"/>
    </row>
    <row r="227" spans="30:40">
      <c r="AD227">
        <v>2230</v>
      </c>
      <c r="AF227">
        <v>2230</v>
      </c>
      <c r="AJ227">
        <v>2913</v>
      </c>
      <c r="AM227">
        <v>3803</v>
      </c>
      <c r="AN227" s="980"/>
    </row>
    <row r="228" spans="30:40">
      <c r="AD228">
        <v>2231</v>
      </c>
      <c r="AF228">
        <v>2231</v>
      </c>
      <c r="AJ228">
        <v>2914</v>
      </c>
      <c r="AM228">
        <v>3804</v>
      </c>
      <c r="AN228" s="980"/>
    </row>
    <row r="229" spans="30:40">
      <c r="AD229">
        <v>2232</v>
      </c>
      <c r="AF229">
        <v>2232</v>
      </c>
      <c r="AJ229">
        <v>5007</v>
      </c>
      <c r="AM229">
        <v>3805</v>
      </c>
      <c r="AN229" s="980"/>
    </row>
    <row r="230" spans="30:40">
      <c r="AD230">
        <v>2233</v>
      </c>
      <c r="AF230">
        <v>2233</v>
      </c>
      <c r="AJ230">
        <v>5008</v>
      </c>
      <c r="AM230">
        <v>3806</v>
      </c>
      <c r="AN230" s="980"/>
    </row>
    <row r="231" spans="30:40">
      <c r="AD231">
        <v>2234</v>
      </c>
      <c r="AF231">
        <v>2234</v>
      </c>
      <c r="AJ231">
        <v>5009</v>
      </c>
      <c r="AM231">
        <v>3807</v>
      </c>
      <c r="AN231" s="980"/>
    </row>
    <row r="232" spans="30:40">
      <c r="AD232">
        <v>2745</v>
      </c>
      <c r="AF232">
        <v>2745</v>
      </c>
      <c r="AJ232">
        <v>5010</v>
      </c>
      <c r="AM232">
        <v>3808</v>
      </c>
      <c r="AN232" s="980"/>
    </row>
    <row r="233" spans="30:40">
      <c r="AD233">
        <v>2747</v>
      </c>
      <c r="AF233">
        <v>2747</v>
      </c>
      <c r="AJ233">
        <v>5011</v>
      </c>
      <c r="AM233">
        <v>3809</v>
      </c>
      <c r="AN233" s="980"/>
    </row>
    <row r="234" spans="30:40">
      <c r="AD234">
        <v>2749</v>
      </c>
      <c r="AF234">
        <v>2749</v>
      </c>
      <c r="AJ234">
        <v>5012</v>
      </c>
      <c r="AM234">
        <v>3810</v>
      </c>
      <c r="AN234" s="980"/>
    </row>
    <row r="235" spans="30:40">
      <c r="AD235">
        <v>2750</v>
      </c>
      <c r="AF235">
        <v>2750</v>
      </c>
      <c r="AJ235">
        <v>5013</v>
      </c>
      <c r="AM235">
        <v>3812</v>
      </c>
      <c r="AN235" s="980"/>
    </row>
    <row r="236" spans="30:40">
      <c r="AD236">
        <v>2753</v>
      </c>
      <c r="AF236">
        <v>2753</v>
      </c>
      <c r="AJ236">
        <v>5014</v>
      </c>
      <c r="AM236">
        <v>3910</v>
      </c>
      <c r="AN236" s="980"/>
    </row>
    <row r="237" spans="30:40">
      <c r="AD237">
        <v>2754</v>
      </c>
      <c r="AF237">
        <v>2754</v>
      </c>
      <c r="AJ237">
        <v>5015</v>
      </c>
      <c r="AM237">
        <v>3911</v>
      </c>
      <c r="AN237" s="980"/>
    </row>
    <row r="238" spans="30:40">
      <c r="AD238">
        <v>2756</v>
      </c>
      <c r="AF238">
        <v>2756</v>
      </c>
      <c r="AJ238">
        <v>5016</v>
      </c>
      <c r="AM238">
        <v>3912</v>
      </c>
      <c r="AN238" s="980"/>
    </row>
    <row r="239" spans="30:40">
      <c r="AD239">
        <v>2758</v>
      </c>
      <c r="AF239">
        <v>2758</v>
      </c>
      <c r="AJ239">
        <v>5017</v>
      </c>
      <c r="AM239">
        <v>3913</v>
      </c>
      <c r="AN239" s="980"/>
    </row>
    <row r="240" spans="30:40">
      <c r="AD240">
        <v>2759</v>
      </c>
      <c r="AF240">
        <v>2759</v>
      </c>
      <c r="AJ240">
        <v>5018</v>
      </c>
      <c r="AM240">
        <v>3914</v>
      </c>
      <c r="AN240" s="980"/>
    </row>
    <row r="241" spans="29:40">
      <c r="AD241">
        <v>2760</v>
      </c>
      <c r="AF241">
        <v>2760</v>
      </c>
      <c r="AJ241">
        <v>5019</v>
      </c>
      <c r="AM241">
        <v>3915</v>
      </c>
      <c r="AN241" s="980"/>
    </row>
    <row r="242" spans="29:40">
      <c r="AD242">
        <v>2761</v>
      </c>
      <c r="AF242">
        <v>2761</v>
      </c>
      <c r="AJ242">
        <v>5020</v>
      </c>
      <c r="AM242">
        <v>3916</v>
      </c>
      <c r="AN242" s="980"/>
    </row>
    <row r="243" spans="29:40">
      <c r="AD243">
        <v>2763</v>
      </c>
      <c r="AF243">
        <v>2763</v>
      </c>
      <c r="AJ243">
        <v>5021</v>
      </c>
      <c r="AM243">
        <v>3917</v>
      </c>
      <c r="AN243" s="980"/>
    </row>
    <row r="244" spans="29:40">
      <c r="AD244">
        <v>2765</v>
      </c>
      <c r="AF244">
        <v>2765</v>
      </c>
      <c r="AJ244">
        <v>5022</v>
      </c>
      <c r="AM244">
        <v>3918</v>
      </c>
      <c r="AN244" s="980"/>
    </row>
    <row r="245" spans="29:40">
      <c r="AD245">
        <v>2766</v>
      </c>
      <c r="AF245">
        <v>2766</v>
      </c>
      <c r="AJ245">
        <v>5023</v>
      </c>
      <c r="AM245">
        <v>3919</v>
      </c>
      <c r="AN245" s="980"/>
    </row>
    <row r="246" spans="29:40">
      <c r="AC246" t="s">
        <v>322</v>
      </c>
      <c r="AD246">
        <v>2768</v>
      </c>
      <c r="AF246">
        <v>2768</v>
      </c>
      <c r="AJ246">
        <v>5024</v>
      </c>
      <c r="AM246">
        <v>3920</v>
      </c>
      <c r="AN246" s="980"/>
    </row>
    <row r="247" spans="29:40">
      <c r="AD247">
        <v>2770</v>
      </c>
      <c r="AF247">
        <v>2770</v>
      </c>
      <c r="AJ247">
        <v>5025</v>
      </c>
      <c r="AM247">
        <v>3926</v>
      </c>
      <c r="AN247" s="980"/>
    </row>
    <row r="248" spans="29:40">
      <c r="AD248">
        <v>2234</v>
      </c>
      <c r="AF248">
        <v>2234</v>
      </c>
      <c r="AJ248">
        <v>5026</v>
      </c>
      <c r="AM248">
        <v>3927</v>
      </c>
      <c r="AN248" s="980"/>
    </row>
    <row r="249" spans="29:40">
      <c r="AD249">
        <v>3010</v>
      </c>
      <c r="AF249">
        <v>3010</v>
      </c>
      <c r="AJ249">
        <v>5027</v>
      </c>
      <c r="AM249">
        <v>3928</v>
      </c>
      <c r="AN249" s="980"/>
    </row>
    <row r="250" spans="29:40">
      <c r="AD250">
        <v>3011</v>
      </c>
      <c r="AF250">
        <v>3011</v>
      </c>
      <c r="AJ250">
        <v>5028</v>
      </c>
      <c r="AM250">
        <v>3929</v>
      </c>
      <c r="AN250" s="980"/>
    </row>
    <row r="251" spans="29:40">
      <c r="AD251">
        <v>3012</v>
      </c>
      <c r="AF251">
        <v>3012</v>
      </c>
      <c r="AJ251">
        <v>5029</v>
      </c>
      <c r="AM251">
        <v>3930</v>
      </c>
      <c r="AN251" s="980"/>
    </row>
    <row r="252" spans="29:40">
      <c r="AD252">
        <v>3013</v>
      </c>
      <c r="AF252">
        <v>3013</v>
      </c>
      <c r="AJ252">
        <v>5030</v>
      </c>
      <c r="AM252">
        <v>3931</v>
      </c>
      <c r="AN252" s="980"/>
    </row>
    <row r="253" spans="29:40">
      <c r="AD253">
        <v>3014</v>
      </c>
      <c r="AF253">
        <v>3014</v>
      </c>
      <c r="AJ253">
        <v>5031</v>
      </c>
      <c r="AM253">
        <v>3932</v>
      </c>
      <c r="AN253" s="980"/>
    </row>
    <row r="254" spans="29:40">
      <c r="AD254">
        <v>3015</v>
      </c>
      <c r="AF254">
        <v>3015</v>
      </c>
      <c r="AJ254">
        <v>5032</v>
      </c>
      <c r="AM254">
        <v>3933</v>
      </c>
      <c r="AN254" s="980"/>
    </row>
    <row r="255" spans="29:40">
      <c r="AD255">
        <v>3016</v>
      </c>
      <c r="AF255">
        <v>3016</v>
      </c>
      <c r="AJ255">
        <v>5033</v>
      </c>
      <c r="AM255">
        <v>3934</v>
      </c>
      <c r="AN255" s="980"/>
    </row>
    <row r="256" spans="29:40">
      <c r="AD256">
        <v>3017</v>
      </c>
      <c r="AF256">
        <v>3017</v>
      </c>
      <c r="AJ256">
        <v>5034</v>
      </c>
      <c r="AM256">
        <v>3935</v>
      </c>
      <c r="AN256" s="980"/>
    </row>
    <row r="257" spans="29:40">
      <c r="AD257">
        <v>3018</v>
      </c>
      <c r="AF257">
        <v>3018</v>
      </c>
      <c r="AJ257">
        <v>5035</v>
      </c>
      <c r="AM257">
        <v>3936</v>
      </c>
      <c r="AN257" s="980"/>
    </row>
    <row r="258" spans="29:40">
      <c r="AD258">
        <v>3019</v>
      </c>
      <c r="AF258">
        <v>3019</v>
      </c>
      <c r="AJ258">
        <v>5036</v>
      </c>
      <c r="AM258">
        <v>3937</v>
      </c>
      <c r="AN258" s="980"/>
    </row>
    <row r="259" spans="29:40">
      <c r="AD259">
        <v>3020</v>
      </c>
      <c r="AF259">
        <v>3020</v>
      </c>
      <c r="AJ259">
        <v>5037</v>
      </c>
      <c r="AM259">
        <v>3938</v>
      </c>
      <c r="AN259" s="980"/>
    </row>
    <row r="260" spans="29:40">
      <c r="AD260">
        <v>3021</v>
      </c>
      <c r="AF260">
        <v>3021</v>
      </c>
      <c r="AJ260">
        <v>5038</v>
      </c>
      <c r="AM260">
        <v>3939</v>
      </c>
      <c r="AN260" s="980"/>
    </row>
    <row r="261" spans="29:40">
      <c r="AD261">
        <v>3022</v>
      </c>
      <c r="AF261">
        <v>3022</v>
      </c>
      <c r="AJ261">
        <v>5039</v>
      </c>
      <c r="AM261">
        <v>3940</v>
      </c>
      <c r="AN261" s="980"/>
    </row>
    <row r="262" spans="29:40">
      <c r="AD262">
        <v>3023</v>
      </c>
      <c r="AF262">
        <v>3023</v>
      </c>
      <c r="AJ262">
        <v>5040</v>
      </c>
      <c r="AM262">
        <v>3941</v>
      </c>
      <c r="AN262" s="980"/>
    </row>
    <row r="263" spans="29:40">
      <c r="AD263">
        <v>3024</v>
      </c>
      <c r="AF263">
        <v>3024</v>
      </c>
      <c r="AJ263">
        <v>5041</v>
      </c>
      <c r="AM263">
        <v>3942</v>
      </c>
      <c r="AN263" s="980"/>
    </row>
    <row r="264" spans="29:40">
      <c r="AD264">
        <v>3025</v>
      </c>
      <c r="AE264" t="s">
        <v>320</v>
      </c>
      <c r="AF264">
        <v>3025</v>
      </c>
      <c r="AJ264">
        <v>5042</v>
      </c>
      <c r="AM264">
        <v>3943</v>
      </c>
      <c r="AN264" s="980"/>
    </row>
    <row r="265" spans="29:40">
      <c r="AD265">
        <v>3026</v>
      </c>
      <c r="AF265">
        <v>3026</v>
      </c>
      <c r="AJ265">
        <v>5043</v>
      </c>
      <c r="AM265">
        <v>3944</v>
      </c>
      <c r="AN265" s="980"/>
    </row>
    <row r="266" spans="29:40">
      <c r="AD266">
        <v>3027</v>
      </c>
      <c r="AF266">
        <v>3027</v>
      </c>
      <c r="AJ266">
        <v>5044</v>
      </c>
      <c r="AM266">
        <v>3975</v>
      </c>
      <c r="AN266" s="980"/>
    </row>
    <row r="267" spans="29:40">
      <c r="AD267">
        <v>3028</v>
      </c>
      <c r="AF267">
        <v>3028</v>
      </c>
      <c r="AJ267">
        <v>5045</v>
      </c>
      <c r="AM267">
        <v>3976</v>
      </c>
      <c r="AN267" s="980"/>
    </row>
    <row r="268" spans="29:40">
      <c r="AD268">
        <v>3029</v>
      </c>
      <c r="AF268">
        <v>3029</v>
      </c>
      <c r="AJ268">
        <v>5046</v>
      </c>
      <c r="AM268">
        <v>3977</v>
      </c>
      <c r="AN268" s="980"/>
    </row>
    <row r="269" spans="29:40">
      <c r="AJ269">
        <v>5047</v>
      </c>
      <c r="AM269">
        <v>3978</v>
      </c>
      <c r="AN269" s="980"/>
    </row>
    <row r="270" spans="29:40">
      <c r="AD270">
        <v>3031</v>
      </c>
      <c r="AF270">
        <v>3031</v>
      </c>
      <c r="AJ270">
        <v>5048</v>
      </c>
      <c r="AM270">
        <v>4280</v>
      </c>
      <c r="AN270" s="980"/>
    </row>
    <row r="271" spans="29:40">
      <c r="AC271" t="s">
        <v>320</v>
      </c>
      <c r="AD271">
        <v>3032</v>
      </c>
      <c r="AF271">
        <v>3032</v>
      </c>
      <c r="AJ271">
        <v>5049</v>
      </c>
      <c r="AM271">
        <v>4300</v>
      </c>
      <c r="AN271" s="980"/>
    </row>
    <row r="272" spans="29:40">
      <c r="AD272">
        <v>3033</v>
      </c>
      <c r="AF272">
        <v>3033</v>
      </c>
      <c r="AJ272">
        <v>5050</v>
      </c>
      <c r="AM272">
        <v>4301</v>
      </c>
      <c r="AN272" s="980"/>
    </row>
    <row r="273" spans="30:40">
      <c r="AD273">
        <v>3034</v>
      </c>
      <c r="AF273">
        <v>3034</v>
      </c>
      <c r="AJ273">
        <v>5051</v>
      </c>
      <c r="AM273">
        <v>4302</v>
      </c>
      <c r="AN273" s="980"/>
    </row>
    <row r="274" spans="30:40">
      <c r="AD274">
        <v>3035</v>
      </c>
      <c r="AF274">
        <v>3035</v>
      </c>
      <c r="AJ274">
        <v>5052</v>
      </c>
      <c r="AM274">
        <v>4303</v>
      </c>
      <c r="AN274" s="980"/>
    </row>
    <row r="275" spans="30:40">
      <c r="AD275">
        <v>3036</v>
      </c>
      <c r="AF275">
        <v>3036</v>
      </c>
      <c r="AJ275">
        <v>5053</v>
      </c>
      <c r="AM275">
        <v>4304</v>
      </c>
      <c r="AN275" s="980"/>
    </row>
    <row r="276" spans="30:40">
      <c r="AD276">
        <v>3037</v>
      </c>
      <c r="AF276">
        <v>3037</v>
      </c>
      <c r="AJ276">
        <v>5054</v>
      </c>
      <c r="AM276">
        <v>4305</v>
      </c>
      <c r="AN276" s="980"/>
    </row>
    <row r="277" spans="30:40">
      <c r="AD277">
        <v>3038</v>
      </c>
      <c r="AF277">
        <v>3038</v>
      </c>
      <c r="AJ277">
        <v>5055</v>
      </c>
      <c r="AL277" t="s">
        <v>295</v>
      </c>
      <c r="AM277">
        <v>4306</v>
      </c>
      <c r="AN277" s="980"/>
    </row>
    <row r="278" spans="30:40">
      <c r="AD278">
        <v>3039</v>
      </c>
      <c r="AF278">
        <v>3039</v>
      </c>
      <c r="AJ278">
        <v>5056</v>
      </c>
      <c r="AM278">
        <v>4350</v>
      </c>
      <c r="AN278" s="980"/>
    </row>
    <row r="279" spans="30:40">
      <c r="AD279">
        <v>3040</v>
      </c>
      <c r="AF279">
        <v>3040</v>
      </c>
      <c r="AJ279">
        <v>5057</v>
      </c>
      <c r="AM279">
        <v>4500</v>
      </c>
      <c r="AN279" s="980"/>
    </row>
    <row r="280" spans="30:40">
      <c r="AD280">
        <v>3041</v>
      </c>
      <c r="AF280">
        <v>3041</v>
      </c>
      <c r="AJ280">
        <v>5058</v>
      </c>
      <c r="AM280">
        <v>4501</v>
      </c>
      <c r="AN280" s="980"/>
    </row>
    <row r="281" spans="30:40">
      <c r="AD281">
        <v>3042</v>
      </c>
      <c r="AF281">
        <v>3042</v>
      </c>
      <c r="AJ281">
        <v>5059</v>
      </c>
      <c r="AM281">
        <v>4502</v>
      </c>
      <c r="AN281" s="980"/>
    </row>
    <row r="282" spans="30:40">
      <c r="AD282">
        <v>3043</v>
      </c>
      <c r="AF282">
        <v>3043</v>
      </c>
      <c r="AJ282">
        <v>5060</v>
      </c>
      <c r="AM282">
        <v>4503</v>
      </c>
      <c r="AN282" s="980"/>
    </row>
    <row r="283" spans="30:40">
      <c r="AD283">
        <v>3044</v>
      </c>
      <c r="AF283">
        <v>3044</v>
      </c>
      <c r="AJ283">
        <v>5061</v>
      </c>
      <c r="AM283">
        <v>4504</v>
      </c>
      <c r="AN283" s="980"/>
    </row>
    <row r="284" spans="30:40">
      <c r="AD284">
        <v>3045</v>
      </c>
      <c r="AF284">
        <v>3045</v>
      </c>
      <c r="AJ284">
        <v>5062</v>
      </c>
      <c r="AM284">
        <v>4505</v>
      </c>
      <c r="AN284" s="980"/>
    </row>
    <row r="285" spans="30:40">
      <c r="AD285">
        <v>3046</v>
      </c>
      <c r="AF285">
        <v>3046</v>
      </c>
      <c r="AJ285">
        <v>5063</v>
      </c>
      <c r="AM285">
        <v>4506</v>
      </c>
      <c r="AN285" s="980"/>
    </row>
    <row r="286" spans="30:40">
      <c r="AD286">
        <v>3047</v>
      </c>
      <c r="AF286">
        <v>3047</v>
      </c>
      <c r="AJ286">
        <v>5064</v>
      </c>
      <c r="AM286">
        <v>4507</v>
      </c>
      <c r="AN286" s="980"/>
    </row>
    <row r="287" spans="30:40">
      <c r="AD287">
        <v>3048</v>
      </c>
      <c r="AF287">
        <v>3048</v>
      </c>
      <c r="AJ287">
        <v>5065</v>
      </c>
      <c r="AM287">
        <v>4508</v>
      </c>
      <c r="AN287" s="980"/>
    </row>
    <row r="288" spans="30:40">
      <c r="AD288">
        <v>3049</v>
      </c>
      <c r="AF288">
        <v>3049</v>
      </c>
      <c r="AJ288">
        <v>5066</v>
      </c>
      <c r="AM288">
        <v>4509</v>
      </c>
      <c r="AN288" s="980"/>
    </row>
    <row r="289" spans="30:40">
      <c r="AD289">
        <v>3050</v>
      </c>
      <c r="AF289">
        <v>3050</v>
      </c>
      <c r="AJ289">
        <v>5067</v>
      </c>
      <c r="AM289">
        <v>4510</v>
      </c>
      <c r="AN289" s="980"/>
    </row>
    <row r="290" spans="30:40">
      <c r="AD290">
        <v>3051</v>
      </c>
      <c r="AF290">
        <v>3051</v>
      </c>
      <c r="AJ290">
        <v>5068</v>
      </c>
      <c r="AM290">
        <v>4511</v>
      </c>
      <c r="AN290" s="980"/>
    </row>
    <row r="291" spans="30:40">
      <c r="AD291">
        <v>3052</v>
      </c>
      <c r="AF291">
        <v>3052</v>
      </c>
      <c r="AJ291">
        <v>5069</v>
      </c>
      <c r="AM291">
        <v>4512</v>
      </c>
      <c r="AN291" s="980"/>
    </row>
    <row r="292" spans="30:40">
      <c r="AD292">
        <v>3053</v>
      </c>
      <c r="AF292">
        <v>3053</v>
      </c>
      <c r="AJ292">
        <v>5070</v>
      </c>
      <c r="AM292">
        <v>4516</v>
      </c>
      <c r="AN292" s="980"/>
    </row>
    <row r="293" spans="30:40">
      <c r="AD293">
        <v>3054</v>
      </c>
      <c r="AF293">
        <v>3054</v>
      </c>
      <c r="AJ293">
        <v>5071</v>
      </c>
      <c r="AM293">
        <v>4517</v>
      </c>
      <c r="AN293" s="980"/>
    </row>
    <row r="294" spans="30:40">
      <c r="AD294">
        <v>3055</v>
      </c>
      <c r="AF294">
        <v>3055</v>
      </c>
      <c r="AJ294">
        <v>5072</v>
      </c>
      <c r="AM294">
        <v>4518</v>
      </c>
      <c r="AN294" s="980"/>
    </row>
    <row r="295" spans="30:40">
      <c r="AD295">
        <v>3056</v>
      </c>
      <c r="AF295">
        <v>3056</v>
      </c>
      <c r="AJ295">
        <v>5073</v>
      </c>
      <c r="AM295">
        <v>4519</v>
      </c>
      <c r="AN295" s="980"/>
    </row>
    <row r="296" spans="30:40">
      <c r="AD296">
        <v>3057</v>
      </c>
      <c r="AF296">
        <v>3057</v>
      </c>
      <c r="AJ296">
        <v>5074</v>
      </c>
      <c r="AM296">
        <v>4520</v>
      </c>
      <c r="AN296" s="980"/>
    </row>
    <row r="297" spans="30:40">
      <c r="AD297">
        <v>3058</v>
      </c>
      <c r="AF297">
        <v>3058</v>
      </c>
      <c r="AJ297">
        <v>5075</v>
      </c>
      <c r="AM297">
        <v>4550</v>
      </c>
      <c r="AN297" s="980"/>
    </row>
    <row r="298" spans="30:40">
      <c r="AD298">
        <v>3059</v>
      </c>
      <c r="AF298">
        <v>3059</v>
      </c>
      <c r="AJ298">
        <v>5076</v>
      </c>
      <c r="AM298">
        <v>4551</v>
      </c>
      <c r="AN298" s="980"/>
    </row>
    <row r="299" spans="30:40">
      <c r="AD299">
        <v>3060</v>
      </c>
      <c r="AF299">
        <v>3060</v>
      </c>
      <c r="AJ299">
        <v>5077</v>
      </c>
      <c r="AM299">
        <v>4552</v>
      </c>
      <c r="AN299" s="980"/>
    </row>
    <row r="300" spans="30:40">
      <c r="AD300">
        <v>3061</v>
      </c>
      <c r="AF300">
        <v>3061</v>
      </c>
      <c r="AJ300">
        <v>5078</v>
      </c>
      <c r="AM300">
        <v>4553</v>
      </c>
      <c r="AN300" s="980"/>
    </row>
    <row r="301" spans="30:40">
      <c r="AD301">
        <v>3062</v>
      </c>
      <c r="AF301">
        <v>3062</v>
      </c>
      <c r="AJ301">
        <v>5079</v>
      </c>
      <c r="AM301">
        <v>4554</v>
      </c>
      <c r="AN301" s="980"/>
    </row>
    <row r="302" spans="30:40">
      <c r="AD302">
        <v>3063</v>
      </c>
      <c r="AF302">
        <v>3063</v>
      </c>
      <c r="AJ302">
        <v>5080</v>
      </c>
      <c r="AM302">
        <v>4555</v>
      </c>
      <c r="AN302" s="980"/>
    </row>
    <row r="303" spans="30:40">
      <c r="AD303">
        <v>3064</v>
      </c>
      <c r="AF303">
        <v>3064</v>
      </c>
      <c r="AJ303">
        <v>5081</v>
      </c>
      <c r="AM303">
        <v>4556</v>
      </c>
      <c r="AN303" s="980"/>
    </row>
    <row r="304" spans="30:40">
      <c r="AD304">
        <v>3065</v>
      </c>
      <c r="AF304">
        <v>3065</v>
      </c>
      <c r="AJ304">
        <v>5082</v>
      </c>
      <c r="AM304">
        <v>4557</v>
      </c>
      <c r="AN304" s="980"/>
    </row>
    <row r="305" spans="30:40">
      <c r="AD305">
        <v>3066</v>
      </c>
      <c r="AF305">
        <v>3066</v>
      </c>
      <c r="AJ305">
        <v>5083</v>
      </c>
      <c r="AM305">
        <v>4558</v>
      </c>
      <c r="AN305" s="980"/>
    </row>
    <row r="306" spans="30:40">
      <c r="AD306">
        <v>3067</v>
      </c>
      <c r="AF306">
        <v>3067</v>
      </c>
      <c r="AJ306">
        <v>5084</v>
      </c>
      <c r="AM306">
        <v>4559</v>
      </c>
      <c r="AN306" s="980"/>
    </row>
    <row r="307" spans="30:40">
      <c r="AD307">
        <v>3068</v>
      </c>
      <c r="AF307">
        <v>3068</v>
      </c>
      <c r="AJ307">
        <v>5085</v>
      </c>
      <c r="AM307">
        <v>4560</v>
      </c>
      <c r="AN307" s="980"/>
    </row>
    <row r="308" spans="30:40">
      <c r="AD308">
        <v>3069</v>
      </c>
      <c r="AF308">
        <v>3069</v>
      </c>
      <c r="AJ308">
        <v>5086</v>
      </c>
      <c r="AM308">
        <v>4561</v>
      </c>
      <c r="AN308" s="980"/>
    </row>
    <row r="309" spans="30:40">
      <c r="AD309">
        <v>3070</v>
      </c>
      <c r="AF309">
        <v>3070</v>
      </c>
      <c r="AJ309">
        <v>5087</v>
      </c>
      <c r="AM309">
        <v>4562</v>
      </c>
      <c r="AN309" s="980"/>
    </row>
    <row r="310" spans="30:40">
      <c r="AD310">
        <v>3071</v>
      </c>
      <c r="AF310">
        <v>3071</v>
      </c>
      <c r="AJ310">
        <v>5088</v>
      </c>
      <c r="AM310">
        <v>4563</v>
      </c>
      <c r="AN310" s="980"/>
    </row>
    <row r="311" spans="30:40">
      <c r="AD311">
        <v>3072</v>
      </c>
      <c r="AF311">
        <v>3072</v>
      </c>
      <c r="AJ311">
        <v>5089</v>
      </c>
      <c r="AM311">
        <v>4564</v>
      </c>
      <c r="AN311" s="980"/>
    </row>
    <row r="312" spans="30:40">
      <c r="AD312">
        <v>3073</v>
      </c>
      <c r="AF312">
        <v>3073</v>
      </c>
      <c r="AJ312">
        <v>5090</v>
      </c>
      <c r="AM312">
        <v>4565</v>
      </c>
      <c r="AN312" s="980"/>
    </row>
    <row r="313" spans="30:40">
      <c r="AD313">
        <v>3074</v>
      </c>
      <c r="AF313">
        <v>3074</v>
      </c>
      <c r="AJ313">
        <v>5091</v>
      </c>
      <c r="AM313">
        <v>4566</v>
      </c>
      <c r="AN313" s="980"/>
    </row>
    <row r="314" spans="30:40">
      <c r="AD314">
        <v>3075</v>
      </c>
      <c r="AF314">
        <v>3075</v>
      </c>
      <c r="AJ314">
        <v>5092</v>
      </c>
      <c r="AM314">
        <v>4567</v>
      </c>
      <c r="AN314" s="980"/>
    </row>
    <row r="315" spans="30:40">
      <c r="AD315">
        <v>3076</v>
      </c>
      <c r="AF315">
        <v>3076</v>
      </c>
      <c r="AJ315">
        <v>5093</v>
      </c>
      <c r="AM315">
        <v>4572</v>
      </c>
      <c r="AN315" s="980"/>
    </row>
    <row r="316" spans="30:40">
      <c r="AD316">
        <v>3077</v>
      </c>
      <c r="AF316">
        <v>3077</v>
      </c>
      <c r="AJ316">
        <v>5094</v>
      </c>
      <c r="AM316">
        <v>4573</v>
      </c>
      <c r="AN316" s="980"/>
    </row>
    <row r="317" spans="30:40">
      <c r="AD317">
        <v>3078</v>
      </c>
      <c r="AF317">
        <v>3078</v>
      </c>
      <c r="AJ317">
        <v>5095</v>
      </c>
      <c r="AM317">
        <v>4575</v>
      </c>
      <c r="AN317" s="980"/>
    </row>
    <row r="318" spans="30:40">
      <c r="AD318">
        <v>3079</v>
      </c>
      <c r="AF318">
        <v>3079</v>
      </c>
      <c r="AJ318">
        <v>5096</v>
      </c>
      <c r="AM318">
        <v>4700</v>
      </c>
      <c r="AN318" s="980"/>
    </row>
    <row r="319" spans="30:40">
      <c r="AD319">
        <v>3080</v>
      </c>
      <c r="AF319">
        <v>3080</v>
      </c>
      <c r="AJ319">
        <v>5097</v>
      </c>
      <c r="AM319">
        <v>4701</v>
      </c>
      <c r="AN319" s="980"/>
    </row>
    <row r="320" spans="30:40">
      <c r="AD320">
        <v>3081</v>
      </c>
      <c r="AF320">
        <v>3081</v>
      </c>
      <c r="AJ320">
        <v>5098</v>
      </c>
      <c r="AM320">
        <v>4711</v>
      </c>
      <c r="AN320" s="980"/>
    </row>
    <row r="321" spans="30:40">
      <c r="AD321">
        <v>3082</v>
      </c>
      <c r="AF321">
        <v>3082</v>
      </c>
      <c r="AJ321">
        <v>5099</v>
      </c>
      <c r="AM321">
        <v>4750</v>
      </c>
      <c r="AN321" s="980"/>
    </row>
    <row r="322" spans="30:40">
      <c r="AD322">
        <v>3083</v>
      </c>
      <c r="AF322">
        <v>3083</v>
      </c>
      <c r="AJ322">
        <v>5100</v>
      </c>
      <c r="AM322">
        <v>4751</v>
      </c>
      <c r="AN322" s="980"/>
    </row>
    <row r="323" spans="30:40">
      <c r="AD323">
        <v>3084</v>
      </c>
      <c r="AF323">
        <v>3084</v>
      </c>
      <c r="AJ323">
        <v>5101</v>
      </c>
      <c r="AM323">
        <v>4810</v>
      </c>
      <c r="AN323" s="980"/>
    </row>
    <row r="324" spans="30:40">
      <c r="AD324">
        <v>3085</v>
      </c>
      <c r="AF324">
        <v>3085</v>
      </c>
      <c r="AJ324">
        <v>5102</v>
      </c>
      <c r="AM324">
        <v>4811</v>
      </c>
      <c r="AN324" s="980"/>
    </row>
    <row r="325" spans="30:40">
      <c r="AD325">
        <v>3086</v>
      </c>
      <c r="AF325">
        <v>3086</v>
      </c>
      <c r="AJ325">
        <v>5103</v>
      </c>
      <c r="AM325">
        <v>4812</v>
      </c>
      <c r="AN325" s="980"/>
    </row>
    <row r="326" spans="30:40">
      <c r="AD326">
        <v>3087</v>
      </c>
      <c r="AF326">
        <v>3087</v>
      </c>
      <c r="AJ326">
        <v>5104</v>
      </c>
      <c r="AM326">
        <v>4813</v>
      </c>
      <c r="AN326" s="980"/>
    </row>
    <row r="327" spans="30:40">
      <c r="AD327">
        <v>3088</v>
      </c>
      <c r="AF327">
        <v>3088</v>
      </c>
      <c r="AJ327">
        <v>5105</v>
      </c>
      <c r="AM327">
        <v>4814</v>
      </c>
      <c r="AN327" s="980"/>
    </row>
    <row r="328" spans="30:40">
      <c r="AD328">
        <v>3089</v>
      </c>
      <c r="AF328">
        <v>3089</v>
      </c>
      <c r="AJ328">
        <v>5106</v>
      </c>
      <c r="AM328">
        <v>4815</v>
      </c>
      <c r="AN328" s="980"/>
    </row>
    <row r="329" spans="30:40">
      <c r="AD329">
        <v>3090</v>
      </c>
      <c r="AF329">
        <v>3090</v>
      </c>
      <c r="AJ329">
        <v>5107</v>
      </c>
      <c r="AM329">
        <v>4817</v>
      </c>
      <c r="AN329" s="980"/>
    </row>
    <row r="330" spans="30:40">
      <c r="AD330">
        <v>3091</v>
      </c>
      <c r="AF330">
        <v>3091</v>
      </c>
      <c r="AJ330">
        <v>5108</v>
      </c>
      <c r="AM330">
        <v>4818</v>
      </c>
      <c r="AN330" s="980"/>
    </row>
    <row r="331" spans="30:40">
      <c r="AD331">
        <v>3092</v>
      </c>
      <c r="AF331">
        <v>3092</v>
      </c>
      <c r="AJ331">
        <v>5109</v>
      </c>
      <c r="AM331">
        <v>4865</v>
      </c>
      <c r="AN331" s="980"/>
    </row>
    <row r="332" spans="30:40">
      <c r="AD332">
        <v>3093</v>
      </c>
      <c r="AF332">
        <v>3093</v>
      </c>
      <c r="AJ332">
        <v>5110</v>
      </c>
      <c r="AM332">
        <v>4868</v>
      </c>
      <c r="AN332" s="980"/>
    </row>
    <row r="333" spans="30:40">
      <c r="AD333">
        <v>3094</v>
      </c>
      <c r="AF333">
        <v>3094</v>
      </c>
      <c r="AJ333">
        <v>5111</v>
      </c>
      <c r="AM333">
        <v>4869</v>
      </c>
      <c r="AN333" s="980"/>
    </row>
    <row r="334" spans="30:40">
      <c r="AD334">
        <v>3095</v>
      </c>
      <c r="AF334">
        <v>3095</v>
      </c>
      <c r="AJ334">
        <v>5112</v>
      </c>
      <c r="AM334">
        <v>4870</v>
      </c>
      <c r="AN334" s="980"/>
    </row>
    <row r="335" spans="30:40">
      <c r="AD335">
        <v>3096</v>
      </c>
      <c r="AF335">
        <v>3096</v>
      </c>
      <c r="AJ335">
        <v>5113</v>
      </c>
      <c r="AM335">
        <v>4878</v>
      </c>
      <c r="AN335" s="980"/>
    </row>
    <row r="336" spans="30:40">
      <c r="AD336">
        <v>3097</v>
      </c>
      <c r="AF336">
        <v>3097</v>
      </c>
      <c r="AJ336">
        <v>5114</v>
      </c>
      <c r="AM336">
        <v>4879</v>
      </c>
      <c r="AN336" s="980"/>
    </row>
    <row r="337" spans="30:40">
      <c r="AD337">
        <v>3098</v>
      </c>
      <c r="AF337">
        <v>3098</v>
      </c>
      <c r="AJ337">
        <v>5115</v>
      </c>
      <c r="AM337">
        <v>2613</v>
      </c>
      <c r="AN337" s="980"/>
    </row>
    <row r="338" spans="30:40">
      <c r="AD338">
        <v>3099</v>
      </c>
      <c r="AF338">
        <v>3099</v>
      </c>
      <c r="AJ338">
        <v>5116</v>
      </c>
      <c r="AM338">
        <v>2614</v>
      </c>
      <c r="AN338" s="980"/>
    </row>
    <row r="339" spans="30:40">
      <c r="AD339">
        <v>3100</v>
      </c>
      <c r="AF339">
        <v>3100</v>
      </c>
      <c r="AJ339">
        <v>5117</v>
      </c>
      <c r="AM339">
        <v>2615</v>
      </c>
      <c r="AN339" s="980"/>
    </row>
    <row r="340" spans="30:40">
      <c r="AD340">
        <v>3101</v>
      </c>
      <c r="AF340">
        <v>3101</v>
      </c>
      <c r="AJ340">
        <v>5118</v>
      </c>
      <c r="AM340">
        <v>2616</v>
      </c>
      <c r="AN340" s="980"/>
    </row>
    <row r="341" spans="30:40">
      <c r="AD341">
        <v>3102</v>
      </c>
      <c r="AF341">
        <v>3102</v>
      </c>
      <c r="AJ341">
        <v>5119</v>
      </c>
      <c r="AM341">
        <v>2617</v>
      </c>
      <c r="AN341" s="980"/>
    </row>
    <row r="342" spans="30:40">
      <c r="AD342">
        <v>3103</v>
      </c>
      <c r="AF342">
        <v>3103</v>
      </c>
      <c r="AJ342">
        <v>5120</v>
      </c>
      <c r="AM342">
        <v>2618</v>
      </c>
      <c r="AN342" s="980"/>
    </row>
    <row r="343" spans="30:40">
      <c r="AD343">
        <v>3104</v>
      </c>
      <c r="AF343">
        <v>3104</v>
      </c>
      <c r="AJ343">
        <v>5121</v>
      </c>
      <c r="AM343">
        <v>5231</v>
      </c>
      <c r="AN343" s="980"/>
    </row>
    <row r="344" spans="30:40">
      <c r="AD344">
        <v>3105</v>
      </c>
      <c r="AF344">
        <v>3105</v>
      </c>
      <c r="AJ344">
        <v>5122</v>
      </c>
      <c r="AM344">
        <v>5232</v>
      </c>
      <c r="AN344" s="980"/>
    </row>
    <row r="345" spans="30:40">
      <c r="AD345">
        <v>3106</v>
      </c>
      <c r="AF345">
        <v>3106</v>
      </c>
      <c r="AJ345">
        <v>5123</v>
      </c>
      <c r="AL345" t="s">
        <v>324</v>
      </c>
      <c r="AM345">
        <v>5233</v>
      </c>
      <c r="AN345" s="980"/>
    </row>
    <row r="346" spans="30:40">
      <c r="AD346">
        <v>3107</v>
      </c>
      <c r="AF346">
        <v>3107</v>
      </c>
      <c r="AJ346">
        <v>5124</v>
      </c>
      <c r="AM346">
        <v>5234</v>
      </c>
      <c r="AN346" s="980"/>
    </row>
    <row r="347" spans="30:40">
      <c r="AD347">
        <v>3108</v>
      </c>
      <c r="AF347">
        <v>3108</v>
      </c>
      <c r="AJ347">
        <v>5125</v>
      </c>
      <c r="AM347">
        <v>5240</v>
      </c>
      <c r="AN347" s="980"/>
    </row>
    <row r="348" spans="30:40">
      <c r="AD348">
        <v>3109</v>
      </c>
      <c r="AF348">
        <v>3109</v>
      </c>
      <c r="AJ348">
        <v>5126</v>
      </c>
      <c r="AM348">
        <v>5241</v>
      </c>
      <c r="AN348" s="980"/>
    </row>
    <row r="349" spans="30:40">
      <c r="AD349">
        <v>3110</v>
      </c>
      <c r="AF349">
        <v>3110</v>
      </c>
      <c r="AJ349">
        <v>5127</v>
      </c>
      <c r="AM349">
        <v>5242</v>
      </c>
      <c r="AN349" s="980"/>
    </row>
    <row r="350" spans="30:40">
      <c r="AD350">
        <v>3111</v>
      </c>
      <c r="AF350">
        <v>3111</v>
      </c>
      <c r="AJ350">
        <v>5128</v>
      </c>
      <c r="AM350">
        <v>5243</v>
      </c>
      <c r="AN350" s="980"/>
    </row>
    <row r="351" spans="30:40">
      <c r="AD351">
        <v>3112</v>
      </c>
      <c r="AF351">
        <v>3112</v>
      </c>
      <c r="AJ351">
        <v>5129</v>
      </c>
      <c r="AM351">
        <v>5244</v>
      </c>
      <c r="AN351" s="980"/>
    </row>
    <row r="352" spans="30:40">
      <c r="AD352">
        <v>3113</v>
      </c>
      <c r="AF352">
        <v>3113</v>
      </c>
      <c r="AJ352">
        <v>5130</v>
      </c>
      <c r="AM352">
        <v>5245</v>
      </c>
      <c r="AN352" s="980"/>
    </row>
    <row r="353" spans="29:40">
      <c r="AD353">
        <v>3114</v>
      </c>
      <c r="AF353">
        <v>3114</v>
      </c>
      <c r="AJ353">
        <v>5131</v>
      </c>
      <c r="AM353">
        <v>5246</v>
      </c>
      <c r="AN353" s="980"/>
    </row>
    <row r="354" spans="29:40">
      <c r="AC354" t="s">
        <v>295</v>
      </c>
      <c r="AD354">
        <v>3115</v>
      </c>
      <c r="AF354">
        <v>3115</v>
      </c>
      <c r="AJ354">
        <v>5132</v>
      </c>
      <c r="AM354">
        <v>5247</v>
      </c>
      <c r="AN354" s="980"/>
    </row>
    <row r="355" spans="29:40">
      <c r="AD355">
        <v>3116</v>
      </c>
      <c r="AF355">
        <v>3116</v>
      </c>
      <c r="AJ355">
        <v>5133</v>
      </c>
      <c r="AM355">
        <v>5248</v>
      </c>
      <c r="AN355" s="980"/>
    </row>
    <row r="356" spans="29:40">
      <c r="AD356">
        <v>3117</v>
      </c>
      <c r="AF356">
        <v>3117</v>
      </c>
      <c r="AJ356">
        <v>5134</v>
      </c>
      <c r="AL356" t="s">
        <v>325</v>
      </c>
      <c r="AM356">
        <v>5249</v>
      </c>
      <c r="AN356" s="980"/>
    </row>
    <row r="357" spans="29:40">
      <c r="AD357">
        <v>3118</v>
      </c>
      <c r="AF357">
        <v>3118</v>
      </c>
      <c r="AJ357">
        <v>5135</v>
      </c>
      <c r="AM357">
        <v>5250</v>
      </c>
      <c r="AN357" s="980"/>
    </row>
    <row r="358" spans="29:40">
      <c r="AD358">
        <v>3119</v>
      </c>
      <c r="AF358">
        <v>3119</v>
      </c>
      <c r="AJ358">
        <v>5136</v>
      </c>
      <c r="AM358">
        <v>5251</v>
      </c>
      <c r="AN358" s="980"/>
    </row>
    <row r="359" spans="29:40">
      <c r="AD359">
        <v>3120</v>
      </c>
      <c r="AF359">
        <v>3120</v>
      </c>
      <c r="AJ359">
        <v>5137</v>
      </c>
      <c r="AM359">
        <v>6229</v>
      </c>
      <c r="AN359" s="980"/>
    </row>
    <row r="360" spans="29:40">
      <c r="AD360">
        <v>3121</v>
      </c>
      <c r="AF360">
        <v>3121</v>
      </c>
      <c r="AJ360">
        <v>5138</v>
      </c>
      <c r="AM360">
        <v>6232</v>
      </c>
      <c r="AN360" s="980"/>
    </row>
    <row r="361" spans="29:40">
      <c r="AD361">
        <v>3122</v>
      </c>
      <c r="AF361">
        <v>3122</v>
      </c>
      <c r="AJ361">
        <v>5139</v>
      </c>
      <c r="AM361">
        <v>6233</v>
      </c>
      <c r="AN361" s="980"/>
    </row>
    <row r="362" spans="29:40">
      <c r="AD362">
        <v>3123</v>
      </c>
      <c r="AF362">
        <v>3123</v>
      </c>
      <c r="AJ362">
        <v>5140</v>
      </c>
      <c r="AM362">
        <v>6280</v>
      </c>
      <c r="AN362" s="980"/>
    </row>
    <row r="363" spans="29:40">
      <c r="AD363">
        <v>3124</v>
      </c>
      <c r="AF363">
        <v>3124</v>
      </c>
      <c r="AJ363">
        <v>5141</v>
      </c>
      <c r="AM363">
        <v>6230</v>
      </c>
      <c r="AN363" s="980"/>
    </row>
    <row r="364" spans="29:40">
      <c r="AD364">
        <v>3125</v>
      </c>
      <c r="AF364">
        <v>3125</v>
      </c>
      <c r="AJ364">
        <v>5142</v>
      </c>
      <c r="AM364">
        <v>6530</v>
      </c>
      <c r="AN364" s="980"/>
    </row>
    <row r="365" spans="29:40">
      <c r="AD365">
        <v>3126</v>
      </c>
      <c r="AF365">
        <v>3126</v>
      </c>
      <c r="AJ365">
        <v>5143</v>
      </c>
      <c r="AM365">
        <v>6281</v>
      </c>
      <c r="AN365" s="980"/>
    </row>
    <row r="366" spans="29:40">
      <c r="AD366">
        <v>3127</v>
      </c>
      <c r="AF366">
        <v>3127</v>
      </c>
      <c r="AJ366">
        <v>5144</v>
      </c>
      <c r="AM366">
        <v>6282</v>
      </c>
      <c r="AN366" s="980"/>
    </row>
    <row r="367" spans="29:40">
      <c r="AD367">
        <v>3128</v>
      </c>
      <c r="AF367">
        <v>3128</v>
      </c>
      <c r="AJ367">
        <v>5145</v>
      </c>
      <c r="AM367">
        <v>6284</v>
      </c>
      <c r="AN367" s="980"/>
    </row>
    <row r="368" spans="29:40">
      <c r="AD368">
        <v>3129</v>
      </c>
      <c r="AF368">
        <v>3129</v>
      </c>
      <c r="AJ368">
        <v>5146</v>
      </c>
      <c r="AM368">
        <v>6285</v>
      </c>
      <c r="AN368" s="980"/>
    </row>
    <row r="369" spans="30:40">
      <c r="AD369">
        <v>3130</v>
      </c>
      <c r="AF369">
        <v>3130</v>
      </c>
      <c r="AJ369">
        <v>5147</v>
      </c>
      <c r="AM369">
        <v>6330</v>
      </c>
      <c r="AN369" s="980"/>
    </row>
    <row r="370" spans="30:40">
      <c r="AD370">
        <v>3131</v>
      </c>
      <c r="AF370">
        <v>3131</v>
      </c>
      <c r="AJ370">
        <v>5148</v>
      </c>
      <c r="AN370" s="980"/>
    </row>
    <row r="371" spans="30:40">
      <c r="AD371">
        <v>3132</v>
      </c>
      <c r="AF371">
        <v>3132</v>
      </c>
      <c r="AJ371">
        <v>5149</v>
      </c>
      <c r="AN371" s="980"/>
    </row>
    <row r="372" spans="30:40">
      <c r="AD372">
        <v>3133</v>
      </c>
      <c r="AF372">
        <v>3133</v>
      </c>
      <c r="AJ372">
        <v>5150</v>
      </c>
      <c r="AN372" s="980"/>
    </row>
    <row r="373" spans="30:40">
      <c r="AD373">
        <v>3134</v>
      </c>
      <c r="AF373">
        <v>3134</v>
      </c>
      <c r="AJ373">
        <v>5151</v>
      </c>
      <c r="AN373" s="980"/>
    </row>
    <row r="374" spans="30:40">
      <c r="AD374">
        <v>3135</v>
      </c>
      <c r="AF374">
        <v>3135</v>
      </c>
      <c r="AJ374">
        <v>5152</v>
      </c>
      <c r="AN374" s="980"/>
    </row>
    <row r="375" spans="30:40">
      <c r="AD375">
        <v>3136</v>
      </c>
      <c r="AF375">
        <v>3136</v>
      </c>
      <c r="AJ375">
        <v>5153</v>
      </c>
      <c r="AN375" s="980"/>
    </row>
    <row r="376" spans="30:40">
      <c r="AD376">
        <v>3137</v>
      </c>
      <c r="AF376">
        <v>3137</v>
      </c>
      <c r="AJ376">
        <v>5154</v>
      </c>
      <c r="AN376" s="980"/>
    </row>
    <row r="377" spans="30:40">
      <c r="AD377">
        <v>3138</v>
      </c>
      <c r="AF377">
        <v>3138</v>
      </c>
      <c r="AJ377">
        <v>5155</v>
      </c>
      <c r="AN377" s="980"/>
    </row>
    <row r="378" spans="30:40">
      <c r="AD378">
        <v>3139</v>
      </c>
      <c r="AF378">
        <v>3139</v>
      </c>
      <c r="AJ378">
        <v>5156</v>
      </c>
      <c r="AN378" s="980"/>
    </row>
    <row r="379" spans="30:40">
      <c r="AD379">
        <v>3140</v>
      </c>
      <c r="AF379">
        <v>3140</v>
      </c>
      <c r="AJ379">
        <v>5157</v>
      </c>
      <c r="AN379" s="980"/>
    </row>
    <row r="380" spans="30:40">
      <c r="AD380">
        <v>3141</v>
      </c>
      <c r="AF380">
        <v>3141</v>
      </c>
      <c r="AJ380">
        <v>5158</v>
      </c>
      <c r="AN380" s="980"/>
    </row>
    <row r="381" spans="30:40">
      <c r="AD381">
        <v>3142</v>
      </c>
      <c r="AF381">
        <v>3142</v>
      </c>
      <c r="AJ381">
        <v>5159</v>
      </c>
      <c r="AN381" s="980"/>
    </row>
    <row r="382" spans="30:40">
      <c r="AD382">
        <v>3143</v>
      </c>
      <c r="AF382">
        <v>3143</v>
      </c>
      <c r="AJ382">
        <v>5160</v>
      </c>
      <c r="AN382" s="980"/>
    </row>
    <row r="383" spans="30:40">
      <c r="AD383">
        <v>3144</v>
      </c>
      <c r="AF383">
        <v>3144</v>
      </c>
      <c r="AJ383">
        <v>5161</v>
      </c>
      <c r="AN383" s="980"/>
    </row>
    <row r="384" spans="30:40">
      <c r="AD384">
        <v>3145</v>
      </c>
      <c r="AF384">
        <v>3145</v>
      </c>
      <c r="AJ384">
        <v>5162</v>
      </c>
      <c r="AN384" s="980"/>
    </row>
    <row r="385" spans="30:40">
      <c r="AD385">
        <v>3146</v>
      </c>
      <c r="AF385">
        <v>3146</v>
      </c>
      <c r="AJ385">
        <v>5163</v>
      </c>
      <c r="AN385" s="980"/>
    </row>
    <row r="386" spans="30:40">
      <c r="AD386">
        <v>3147</v>
      </c>
      <c r="AF386">
        <v>3147</v>
      </c>
      <c r="AJ386">
        <v>5164</v>
      </c>
      <c r="AN386" s="980"/>
    </row>
    <row r="387" spans="30:40">
      <c r="AD387">
        <v>3148</v>
      </c>
      <c r="AF387">
        <v>3148</v>
      </c>
      <c r="AJ387">
        <v>5165</v>
      </c>
      <c r="AN387" s="980"/>
    </row>
    <row r="388" spans="30:40">
      <c r="AD388">
        <v>3149</v>
      </c>
      <c r="AF388">
        <v>3149</v>
      </c>
      <c r="AJ388">
        <v>5166</v>
      </c>
      <c r="AN388" s="980"/>
    </row>
    <row r="389" spans="30:40">
      <c r="AD389">
        <v>3150</v>
      </c>
      <c r="AF389">
        <v>3150</v>
      </c>
      <c r="AJ389">
        <v>5167</v>
      </c>
      <c r="AN389" s="980"/>
    </row>
    <row r="390" spans="30:40">
      <c r="AD390">
        <v>3151</v>
      </c>
      <c r="AF390">
        <v>3151</v>
      </c>
      <c r="AJ390">
        <v>5168</v>
      </c>
      <c r="AN390" s="980"/>
    </row>
    <row r="391" spans="30:40">
      <c r="AD391">
        <v>3152</v>
      </c>
      <c r="AF391">
        <v>3152</v>
      </c>
      <c r="AJ391">
        <v>5169</v>
      </c>
      <c r="AN391" s="980"/>
    </row>
    <row r="392" spans="30:40">
      <c r="AD392">
        <v>3153</v>
      </c>
      <c r="AF392">
        <v>3153</v>
      </c>
      <c r="AJ392">
        <v>5170</v>
      </c>
      <c r="AN392" s="980"/>
    </row>
    <row r="393" spans="30:40">
      <c r="AD393">
        <v>3154</v>
      </c>
      <c r="AF393">
        <v>3154</v>
      </c>
      <c r="AJ393">
        <v>5171</v>
      </c>
      <c r="AN393" s="980"/>
    </row>
    <row r="394" spans="30:40">
      <c r="AD394">
        <v>3155</v>
      </c>
      <c r="AF394">
        <v>3155</v>
      </c>
      <c r="AJ394">
        <v>5172</v>
      </c>
      <c r="AN394" s="980"/>
    </row>
    <row r="395" spans="30:40">
      <c r="AD395">
        <v>3156</v>
      </c>
      <c r="AF395">
        <v>3156</v>
      </c>
      <c r="AJ395">
        <v>5173</v>
      </c>
      <c r="AN395" s="980"/>
    </row>
    <row r="396" spans="30:40">
      <c r="AD396">
        <v>3157</v>
      </c>
      <c r="AF396">
        <v>3157</v>
      </c>
      <c r="AJ396">
        <v>5174</v>
      </c>
      <c r="AN396" s="980"/>
    </row>
    <row r="397" spans="30:40">
      <c r="AD397">
        <v>3158</v>
      </c>
      <c r="AF397">
        <v>3158</v>
      </c>
      <c r="AJ397">
        <v>6008</v>
      </c>
      <c r="AN397" s="980"/>
    </row>
    <row r="398" spans="30:40">
      <c r="AD398">
        <v>3159</v>
      </c>
      <c r="AF398">
        <v>3159</v>
      </c>
      <c r="AJ398">
        <v>6009</v>
      </c>
      <c r="AN398" s="980"/>
    </row>
    <row r="399" spans="30:40">
      <c r="AD399">
        <v>3160</v>
      </c>
      <c r="AF399">
        <v>3160</v>
      </c>
      <c r="AJ399">
        <v>6010</v>
      </c>
      <c r="AN399" s="980"/>
    </row>
    <row r="400" spans="30:40">
      <c r="AD400">
        <v>3161</v>
      </c>
      <c r="AF400">
        <v>3161</v>
      </c>
      <c r="AJ400">
        <v>6011</v>
      </c>
      <c r="AN400" s="980"/>
    </row>
    <row r="401" spans="30:40">
      <c r="AD401">
        <v>3162</v>
      </c>
      <c r="AF401">
        <v>3162</v>
      </c>
      <c r="AJ401">
        <v>6012</v>
      </c>
      <c r="AN401" s="980"/>
    </row>
    <row r="402" spans="30:40">
      <c r="AD402">
        <v>3163</v>
      </c>
      <c r="AF402">
        <v>3163</v>
      </c>
      <c r="AJ402">
        <v>6013</v>
      </c>
      <c r="AN402" s="980"/>
    </row>
    <row r="403" spans="30:40">
      <c r="AD403">
        <v>3164</v>
      </c>
      <c r="AF403">
        <v>3164</v>
      </c>
      <c r="AJ403">
        <v>6014</v>
      </c>
      <c r="AN403" s="980"/>
    </row>
    <row r="404" spans="30:40">
      <c r="AD404">
        <v>3165</v>
      </c>
      <c r="AF404">
        <v>3165</v>
      </c>
      <c r="AJ404">
        <v>6015</v>
      </c>
      <c r="AN404" s="980"/>
    </row>
    <row r="405" spans="30:40">
      <c r="AD405">
        <v>3166</v>
      </c>
      <c r="AF405">
        <v>3166</v>
      </c>
      <c r="AJ405">
        <v>6016</v>
      </c>
      <c r="AN405" s="980"/>
    </row>
    <row r="406" spans="30:40">
      <c r="AD406">
        <v>3167</v>
      </c>
      <c r="AF406">
        <v>3167</v>
      </c>
      <c r="AJ406">
        <v>6017</v>
      </c>
      <c r="AN406" s="980"/>
    </row>
    <row r="407" spans="30:40">
      <c r="AD407">
        <v>3168</v>
      </c>
      <c r="AF407">
        <v>3168</v>
      </c>
      <c r="AJ407">
        <v>6018</v>
      </c>
      <c r="AN407" s="980"/>
    </row>
    <row r="408" spans="30:40">
      <c r="AD408">
        <v>3169</v>
      </c>
      <c r="AF408">
        <v>3169</v>
      </c>
      <c r="AJ408">
        <v>6019</v>
      </c>
      <c r="AN408" s="980"/>
    </row>
    <row r="409" spans="30:40">
      <c r="AD409">
        <v>3170</v>
      </c>
      <c r="AF409">
        <v>3170</v>
      </c>
      <c r="AJ409">
        <v>6020</v>
      </c>
      <c r="AN409" s="980"/>
    </row>
    <row r="410" spans="30:40">
      <c r="AD410">
        <v>3171</v>
      </c>
      <c r="AF410">
        <v>3171</v>
      </c>
      <c r="AJ410">
        <v>6021</v>
      </c>
      <c r="AN410" s="980"/>
    </row>
    <row r="411" spans="30:40">
      <c r="AD411">
        <v>3172</v>
      </c>
      <c r="AF411">
        <v>3172</v>
      </c>
      <c r="AJ411">
        <v>6022</v>
      </c>
      <c r="AN411" s="980"/>
    </row>
    <row r="412" spans="30:40">
      <c r="AD412">
        <v>3173</v>
      </c>
      <c r="AF412">
        <v>3173</v>
      </c>
      <c r="AJ412">
        <v>6023</v>
      </c>
      <c r="AN412" s="980"/>
    </row>
    <row r="413" spans="30:40">
      <c r="AD413">
        <v>3174</v>
      </c>
      <c r="AF413">
        <v>3174</v>
      </c>
      <c r="AJ413">
        <v>6024</v>
      </c>
      <c r="AN413" s="980"/>
    </row>
    <row r="414" spans="30:40">
      <c r="AD414">
        <v>3175</v>
      </c>
      <c r="AF414">
        <v>3175</v>
      </c>
      <c r="AJ414">
        <v>6025</v>
      </c>
      <c r="AN414" s="980"/>
    </row>
    <row r="415" spans="30:40">
      <c r="AD415">
        <v>3176</v>
      </c>
      <c r="AF415">
        <v>3176</v>
      </c>
      <c r="AJ415">
        <v>6026</v>
      </c>
      <c r="AN415" s="980"/>
    </row>
    <row r="416" spans="30:40">
      <c r="AD416">
        <v>3177</v>
      </c>
      <c r="AF416">
        <v>3177</v>
      </c>
      <c r="AJ416">
        <v>6027</v>
      </c>
      <c r="AN416" s="980"/>
    </row>
    <row r="417" spans="30:40">
      <c r="AD417">
        <v>3178</v>
      </c>
      <c r="AF417">
        <v>3178</v>
      </c>
      <c r="AJ417">
        <v>6028</v>
      </c>
      <c r="AN417" s="980"/>
    </row>
    <row r="418" spans="30:40">
      <c r="AD418">
        <v>3179</v>
      </c>
      <c r="AF418">
        <v>3179</v>
      </c>
      <c r="AJ418">
        <v>6029</v>
      </c>
      <c r="AN418" s="980"/>
    </row>
    <row r="419" spans="30:40">
      <c r="AD419">
        <v>3180</v>
      </c>
      <c r="AF419">
        <v>3180</v>
      </c>
      <c r="AJ419">
        <v>6030</v>
      </c>
      <c r="AN419" s="980"/>
    </row>
    <row r="420" spans="30:40">
      <c r="AD420">
        <v>3181</v>
      </c>
      <c r="AF420">
        <v>3181</v>
      </c>
      <c r="AJ420">
        <v>6031</v>
      </c>
      <c r="AN420" s="980"/>
    </row>
    <row r="421" spans="30:40">
      <c r="AD421">
        <v>3182</v>
      </c>
      <c r="AF421">
        <v>3182</v>
      </c>
      <c r="AJ421">
        <v>6032</v>
      </c>
      <c r="AN421" s="980"/>
    </row>
    <row r="422" spans="30:40">
      <c r="AD422">
        <v>3183</v>
      </c>
      <c r="AF422">
        <v>3183</v>
      </c>
      <c r="AJ422">
        <v>6033</v>
      </c>
      <c r="AN422" s="980"/>
    </row>
    <row r="423" spans="30:40">
      <c r="AD423">
        <v>3184</v>
      </c>
      <c r="AF423">
        <v>3184</v>
      </c>
      <c r="AJ423">
        <v>6034</v>
      </c>
      <c r="AN423" s="980"/>
    </row>
    <row r="424" spans="30:40">
      <c r="AD424">
        <v>3185</v>
      </c>
      <c r="AF424">
        <v>3185</v>
      </c>
      <c r="AJ424">
        <v>6035</v>
      </c>
      <c r="AN424" s="980"/>
    </row>
    <row r="425" spans="30:40">
      <c r="AD425">
        <v>3186</v>
      </c>
      <c r="AF425">
        <v>3186</v>
      </c>
      <c r="AI425" t="s">
        <v>326</v>
      </c>
      <c r="AJ425">
        <v>6036</v>
      </c>
      <c r="AN425" s="980"/>
    </row>
    <row r="426" spans="30:40">
      <c r="AD426">
        <v>3187</v>
      </c>
      <c r="AF426">
        <v>3187</v>
      </c>
      <c r="AJ426">
        <v>6037</v>
      </c>
      <c r="AN426" s="980"/>
    </row>
    <row r="427" spans="30:40">
      <c r="AD427">
        <v>3188</v>
      </c>
      <c r="AF427">
        <v>3188</v>
      </c>
      <c r="AJ427">
        <v>6038</v>
      </c>
      <c r="AN427" s="980"/>
    </row>
    <row r="428" spans="30:40">
      <c r="AD428">
        <v>3189</v>
      </c>
      <c r="AF428">
        <v>3189</v>
      </c>
      <c r="AJ428">
        <v>6039</v>
      </c>
      <c r="AN428" s="980"/>
    </row>
    <row r="429" spans="30:40">
      <c r="AD429">
        <v>3190</v>
      </c>
      <c r="AF429">
        <v>3190</v>
      </c>
      <c r="AJ429">
        <v>6040</v>
      </c>
      <c r="AN429" s="980"/>
    </row>
    <row r="430" spans="30:40">
      <c r="AD430">
        <v>3191</v>
      </c>
      <c r="AF430">
        <v>3191</v>
      </c>
      <c r="AJ430">
        <v>6041</v>
      </c>
      <c r="AN430" s="980"/>
    </row>
    <row r="431" spans="30:40">
      <c r="AD431">
        <v>3192</v>
      </c>
      <c r="AF431">
        <v>3192</v>
      </c>
      <c r="AJ431">
        <v>6042</v>
      </c>
      <c r="AN431" s="980"/>
    </row>
    <row r="432" spans="30:40">
      <c r="AD432">
        <v>3193</v>
      </c>
      <c r="AF432">
        <v>3193</v>
      </c>
      <c r="AJ432">
        <v>6043</v>
      </c>
      <c r="AN432" s="980"/>
    </row>
    <row r="433" spans="30:40">
      <c r="AD433">
        <v>3194</v>
      </c>
      <c r="AF433">
        <v>3194</v>
      </c>
      <c r="AJ433">
        <v>6044</v>
      </c>
      <c r="AN433" s="980"/>
    </row>
    <row r="434" spans="30:40">
      <c r="AD434">
        <v>3195</v>
      </c>
      <c r="AF434">
        <v>3195</v>
      </c>
      <c r="AJ434">
        <v>6045</v>
      </c>
      <c r="AN434" s="980"/>
    </row>
    <row r="435" spans="30:40">
      <c r="AD435">
        <v>3196</v>
      </c>
      <c r="AF435">
        <v>3196</v>
      </c>
      <c r="AJ435">
        <v>6046</v>
      </c>
      <c r="AN435" s="980"/>
    </row>
    <row r="436" spans="30:40">
      <c r="AD436">
        <v>3197</v>
      </c>
      <c r="AF436">
        <v>3197</v>
      </c>
      <c r="AJ436">
        <v>6047</v>
      </c>
      <c r="AN436" s="980"/>
    </row>
    <row r="437" spans="30:40">
      <c r="AD437">
        <v>3198</v>
      </c>
      <c r="AF437">
        <v>3198</v>
      </c>
      <c r="AJ437">
        <v>6048</v>
      </c>
      <c r="AN437" s="980"/>
    </row>
    <row r="438" spans="30:40">
      <c r="AD438">
        <v>3199</v>
      </c>
      <c r="AF438">
        <v>3199</v>
      </c>
      <c r="AJ438">
        <v>6049</v>
      </c>
      <c r="AN438" s="980"/>
    </row>
    <row r="439" spans="30:40">
      <c r="AD439">
        <v>3200</v>
      </c>
      <c r="AF439">
        <v>3200</v>
      </c>
      <c r="AJ439">
        <v>6050</v>
      </c>
      <c r="AN439" s="980"/>
    </row>
    <row r="440" spans="30:40">
      <c r="AD440">
        <v>3201</v>
      </c>
      <c r="AF440">
        <v>3201</v>
      </c>
      <c r="AJ440">
        <v>6051</v>
      </c>
      <c r="AN440" s="980"/>
    </row>
    <row r="441" spans="30:40">
      <c r="AD441">
        <v>3202</v>
      </c>
      <c r="AF441">
        <v>3202</v>
      </c>
      <c r="AJ441">
        <v>6052</v>
      </c>
      <c r="AN441" s="980"/>
    </row>
    <row r="442" spans="30:40">
      <c r="AD442">
        <v>3203</v>
      </c>
      <c r="AF442">
        <v>3203</v>
      </c>
      <c r="AJ442">
        <v>6053</v>
      </c>
      <c r="AN442" s="980"/>
    </row>
    <row r="443" spans="30:40">
      <c r="AD443">
        <v>3204</v>
      </c>
      <c r="AF443">
        <v>3204</v>
      </c>
      <c r="AJ443">
        <v>6054</v>
      </c>
      <c r="AN443" s="980"/>
    </row>
    <row r="444" spans="30:40">
      <c r="AD444">
        <v>3205</v>
      </c>
      <c r="AF444">
        <v>3205</v>
      </c>
      <c r="AJ444">
        <v>6055</v>
      </c>
      <c r="AN444" s="980"/>
    </row>
    <row r="445" spans="30:40">
      <c r="AD445">
        <v>3206</v>
      </c>
      <c r="AF445">
        <v>3206</v>
      </c>
      <c r="AJ445">
        <v>6056</v>
      </c>
      <c r="AN445" s="980"/>
    </row>
    <row r="446" spans="30:40">
      <c r="AD446">
        <v>3207</v>
      </c>
      <c r="AF446">
        <v>3207</v>
      </c>
      <c r="AJ446">
        <v>6057</v>
      </c>
      <c r="AN446" s="980"/>
    </row>
    <row r="447" spans="30:40">
      <c r="AD447">
        <v>2000</v>
      </c>
      <c r="AF447">
        <v>2000</v>
      </c>
      <c r="AJ447">
        <v>6058</v>
      </c>
      <c r="AN447" s="980"/>
    </row>
    <row r="448" spans="30:40">
      <c r="AD448">
        <v>2001</v>
      </c>
      <c r="AF448">
        <v>2001</v>
      </c>
      <c r="AJ448">
        <v>6059</v>
      </c>
      <c r="AN448" s="980"/>
    </row>
    <row r="449" spans="30:40">
      <c r="AD449">
        <v>2002</v>
      </c>
      <c r="AF449">
        <v>2002</v>
      </c>
      <c r="AJ449">
        <v>6060</v>
      </c>
      <c r="AN449" s="980"/>
    </row>
    <row r="450" spans="30:40">
      <c r="AD450">
        <v>2003</v>
      </c>
      <c r="AF450">
        <v>2003</v>
      </c>
      <c r="AJ450">
        <v>6061</v>
      </c>
      <c r="AN450" s="980"/>
    </row>
    <row r="451" spans="30:40">
      <c r="AD451">
        <v>2004</v>
      </c>
      <c r="AF451">
        <v>2004</v>
      </c>
      <c r="AJ451">
        <v>6062</v>
      </c>
      <c r="AN451" s="980"/>
    </row>
    <row r="452" spans="30:40">
      <c r="AD452">
        <v>2005</v>
      </c>
      <c r="AF452">
        <v>2005</v>
      </c>
      <c r="AJ452">
        <v>6063</v>
      </c>
      <c r="AN452" s="980"/>
    </row>
    <row r="453" spans="30:40">
      <c r="AD453">
        <v>2006</v>
      </c>
      <c r="AF453">
        <v>2006</v>
      </c>
      <c r="AJ453">
        <v>6064</v>
      </c>
      <c r="AN453" s="980"/>
    </row>
    <row r="454" spans="30:40">
      <c r="AD454">
        <v>2007</v>
      </c>
      <c r="AF454">
        <v>2007</v>
      </c>
      <c r="AJ454">
        <v>6065</v>
      </c>
      <c r="AN454" s="980"/>
    </row>
    <row r="455" spans="30:40">
      <c r="AD455">
        <v>2008</v>
      </c>
      <c r="AF455">
        <v>2008</v>
      </c>
      <c r="AJ455">
        <v>6066</v>
      </c>
      <c r="AN455" s="980"/>
    </row>
    <row r="456" spans="30:40">
      <c r="AD456">
        <v>2009</v>
      </c>
      <c r="AF456">
        <v>2009</v>
      </c>
      <c r="AJ456">
        <v>6067</v>
      </c>
      <c r="AN456" s="980"/>
    </row>
    <row r="457" spans="30:40">
      <c r="AD457">
        <v>2017</v>
      </c>
      <c r="AF457">
        <v>2017</v>
      </c>
      <c r="AJ457">
        <v>6068</v>
      </c>
      <c r="AN457" s="980"/>
    </row>
    <row r="458" spans="30:40">
      <c r="AD458">
        <v>2018</v>
      </c>
      <c r="AF458">
        <v>2018</v>
      </c>
      <c r="AJ458">
        <v>6069</v>
      </c>
      <c r="AN458" s="980"/>
    </row>
    <row r="459" spans="30:40">
      <c r="AD459">
        <v>2019</v>
      </c>
      <c r="AF459">
        <v>2019</v>
      </c>
      <c r="AJ459">
        <v>6070</v>
      </c>
      <c r="AN459" s="980"/>
    </row>
    <row r="460" spans="30:40">
      <c r="AD460">
        <v>2020</v>
      </c>
      <c r="AF460">
        <v>2020</v>
      </c>
      <c r="AJ460">
        <v>6071</v>
      </c>
      <c r="AN460" s="980"/>
    </row>
    <row r="461" spans="30:40">
      <c r="AD461">
        <v>3000</v>
      </c>
      <c r="AF461">
        <v>3000</v>
      </c>
      <c r="AJ461">
        <v>6072</v>
      </c>
      <c r="AN461" s="980"/>
    </row>
    <row r="462" spans="30:40">
      <c r="AD462">
        <v>3001</v>
      </c>
      <c r="AF462">
        <v>3001</v>
      </c>
      <c r="AJ462">
        <v>6073</v>
      </c>
      <c r="AN462" s="980"/>
    </row>
    <row r="463" spans="30:40">
      <c r="AD463">
        <v>3002</v>
      </c>
      <c r="AF463">
        <v>3002</v>
      </c>
      <c r="AJ463">
        <v>6074</v>
      </c>
      <c r="AN463" s="980"/>
    </row>
    <row r="464" spans="30:40">
      <c r="AD464">
        <v>3003</v>
      </c>
      <c r="AF464">
        <v>3003</v>
      </c>
      <c r="AJ464">
        <v>6075</v>
      </c>
      <c r="AN464" s="980"/>
    </row>
    <row r="465" spans="30:40">
      <c r="AD465">
        <v>3004</v>
      </c>
      <c r="AF465">
        <v>3004</v>
      </c>
      <c r="AJ465">
        <v>6076</v>
      </c>
      <c r="AN465" s="980"/>
    </row>
    <row r="466" spans="30:40">
      <c r="AD466">
        <v>3005</v>
      </c>
      <c r="AF466">
        <v>3005</v>
      </c>
      <c r="AJ466">
        <v>6077</v>
      </c>
      <c r="AN466" s="980"/>
    </row>
    <row r="467" spans="30:40">
      <c r="AD467">
        <v>3006</v>
      </c>
      <c r="AF467">
        <v>3006</v>
      </c>
      <c r="AJ467">
        <v>6078</v>
      </c>
      <c r="AN467" s="980"/>
    </row>
    <row r="468" spans="30:40">
      <c r="AD468">
        <v>3007</v>
      </c>
      <c r="AF468">
        <v>3007</v>
      </c>
      <c r="AJ468">
        <v>6079</v>
      </c>
      <c r="AN468" s="980"/>
    </row>
    <row r="469" spans="30:40">
      <c r="AD469">
        <v>3008</v>
      </c>
      <c r="AF469">
        <v>3008</v>
      </c>
      <c r="AJ469">
        <v>6080</v>
      </c>
      <c r="AN469" s="980"/>
    </row>
    <row r="470" spans="30:40">
      <c r="AD470">
        <v>3009</v>
      </c>
      <c r="AF470">
        <v>3009</v>
      </c>
      <c r="AJ470">
        <v>6081</v>
      </c>
      <c r="AN470" s="980"/>
    </row>
    <row r="471" spans="30:40">
      <c r="AD471">
        <v>8000</v>
      </c>
      <c r="AF471">
        <v>8000</v>
      </c>
      <c r="AJ471">
        <v>6082</v>
      </c>
      <c r="AL471" t="s">
        <v>325</v>
      </c>
      <c r="AN471" s="980"/>
    </row>
    <row r="472" spans="30:40">
      <c r="AD472">
        <v>8001</v>
      </c>
      <c r="AF472">
        <v>8001</v>
      </c>
      <c r="AJ472">
        <v>6083</v>
      </c>
      <c r="AN472" s="980"/>
    </row>
    <row r="473" spans="30:40">
      <c r="AD473">
        <v>8002</v>
      </c>
      <c r="AF473">
        <v>8002</v>
      </c>
      <c r="AJ473">
        <v>6084</v>
      </c>
      <c r="AN473" s="980"/>
    </row>
    <row r="474" spans="30:40">
      <c r="AD474">
        <v>8003</v>
      </c>
      <c r="AF474">
        <v>8003</v>
      </c>
      <c r="AJ474">
        <v>6085</v>
      </c>
      <c r="AN474" s="980"/>
    </row>
    <row r="475" spans="30:40">
      <c r="AD475">
        <v>8004</v>
      </c>
      <c r="AF475">
        <v>8004</v>
      </c>
      <c r="AJ475">
        <v>6086</v>
      </c>
      <c r="AN475" s="980"/>
    </row>
    <row r="476" spans="30:40">
      <c r="AD476">
        <v>8005</v>
      </c>
      <c r="AF476">
        <v>8005</v>
      </c>
      <c r="AJ476">
        <v>6087</v>
      </c>
      <c r="AN476" s="980"/>
    </row>
    <row r="477" spans="30:40">
      <c r="AD477">
        <v>8006</v>
      </c>
      <c r="AF477">
        <v>8006</v>
      </c>
      <c r="AJ477">
        <v>6088</v>
      </c>
      <c r="AN477" s="980"/>
    </row>
    <row r="478" spans="30:40">
      <c r="AD478">
        <v>8007</v>
      </c>
      <c r="AF478">
        <v>8007</v>
      </c>
      <c r="AJ478">
        <v>6089</v>
      </c>
      <c r="AN478" s="980"/>
    </row>
    <row r="479" spans="30:40">
      <c r="AD479">
        <v>8008</v>
      </c>
      <c r="AF479">
        <v>8008</v>
      </c>
      <c r="AJ479">
        <v>6090</v>
      </c>
      <c r="AN479" s="980"/>
    </row>
    <row r="480" spans="30:40">
      <c r="AD480">
        <v>8009</v>
      </c>
      <c r="AF480">
        <v>8009</v>
      </c>
      <c r="AJ480">
        <v>6091</v>
      </c>
      <c r="AN480" s="980"/>
    </row>
    <row r="481" spans="30:40">
      <c r="AD481">
        <v>8010</v>
      </c>
      <c r="AF481">
        <v>8010</v>
      </c>
      <c r="AJ481">
        <v>6092</v>
      </c>
      <c r="AN481" s="980"/>
    </row>
    <row r="482" spans="30:40">
      <c r="AD482">
        <v>8011</v>
      </c>
      <c r="AF482">
        <v>8011</v>
      </c>
      <c r="AJ482">
        <v>6093</v>
      </c>
      <c r="AN482" s="980"/>
    </row>
    <row r="483" spans="30:40">
      <c r="AD483">
        <v>8012</v>
      </c>
      <c r="AF483">
        <v>8012</v>
      </c>
      <c r="AJ483">
        <v>6094</v>
      </c>
      <c r="AN483" s="980"/>
    </row>
    <row r="484" spans="30:40">
      <c r="AD484">
        <v>8013</v>
      </c>
      <c r="AF484">
        <v>8013</v>
      </c>
      <c r="AJ484">
        <v>6095</v>
      </c>
      <c r="AN484" s="980"/>
    </row>
    <row r="485" spans="30:40">
      <c r="AD485">
        <v>8014</v>
      </c>
      <c r="AF485">
        <v>8014</v>
      </c>
      <c r="AJ485">
        <v>6096</v>
      </c>
      <c r="AN485" s="980"/>
    </row>
    <row r="486" spans="30:40">
      <c r="AD486">
        <v>8015</v>
      </c>
      <c r="AF486">
        <v>8015</v>
      </c>
      <c r="AJ486">
        <v>6097</v>
      </c>
      <c r="AN486" s="980"/>
    </row>
    <row r="487" spans="30:40">
      <c r="AD487">
        <v>8016</v>
      </c>
      <c r="AF487">
        <v>8016</v>
      </c>
      <c r="AJ487">
        <v>6098</v>
      </c>
      <c r="AN487" s="980"/>
    </row>
    <row r="488" spans="30:40">
      <c r="AD488">
        <v>8017</v>
      </c>
      <c r="AF488">
        <v>8017</v>
      </c>
      <c r="AJ488">
        <v>6099</v>
      </c>
      <c r="AN488" s="980"/>
    </row>
    <row r="489" spans="30:40">
      <c r="AD489">
        <v>8018</v>
      </c>
      <c r="AF489">
        <v>8018</v>
      </c>
      <c r="AJ489">
        <v>6100</v>
      </c>
      <c r="AN489" s="980"/>
    </row>
    <row r="490" spans="30:40">
      <c r="AD490">
        <v>8019</v>
      </c>
      <c r="AF490">
        <v>8019</v>
      </c>
      <c r="AJ490">
        <v>6101</v>
      </c>
      <c r="AN490" s="980"/>
    </row>
    <row r="491" spans="30:40">
      <c r="AD491">
        <v>8020</v>
      </c>
      <c r="AF491">
        <v>8020</v>
      </c>
      <c r="AJ491">
        <v>6102</v>
      </c>
      <c r="AN491" s="980"/>
    </row>
    <row r="492" spans="30:40">
      <c r="AD492">
        <v>8021</v>
      </c>
      <c r="AF492">
        <v>8021</v>
      </c>
      <c r="AJ492">
        <v>6103</v>
      </c>
      <c r="AN492" s="980"/>
    </row>
    <row r="493" spans="30:40">
      <c r="AD493">
        <v>8022</v>
      </c>
      <c r="AF493">
        <v>8022</v>
      </c>
      <c r="AJ493">
        <v>6104</v>
      </c>
      <c r="AN493" s="980"/>
    </row>
    <row r="494" spans="30:40">
      <c r="AD494">
        <v>8023</v>
      </c>
      <c r="AF494">
        <v>8023</v>
      </c>
      <c r="AJ494">
        <v>6105</v>
      </c>
      <c r="AN494" s="980"/>
    </row>
    <row r="495" spans="30:40">
      <c r="AD495">
        <v>8024</v>
      </c>
      <c r="AF495">
        <v>8024</v>
      </c>
      <c r="AJ495">
        <v>6106</v>
      </c>
      <c r="AN495" s="980"/>
    </row>
    <row r="496" spans="30:40">
      <c r="AD496">
        <v>8025</v>
      </c>
      <c r="AF496">
        <v>8025</v>
      </c>
      <c r="AJ496">
        <v>6107</v>
      </c>
      <c r="AN496" s="980"/>
    </row>
    <row r="497" spans="30:40">
      <c r="AD497">
        <v>8026</v>
      </c>
      <c r="AF497">
        <v>8026</v>
      </c>
      <c r="AJ497">
        <v>6108</v>
      </c>
      <c r="AN497" s="980"/>
    </row>
    <row r="498" spans="30:40">
      <c r="AD498">
        <v>8027</v>
      </c>
      <c r="AF498">
        <v>8027</v>
      </c>
      <c r="AJ498">
        <v>6109</v>
      </c>
      <c r="AN498" s="980"/>
    </row>
    <row r="499" spans="30:40">
      <c r="AD499">
        <v>8028</v>
      </c>
      <c r="AF499">
        <v>8028</v>
      </c>
      <c r="AJ499">
        <v>6110</v>
      </c>
      <c r="AN499" s="980"/>
    </row>
    <row r="500" spans="30:40">
      <c r="AD500">
        <v>8029</v>
      </c>
      <c r="AF500">
        <v>8029</v>
      </c>
      <c r="AJ500">
        <v>6111</v>
      </c>
      <c r="AN500" s="980"/>
    </row>
    <row r="501" spans="30:40">
      <c r="AD501">
        <v>8030</v>
      </c>
      <c r="AF501">
        <v>8030</v>
      </c>
      <c r="AJ501">
        <v>6112</v>
      </c>
      <c r="AN501" s="980"/>
    </row>
    <row r="502" spans="30:40">
      <c r="AD502">
        <v>8031</v>
      </c>
      <c r="AF502">
        <v>8031</v>
      </c>
      <c r="AJ502">
        <v>6113</v>
      </c>
      <c r="AN502" s="980"/>
    </row>
    <row r="503" spans="30:40">
      <c r="AD503">
        <v>8032</v>
      </c>
      <c r="AF503">
        <v>8032</v>
      </c>
      <c r="AJ503">
        <v>6114</v>
      </c>
      <c r="AN503" s="980"/>
    </row>
    <row r="504" spans="30:40">
      <c r="AD504">
        <v>8033</v>
      </c>
      <c r="AF504">
        <v>8033</v>
      </c>
      <c r="AJ504">
        <v>6115</v>
      </c>
      <c r="AN504" s="980"/>
    </row>
    <row r="505" spans="30:40">
      <c r="AD505">
        <v>8034</v>
      </c>
      <c r="AF505">
        <v>8034</v>
      </c>
      <c r="AJ505">
        <v>6116</v>
      </c>
      <c r="AN505" s="980"/>
    </row>
    <row r="506" spans="30:40">
      <c r="AD506">
        <v>8035</v>
      </c>
      <c r="AF506">
        <v>8035</v>
      </c>
      <c r="AJ506">
        <v>6117</v>
      </c>
      <c r="AN506" s="980"/>
    </row>
    <row r="507" spans="30:40">
      <c r="AD507">
        <v>8036</v>
      </c>
      <c r="AF507">
        <v>8036</v>
      </c>
      <c r="AJ507">
        <v>6118</v>
      </c>
      <c r="AN507" s="980"/>
    </row>
    <row r="508" spans="30:40">
      <c r="AD508">
        <v>8037</v>
      </c>
      <c r="AF508">
        <v>8037</v>
      </c>
      <c r="AJ508">
        <v>6119</v>
      </c>
      <c r="AN508" s="980"/>
    </row>
    <row r="509" spans="30:40">
      <c r="AD509">
        <v>8038</v>
      </c>
      <c r="AF509">
        <v>8038</v>
      </c>
      <c r="AJ509">
        <v>6120</v>
      </c>
      <c r="AN509" s="980"/>
    </row>
    <row r="510" spans="30:40">
      <c r="AD510">
        <v>8039</v>
      </c>
      <c r="AF510">
        <v>8039</v>
      </c>
      <c r="AJ510">
        <v>6121</v>
      </c>
      <c r="AN510" s="980"/>
    </row>
    <row r="511" spans="30:40">
      <c r="AD511">
        <v>8040</v>
      </c>
      <c r="AF511">
        <v>8040</v>
      </c>
      <c r="AJ511">
        <v>6122</v>
      </c>
      <c r="AN511" s="980"/>
    </row>
    <row r="512" spans="30:40">
      <c r="AD512">
        <v>8041</v>
      </c>
      <c r="AF512">
        <v>8041</v>
      </c>
      <c r="AJ512">
        <v>6123</v>
      </c>
      <c r="AN512" s="980"/>
    </row>
    <row r="513" spans="30:40">
      <c r="AD513">
        <v>8042</v>
      </c>
      <c r="AF513">
        <v>8042</v>
      </c>
      <c r="AJ513">
        <v>6124</v>
      </c>
      <c r="AN513" s="980"/>
    </row>
    <row r="514" spans="30:40">
      <c r="AD514">
        <v>8043</v>
      </c>
      <c r="AF514">
        <v>8043</v>
      </c>
      <c r="AJ514">
        <v>6125</v>
      </c>
      <c r="AN514" s="980"/>
    </row>
    <row r="515" spans="30:40">
      <c r="AD515">
        <v>8044</v>
      </c>
      <c r="AF515">
        <v>8044</v>
      </c>
      <c r="AJ515">
        <v>6126</v>
      </c>
      <c r="AN515" s="980"/>
    </row>
    <row r="516" spans="30:40">
      <c r="AD516">
        <v>8045</v>
      </c>
      <c r="AF516">
        <v>8045</v>
      </c>
      <c r="AJ516">
        <v>6127</v>
      </c>
      <c r="AN516" s="980"/>
    </row>
    <row r="517" spans="30:40">
      <c r="AD517">
        <v>8046</v>
      </c>
      <c r="AF517">
        <v>8046</v>
      </c>
      <c r="AJ517">
        <v>6128</v>
      </c>
      <c r="AN517" s="980"/>
    </row>
    <row r="518" spans="30:40">
      <c r="AD518">
        <v>8047</v>
      </c>
      <c r="AF518">
        <v>8047</v>
      </c>
      <c r="AJ518">
        <v>6129</v>
      </c>
      <c r="AN518" s="980"/>
    </row>
    <row r="519" spans="30:40">
      <c r="AD519">
        <v>8048</v>
      </c>
      <c r="AF519">
        <v>8048</v>
      </c>
      <c r="AJ519">
        <v>6130</v>
      </c>
      <c r="AN519" s="980"/>
    </row>
    <row r="520" spans="30:40">
      <c r="AD520">
        <v>8049</v>
      </c>
      <c r="AF520">
        <v>8049</v>
      </c>
      <c r="AJ520">
        <v>6131</v>
      </c>
      <c r="AN520" s="980"/>
    </row>
    <row r="521" spans="30:40">
      <c r="AD521">
        <v>8050</v>
      </c>
      <c r="AF521">
        <v>8050</v>
      </c>
      <c r="AJ521">
        <v>6132</v>
      </c>
      <c r="AN521" s="980"/>
    </row>
    <row r="522" spans="30:40">
      <c r="AD522">
        <v>8051</v>
      </c>
      <c r="AF522">
        <v>8051</v>
      </c>
      <c r="AJ522">
        <v>6133</v>
      </c>
      <c r="AN522" s="980"/>
    </row>
    <row r="523" spans="30:40">
      <c r="AD523">
        <v>8052</v>
      </c>
      <c r="AF523">
        <v>8052</v>
      </c>
      <c r="AJ523">
        <v>6134</v>
      </c>
      <c r="AN523" s="980"/>
    </row>
    <row r="524" spans="30:40">
      <c r="AD524">
        <v>8053</v>
      </c>
      <c r="AF524">
        <v>8053</v>
      </c>
      <c r="AJ524">
        <v>6135</v>
      </c>
      <c r="AN524" s="980"/>
    </row>
    <row r="525" spans="30:40">
      <c r="AD525">
        <v>8054</v>
      </c>
      <c r="AF525">
        <v>8054</v>
      </c>
      <c r="AJ525">
        <v>6136</v>
      </c>
      <c r="AN525" s="980"/>
    </row>
    <row r="526" spans="30:40">
      <c r="AD526">
        <v>8055</v>
      </c>
      <c r="AF526">
        <v>8055</v>
      </c>
      <c r="AJ526">
        <v>6137</v>
      </c>
      <c r="AN526" s="980"/>
    </row>
    <row r="527" spans="30:40">
      <c r="AD527">
        <v>8056</v>
      </c>
      <c r="AF527">
        <v>8056</v>
      </c>
      <c r="AJ527">
        <v>6138</v>
      </c>
      <c r="AN527" s="980"/>
    </row>
    <row r="528" spans="30:40">
      <c r="AD528">
        <v>8057</v>
      </c>
      <c r="AF528">
        <v>8057</v>
      </c>
      <c r="AJ528">
        <v>6139</v>
      </c>
      <c r="AN528" s="980"/>
    </row>
    <row r="529" spans="30:40">
      <c r="AD529">
        <v>8058</v>
      </c>
      <c r="AF529">
        <v>8058</v>
      </c>
      <c r="AJ529">
        <v>6140</v>
      </c>
      <c r="AN529" s="980"/>
    </row>
    <row r="530" spans="30:40">
      <c r="AD530">
        <v>8059</v>
      </c>
      <c r="AF530">
        <v>8059</v>
      </c>
      <c r="AJ530">
        <v>6141</v>
      </c>
      <c r="AN530" s="980"/>
    </row>
    <row r="531" spans="30:40">
      <c r="AD531">
        <v>8060</v>
      </c>
      <c r="AF531">
        <v>8060</v>
      </c>
      <c r="AJ531">
        <v>6142</v>
      </c>
      <c r="AN531" s="980"/>
    </row>
    <row r="532" spans="30:40">
      <c r="AD532">
        <v>8061</v>
      </c>
      <c r="AF532">
        <v>8061</v>
      </c>
      <c r="AJ532">
        <v>6143</v>
      </c>
      <c r="AN532" s="980"/>
    </row>
    <row r="533" spans="30:40">
      <c r="AD533">
        <v>8062</v>
      </c>
      <c r="AF533">
        <v>8062</v>
      </c>
      <c r="AJ533">
        <v>6144</v>
      </c>
      <c r="AN533" s="980"/>
    </row>
    <row r="534" spans="30:40">
      <c r="AD534">
        <v>8063</v>
      </c>
      <c r="AF534">
        <v>8063</v>
      </c>
      <c r="AJ534">
        <v>6145</v>
      </c>
      <c r="AN534" s="980"/>
    </row>
    <row r="535" spans="30:40">
      <c r="AD535">
        <v>8064</v>
      </c>
      <c r="AF535">
        <v>8064</v>
      </c>
      <c r="AJ535">
        <v>6146</v>
      </c>
      <c r="AN535" s="980"/>
    </row>
    <row r="536" spans="30:40">
      <c r="AD536">
        <v>8065</v>
      </c>
      <c r="AF536">
        <v>8065</v>
      </c>
      <c r="AJ536">
        <v>6147</v>
      </c>
      <c r="AN536" s="980"/>
    </row>
    <row r="537" spans="30:40">
      <c r="AD537">
        <v>8066</v>
      </c>
      <c r="AF537">
        <v>8066</v>
      </c>
      <c r="AJ537">
        <v>6148</v>
      </c>
      <c r="AN537" s="980"/>
    </row>
    <row r="538" spans="30:40">
      <c r="AD538">
        <v>8067</v>
      </c>
      <c r="AF538">
        <v>8067</v>
      </c>
      <c r="AJ538">
        <v>6149</v>
      </c>
      <c r="AN538" s="980"/>
    </row>
    <row r="539" spans="30:40">
      <c r="AD539">
        <v>8068</v>
      </c>
      <c r="AF539">
        <v>8068</v>
      </c>
      <c r="AJ539">
        <v>6150</v>
      </c>
      <c r="AN539" s="980"/>
    </row>
    <row r="540" spans="30:40">
      <c r="AD540">
        <v>8069</v>
      </c>
      <c r="AF540">
        <v>8069</v>
      </c>
      <c r="AJ540">
        <v>6151</v>
      </c>
      <c r="AN540" s="980"/>
    </row>
    <row r="541" spans="30:40">
      <c r="AD541">
        <v>8070</v>
      </c>
      <c r="AF541">
        <v>8070</v>
      </c>
      <c r="AJ541">
        <v>6152</v>
      </c>
      <c r="AN541" s="980"/>
    </row>
    <row r="542" spans="30:40">
      <c r="AD542">
        <v>8071</v>
      </c>
      <c r="AF542">
        <v>8071</v>
      </c>
      <c r="AJ542">
        <v>6153</v>
      </c>
      <c r="AN542" s="980"/>
    </row>
    <row r="543" spans="30:40">
      <c r="AD543">
        <v>8072</v>
      </c>
      <c r="AF543">
        <v>8072</v>
      </c>
      <c r="AJ543">
        <v>6154</v>
      </c>
      <c r="AN543" s="980"/>
    </row>
    <row r="544" spans="30:40">
      <c r="AD544">
        <v>8073</v>
      </c>
      <c r="AF544">
        <v>8073</v>
      </c>
      <c r="AJ544">
        <v>6155</v>
      </c>
      <c r="AN544" s="980"/>
    </row>
    <row r="545" spans="29:40">
      <c r="AD545">
        <v>8074</v>
      </c>
      <c r="AF545">
        <v>8074</v>
      </c>
      <c r="AJ545">
        <v>6156</v>
      </c>
      <c r="AN545" s="980"/>
    </row>
    <row r="546" spans="29:40">
      <c r="AD546">
        <v>8075</v>
      </c>
      <c r="AF546">
        <v>8075</v>
      </c>
      <c r="AJ546">
        <v>6157</v>
      </c>
      <c r="AN546" s="980"/>
    </row>
    <row r="547" spans="29:40">
      <c r="AD547">
        <v>8076</v>
      </c>
      <c r="AF547">
        <v>8076</v>
      </c>
      <c r="AJ547">
        <v>6158</v>
      </c>
      <c r="AN547" s="980"/>
    </row>
    <row r="548" spans="29:40">
      <c r="AD548">
        <v>8077</v>
      </c>
      <c r="AF548">
        <v>8077</v>
      </c>
      <c r="AJ548">
        <v>6159</v>
      </c>
      <c r="AN548" s="980"/>
    </row>
    <row r="549" spans="29:40">
      <c r="AD549">
        <v>8078</v>
      </c>
      <c r="AF549">
        <v>8078</v>
      </c>
      <c r="AJ549">
        <v>6160</v>
      </c>
      <c r="AN549" s="980"/>
    </row>
    <row r="550" spans="29:40">
      <c r="AD550">
        <v>8079</v>
      </c>
      <c r="AF550">
        <v>8079</v>
      </c>
      <c r="AJ550">
        <v>6161</v>
      </c>
      <c r="AN550" s="980"/>
    </row>
    <row r="551" spans="29:40">
      <c r="AD551">
        <v>8080</v>
      </c>
      <c r="AF551">
        <v>8080</v>
      </c>
      <c r="AJ551">
        <v>6162</v>
      </c>
      <c r="AN551" s="980"/>
    </row>
    <row r="552" spans="29:40">
      <c r="AD552">
        <v>8081</v>
      </c>
      <c r="AF552">
        <v>8081</v>
      </c>
      <c r="AJ552">
        <v>6163</v>
      </c>
      <c r="AN552" s="980"/>
    </row>
    <row r="553" spans="29:40">
      <c r="AD553">
        <v>8082</v>
      </c>
      <c r="AF553">
        <v>8082</v>
      </c>
      <c r="AJ553">
        <v>6164</v>
      </c>
      <c r="AN553" s="980"/>
    </row>
    <row r="554" spans="29:40">
      <c r="AC554" t="s">
        <v>323</v>
      </c>
      <c r="AD554">
        <v>8083</v>
      </c>
      <c r="AF554">
        <v>8083</v>
      </c>
      <c r="AJ554">
        <v>6165</v>
      </c>
      <c r="AN554" s="980"/>
    </row>
    <row r="555" spans="29:40">
      <c r="AD555">
        <v>8084</v>
      </c>
      <c r="AF555">
        <v>8084</v>
      </c>
      <c r="AJ555">
        <v>6166</v>
      </c>
      <c r="AN555" s="980"/>
    </row>
    <row r="556" spans="29:40">
      <c r="AD556">
        <v>8085</v>
      </c>
      <c r="AF556">
        <v>8085</v>
      </c>
      <c r="AJ556">
        <v>6167</v>
      </c>
      <c r="AN556" s="980"/>
    </row>
    <row r="557" spans="29:40">
      <c r="AD557">
        <v>8086</v>
      </c>
      <c r="AF557">
        <v>8086</v>
      </c>
      <c r="AJ557">
        <v>6168</v>
      </c>
      <c r="AN557" s="980"/>
    </row>
    <row r="558" spans="29:40">
      <c r="AD558">
        <v>8087</v>
      </c>
      <c r="AF558">
        <v>8087</v>
      </c>
      <c r="AJ558">
        <v>6169</v>
      </c>
      <c r="AN558" s="980"/>
    </row>
    <row r="559" spans="29:40">
      <c r="AD559">
        <v>8088</v>
      </c>
      <c r="AF559">
        <v>8088</v>
      </c>
      <c r="AJ559">
        <v>6170</v>
      </c>
      <c r="AN559" s="980"/>
    </row>
    <row r="560" spans="29:40">
      <c r="AD560">
        <v>8089</v>
      </c>
      <c r="AF560">
        <v>8089</v>
      </c>
      <c r="AJ560">
        <v>6171</v>
      </c>
      <c r="AN560" s="980"/>
    </row>
    <row r="561" spans="30:40">
      <c r="AD561">
        <v>8090</v>
      </c>
      <c r="AF561">
        <v>8090</v>
      </c>
      <c r="AJ561">
        <v>6172</v>
      </c>
      <c r="AN561" s="980"/>
    </row>
    <row r="562" spans="30:40">
      <c r="AD562">
        <v>8091</v>
      </c>
      <c r="AF562">
        <v>8091</v>
      </c>
      <c r="AJ562">
        <v>6173</v>
      </c>
      <c r="AN562" s="980"/>
    </row>
    <row r="563" spans="30:40">
      <c r="AD563">
        <v>8092</v>
      </c>
      <c r="AF563">
        <v>8092</v>
      </c>
      <c r="AJ563">
        <v>6174</v>
      </c>
      <c r="AN563" s="980"/>
    </row>
    <row r="564" spans="30:40">
      <c r="AD564">
        <v>8093</v>
      </c>
      <c r="AF564">
        <v>8093</v>
      </c>
      <c r="AJ564">
        <v>6175</v>
      </c>
      <c r="AN564" s="980"/>
    </row>
    <row r="565" spans="30:40">
      <c r="AD565">
        <v>8094</v>
      </c>
      <c r="AF565">
        <v>8094</v>
      </c>
      <c r="AJ565">
        <v>6176</v>
      </c>
      <c r="AN565" s="980"/>
    </row>
    <row r="566" spans="30:40">
      <c r="AD566">
        <v>8095</v>
      </c>
      <c r="AF566">
        <v>8095</v>
      </c>
      <c r="AJ566">
        <v>6177</v>
      </c>
      <c r="AN566" s="980"/>
    </row>
    <row r="567" spans="30:40">
      <c r="AD567">
        <v>8096</v>
      </c>
      <c r="AF567">
        <v>8096</v>
      </c>
      <c r="AJ567">
        <v>6178</v>
      </c>
      <c r="AN567" s="980"/>
    </row>
    <row r="568" spans="30:40">
      <c r="AD568">
        <v>8097</v>
      </c>
      <c r="AF568">
        <v>8097</v>
      </c>
      <c r="AJ568">
        <v>6179</v>
      </c>
      <c r="AN568" s="980"/>
    </row>
    <row r="569" spans="30:40">
      <c r="AD569">
        <v>8098</v>
      </c>
      <c r="AF569">
        <v>8098</v>
      </c>
      <c r="AJ569">
        <v>6180</v>
      </c>
      <c r="AN569" s="980"/>
    </row>
    <row r="570" spans="30:40">
      <c r="AD570">
        <v>8099</v>
      </c>
      <c r="AF570">
        <v>8099</v>
      </c>
      <c r="AJ570">
        <v>6181</v>
      </c>
      <c r="AN570" s="980"/>
    </row>
    <row r="571" spans="30:40">
      <c r="AD571">
        <v>8100</v>
      </c>
      <c r="AF571">
        <v>8100</v>
      </c>
      <c r="AJ571">
        <v>6182</v>
      </c>
      <c r="AN571" s="980"/>
    </row>
    <row r="572" spans="30:40">
      <c r="AD572">
        <v>8101</v>
      </c>
      <c r="AF572">
        <v>8101</v>
      </c>
      <c r="AJ572">
        <v>6183</v>
      </c>
      <c r="AN572" s="980"/>
    </row>
    <row r="573" spans="30:40">
      <c r="AD573">
        <v>8102</v>
      </c>
      <c r="AF573">
        <v>8102</v>
      </c>
      <c r="AJ573">
        <v>6184</v>
      </c>
      <c r="AN573" s="980"/>
    </row>
    <row r="574" spans="30:40">
      <c r="AD574">
        <v>8103</v>
      </c>
      <c r="AF574">
        <v>8103</v>
      </c>
      <c r="AJ574">
        <v>6185</v>
      </c>
      <c r="AN574" s="980"/>
    </row>
    <row r="575" spans="30:40">
      <c r="AD575">
        <v>8104</v>
      </c>
      <c r="AF575">
        <v>8104</v>
      </c>
      <c r="AJ575">
        <v>6186</v>
      </c>
      <c r="AN575" s="980"/>
    </row>
    <row r="576" spans="30:40">
      <c r="AD576">
        <v>8105</v>
      </c>
      <c r="AF576">
        <v>8105</v>
      </c>
      <c r="AJ576">
        <v>6187</v>
      </c>
      <c r="AN576" s="980"/>
    </row>
    <row r="577" spans="30:40">
      <c r="AD577">
        <v>8106</v>
      </c>
      <c r="AF577">
        <v>8106</v>
      </c>
      <c r="AJ577">
        <v>6188</v>
      </c>
      <c r="AN577" s="980"/>
    </row>
    <row r="578" spans="30:40">
      <c r="AD578">
        <v>8107</v>
      </c>
      <c r="AF578">
        <v>8107</v>
      </c>
      <c r="AJ578">
        <v>6189</v>
      </c>
      <c r="AN578" s="980"/>
    </row>
    <row r="579" spans="30:40">
      <c r="AD579">
        <v>8108</v>
      </c>
      <c r="AF579">
        <v>8108</v>
      </c>
      <c r="AJ579">
        <v>6190</v>
      </c>
      <c r="AN579" s="980"/>
    </row>
    <row r="580" spans="30:40">
      <c r="AD580">
        <v>8109</v>
      </c>
      <c r="AF580">
        <v>8109</v>
      </c>
      <c r="AJ580">
        <v>6191</v>
      </c>
      <c r="AN580" s="980"/>
    </row>
    <row r="581" spans="30:40">
      <c r="AD581">
        <v>8110</v>
      </c>
      <c r="AF581">
        <v>8110</v>
      </c>
      <c r="AJ581">
        <v>6192</v>
      </c>
      <c r="AN581" s="980"/>
    </row>
    <row r="582" spans="30:40">
      <c r="AD582">
        <v>8111</v>
      </c>
      <c r="AF582">
        <v>8111</v>
      </c>
      <c r="AJ582">
        <v>6193</v>
      </c>
      <c r="AN582" s="980"/>
    </row>
    <row r="583" spans="30:40">
      <c r="AD583">
        <v>8112</v>
      </c>
      <c r="AF583">
        <v>8112</v>
      </c>
      <c r="AJ583">
        <v>6194</v>
      </c>
      <c r="AN583" s="980"/>
    </row>
    <row r="584" spans="30:40">
      <c r="AD584">
        <v>8113</v>
      </c>
      <c r="AF584">
        <v>8113</v>
      </c>
      <c r="AJ584">
        <v>6195</v>
      </c>
      <c r="AN584" s="980"/>
    </row>
    <row r="585" spans="30:40">
      <c r="AD585">
        <v>8114</v>
      </c>
      <c r="AF585">
        <v>8114</v>
      </c>
      <c r="AJ585">
        <v>6196</v>
      </c>
      <c r="AN585" s="980"/>
    </row>
    <row r="586" spans="30:40">
      <c r="AD586">
        <v>8115</v>
      </c>
      <c r="AF586">
        <v>8115</v>
      </c>
      <c r="AJ586">
        <v>6197</v>
      </c>
      <c r="AN586" s="980"/>
    </row>
    <row r="587" spans="30:40">
      <c r="AD587">
        <v>8116</v>
      </c>
      <c r="AF587">
        <v>8116</v>
      </c>
      <c r="AJ587">
        <v>6198</v>
      </c>
      <c r="AN587" s="980"/>
    </row>
    <row r="588" spans="30:40">
      <c r="AD588">
        <v>8117</v>
      </c>
      <c r="AF588">
        <v>8117</v>
      </c>
      <c r="AJ588">
        <v>6199</v>
      </c>
      <c r="AN588" s="980"/>
    </row>
    <row r="589" spans="30:40">
      <c r="AD589">
        <v>8118</v>
      </c>
      <c r="AF589">
        <v>8118</v>
      </c>
      <c r="AJ589">
        <v>6200</v>
      </c>
      <c r="AN589" s="980"/>
    </row>
    <row r="590" spans="30:40">
      <c r="AD590">
        <v>8119</v>
      </c>
      <c r="AF590">
        <v>8119</v>
      </c>
      <c r="AJ590">
        <v>6201</v>
      </c>
      <c r="AN590" s="980"/>
    </row>
    <row r="591" spans="30:40">
      <c r="AD591">
        <v>8120</v>
      </c>
      <c r="AF591">
        <v>8120</v>
      </c>
      <c r="AJ591">
        <v>6202</v>
      </c>
      <c r="AN591" s="980"/>
    </row>
    <row r="592" spans="30:40">
      <c r="AD592">
        <v>8121</v>
      </c>
      <c r="AF592">
        <v>8121</v>
      </c>
      <c r="AJ592">
        <v>6203</v>
      </c>
      <c r="AN592" s="980"/>
    </row>
    <row r="593" spans="30:40">
      <c r="AD593">
        <v>8122</v>
      </c>
      <c r="AF593">
        <v>8122</v>
      </c>
      <c r="AJ593">
        <v>6204</v>
      </c>
      <c r="AN593" s="980"/>
    </row>
    <row r="594" spans="30:40">
      <c r="AD594">
        <v>8123</v>
      </c>
      <c r="AF594">
        <v>8123</v>
      </c>
      <c r="AJ594">
        <v>6205</v>
      </c>
      <c r="AN594" s="980"/>
    </row>
    <row r="595" spans="30:40">
      <c r="AD595">
        <v>8124</v>
      </c>
      <c r="AF595">
        <v>8124</v>
      </c>
      <c r="AJ595">
        <v>6206</v>
      </c>
      <c r="AN595" s="980"/>
    </row>
    <row r="596" spans="30:40">
      <c r="AD596">
        <v>8125</v>
      </c>
      <c r="AF596">
        <v>8125</v>
      </c>
      <c r="AJ596">
        <v>6207</v>
      </c>
      <c r="AN596" s="980"/>
    </row>
    <row r="597" spans="30:40">
      <c r="AD597">
        <v>8126</v>
      </c>
      <c r="AF597">
        <v>8126</v>
      </c>
      <c r="AJ597">
        <v>6208</v>
      </c>
      <c r="AN597" s="980"/>
    </row>
    <row r="598" spans="30:40">
      <c r="AD598">
        <v>8127</v>
      </c>
      <c r="AF598">
        <v>8127</v>
      </c>
      <c r="AJ598">
        <v>6209</v>
      </c>
      <c r="AN598" s="980"/>
    </row>
    <row r="599" spans="30:40">
      <c r="AD599">
        <v>8128</v>
      </c>
      <c r="AF599">
        <v>8128</v>
      </c>
      <c r="AJ599">
        <v>6210</v>
      </c>
      <c r="AN599" s="980"/>
    </row>
    <row r="600" spans="30:40">
      <c r="AD600">
        <v>8129</v>
      </c>
      <c r="AF600">
        <v>8129</v>
      </c>
      <c r="AI600" t="s">
        <v>325</v>
      </c>
      <c r="AJ600">
        <v>6211</v>
      </c>
      <c r="AN600" s="980"/>
    </row>
    <row r="601" spans="30:40">
      <c r="AD601">
        <v>8130</v>
      </c>
      <c r="AF601">
        <v>8130</v>
      </c>
      <c r="AJ601">
        <v>6212</v>
      </c>
      <c r="AN601" s="980"/>
    </row>
    <row r="602" spans="30:40">
      <c r="AD602">
        <v>8131</v>
      </c>
      <c r="AF602">
        <v>8131</v>
      </c>
      <c r="AJ602">
        <v>6213</v>
      </c>
      <c r="AN602" s="980"/>
    </row>
    <row r="603" spans="30:40">
      <c r="AD603">
        <v>8132</v>
      </c>
      <c r="AF603">
        <v>8132</v>
      </c>
      <c r="AJ603">
        <v>6214</v>
      </c>
      <c r="AN603" s="980"/>
    </row>
    <row r="604" spans="30:40">
      <c r="AD604">
        <v>8133</v>
      </c>
      <c r="AF604">
        <v>8133</v>
      </c>
      <c r="AJ604">
        <v>4000</v>
      </c>
      <c r="AN604" s="980"/>
    </row>
    <row r="605" spans="30:40">
      <c r="AD605">
        <v>8134</v>
      </c>
      <c r="AF605">
        <v>8134</v>
      </c>
      <c r="AJ605">
        <v>4001</v>
      </c>
      <c r="AN605" s="980"/>
    </row>
    <row r="606" spans="30:40">
      <c r="AD606">
        <v>8135</v>
      </c>
      <c r="AF606">
        <v>8135</v>
      </c>
      <c r="AJ606">
        <v>4002</v>
      </c>
      <c r="AN606" s="980"/>
    </row>
    <row r="607" spans="30:40">
      <c r="AD607">
        <v>8136</v>
      </c>
      <c r="AF607">
        <v>8136</v>
      </c>
      <c r="AJ607">
        <v>4003</v>
      </c>
      <c r="AN607" s="980"/>
    </row>
    <row r="608" spans="30:40">
      <c r="AD608">
        <v>8137</v>
      </c>
      <c r="AF608">
        <v>8137</v>
      </c>
      <c r="AJ608">
        <v>4004</v>
      </c>
      <c r="AN608" s="980"/>
    </row>
    <row r="609" spans="30:40">
      <c r="AD609">
        <v>8138</v>
      </c>
      <c r="AF609">
        <v>8138</v>
      </c>
      <c r="AJ609">
        <v>4005</v>
      </c>
      <c r="AN609" s="980"/>
    </row>
    <row r="610" spans="30:40">
      <c r="AD610">
        <v>8139</v>
      </c>
      <c r="AF610">
        <v>8139</v>
      </c>
      <c r="AJ610">
        <v>4006</v>
      </c>
      <c r="AN610" s="980"/>
    </row>
    <row r="611" spans="30:40">
      <c r="AD611">
        <v>8140</v>
      </c>
      <c r="AF611">
        <v>8140</v>
      </c>
      <c r="AJ611">
        <v>5000</v>
      </c>
      <c r="AN611" s="980"/>
    </row>
    <row r="612" spans="30:40">
      <c r="AD612">
        <v>8141</v>
      </c>
      <c r="AF612">
        <v>8141</v>
      </c>
      <c r="AJ612">
        <v>5001</v>
      </c>
      <c r="AN612" s="980"/>
    </row>
    <row r="613" spans="30:40">
      <c r="AD613">
        <v>8142</v>
      </c>
      <c r="AF613">
        <v>8142</v>
      </c>
      <c r="AJ613">
        <v>5002</v>
      </c>
      <c r="AN613" s="980"/>
    </row>
    <row r="614" spans="30:40">
      <c r="AD614">
        <v>8143</v>
      </c>
      <c r="AF614">
        <v>8143</v>
      </c>
      <c r="AJ614">
        <v>5003</v>
      </c>
      <c r="AN614" s="980"/>
    </row>
    <row r="615" spans="30:40">
      <c r="AD615">
        <v>8144</v>
      </c>
      <c r="AF615">
        <v>8144</v>
      </c>
      <c r="AJ615">
        <v>5004</v>
      </c>
      <c r="AN615" s="980"/>
    </row>
    <row r="616" spans="30:40">
      <c r="AD616">
        <v>8145</v>
      </c>
      <c r="AF616">
        <v>8145</v>
      </c>
      <c r="AJ616">
        <v>5005</v>
      </c>
      <c r="AN616" s="980"/>
    </row>
    <row r="617" spans="30:40">
      <c r="AD617">
        <v>8146</v>
      </c>
      <c r="AF617">
        <v>8146</v>
      </c>
      <c r="AJ617">
        <v>6000</v>
      </c>
      <c r="AN617" s="980"/>
    </row>
    <row r="618" spans="30:40">
      <c r="AD618">
        <v>8147</v>
      </c>
      <c r="AF618">
        <v>8147</v>
      </c>
      <c r="AJ618">
        <v>6001</v>
      </c>
      <c r="AN618" s="980"/>
    </row>
    <row r="619" spans="30:40">
      <c r="AD619">
        <v>8148</v>
      </c>
      <c r="AF619">
        <v>8148</v>
      </c>
      <c r="AJ619">
        <v>6002</v>
      </c>
      <c r="AN619" s="980"/>
    </row>
    <row r="620" spans="30:40">
      <c r="AD620">
        <v>8149</v>
      </c>
      <c r="AF620">
        <v>8149</v>
      </c>
      <c r="AJ620">
        <v>6003</v>
      </c>
      <c r="AN620" s="980"/>
    </row>
    <row r="621" spans="30:40">
      <c r="AD621">
        <v>8150</v>
      </c>
      <c r="AF621">
        <v>8150</v>
      </c>
      <c r="AJ621">
        <v>6004</v>
      </c>
      <c r="AN621" s="980"/>
    </row>
    <row r="622" spans="30:40">
      <c r="AD622">
        <v>8151</v>
      </c>
      <c r="AF622">
        <v>8151</v>
      </c>
      <c r="AJ622">
        <v>6005</v>
      </c>
      <c r="AN622" s="980"/>
    </row>
    <row r="623" spans="30:40">
      <c r="AD623">
        <v>8152</v>
      </c>
      <c r="AF623">
        <v>8152</v>
      </c>
      <c r="AJ623">
        <v>800</v>
      </c>
      <c r="AN623" s="980"/>
    </row>
    <row r="624" spans="30:40">
      <c r="AD624">
        <v>8153</v>
      </c>
      <c r="AF624">
        <v>8153</v>
      </c>
      <c r="AJ624">
        <v>7000</v>
      </c>
      <c r="AN624" s="980"/>
    </row>
    <row r="625" spans="30:40">
      <c r="AD625">
        <v>8154</v>
      </c>
      <c r="AF625">
        <v>8154</v>
      </c>
      <c r="AJ625">
        <v>9000</v>
      </c>
      <c r="AN625" s="980"/>
    </row>
    <row r="626" spans="30:40">
      <c r="AD626">
        <v>8155</v>
      </c>
      <c r="AF626">
        <v>8155</v>
      </c>
      <c r="AJ626">
        <v>9001</v>
      </c>
      <c r="AN626" s="980"/>
    </row>
    <row r="627" spans="30:40">
      <c r="AD627">
        <v>8156</v>
      </c>
      <c r="AF627">
        <v>8156</v>
      </c>
      <c r="AJ627">
        <v>9002</v>
      </c>
      <c r="AN627" s="980"/>
    </row>
    <row r="628" spans="30:40">
      <c r="AD628">
        <v>8157</v>
      </c>
      <c r="AF628">
        <v>8157</v>
      </c>
      <c r="AJ628">
        <v>9003</v>
      </c>
      <c r="AN628" s="980"/>
    </row>
    <row r="629" spans="30:40">
      <c r="AD629">
        <v>8158</v>
      </c>
      <c r="AF629">
        <v>8158</v>
      </c>
      <c r="AJ629">
        <v>9004</v>
      </c>
      <c r="AN629" s="980"/>
    </row>
    <row r="630" spans="30:40">
      <c r="AD630">
        <v>8159</v>
      </c>
      <c r="AF630">
        <v>8159</v>
      </c>
      <c r="AJ630">
        <v>9005</v>
      </c>
      <c r="AN630" s="980"/>
    </row>
    <row r="631" spans="30:40">
      <c r="AD631">
        <v>8160</v>
      </c>
      <c r="AF631">
        <v>8160</v>
      </c>
      <c r="AJ631">
        <v>9006</v>
      </c>
      <c r="AN631" s="980"/>
    </row>
    <row r="632" spans="30:40">
      <c r="AD632">
        <v>8161</v>
      </c>
      <c r="AF632">
        <v>8161</v>
      </c>
      <c r="AI632" t="s">
        <v>322</v>
      </c>
      <c r="AJ632">
        <v>9007</v>
      </c>
      <c r="AN632" s="980"/>
    </row>
    <row r="633" spans="30:40">
      <c r="AD633">
        <v>8162</v>
      </c>
      <c r="AF633">
        <v>8162</v>
      </c>
      <c r="AJ633">
        <v>9008</v>
      </c>
      <c r="AN633" s="980"/>
    </row>
    <row r="634" spans="30:40">
      <c r="AD634">
        <v>8163</v>
      </c>
      <c r="AF634">
        <v>8163</v>
      </c>
      <c r="AJ634">
        <v>9009</v>
      </c>
      <c r="AN634" s="980"/>
    </row>
    <row r="635" spans="30:40">
      <c r="AD635">
        <v>8164</v>
      </c>
      <c r="AF635">
        <v>8164</v>
      </c>
      <c r="AJ635">
        <v>9010</v>
      </c>
      <c r="AN635" s="980"/>
    </row>
    <row r="636" spans="30:40">
      <c r="AD636">
        <v>8165</v>
      </c>
      <c r="AF636">
        <v>8165</v>
      </c>
      <c r="AJ636">
        <v>9011</v>
      </c>
      <c r="AN636" s="980"/>
    </row>
    <row r="637" spans="30:40">
      <c r="AD637">
        <v>8166</v>
      </c>
      <c r="AF637">
        <v>8166</v>
      </c>
      <c r="AJ637">
        <v>9012</v>
      </c>
      <c r="AN637" s="980"/>
    </row>
    <row r="638" spans="30:40">
      <c r="AD638">
        <v>8167</v>
      </c>
      <c r="AF638">
        <v>8167</v>
      </c>
      <c r="AJ638">
        <v>9013</v>
      </c>
      <c r="AN638" s="980"/>
    </row>
    <row r="639" spans="30:40">
      <c r="AD639">
        <v>8168</v>
      </c>
      <c r="AF639">
        <v>8168</v>
      </c>
      <c r="AJ639">
        <v>9014</v>
      </c>
      <c r="AN639" s="980"/>
    </row>
    <row r="640" spans="30:40">
      <c r="AD640">
        <v>8169</v>
      </c>
      <c r="AF640">
        <v>8169</v>
      </c>
      <c r="AJ640">
        <v>9015</v>
      </c>
      <c r="AN640" s="980"/>
    </row>
    <row r="641" spans="30:40">
      <c r="AD641">
        <v>8170</v>
      </c>
      <c r="AF641">
        <v>8170</v>
      </c>
      <c r="AJ641">
        <v>9016</v>
      </c>
      <c r="AN641" s="980"/>
    </row>
    <row r="642" spans="30:40">
      <c r="AD642">
        <v>8171</v>
      </c>
      <c r="AF642">
        <v>8171</v>
      </c>
      <c r="AJ642">
        <v>9017</v>
      </c>
      <c r="AN642" s="980"/>
    </row>
    <row r="643" spans="30:40">
      <c r="AD643">
        <v>8172</v>
      </c>
      <c r="AF643">
        <v>8172</v>
      </c>
      <c r="AJ643">
        <v>9018</v>
      </c>
      <c r="AN643" s="980"/>
    </row>
    <row r="644" spans="30:40">
      <c r="AD644">
        <v>8173</v>
      </c>
      <c r="AF644">
        <v>8173</v>
      </c>
      <c r="AJ644">
        <v>9019</v>
      </c>
      <c r="AN644" s="980"/>
    </row>
    <row r="645" spans="30:40">
      <c r="AD645">
        <v>8174</v>
      </c>
      <c r="AF645">
        <v>8174</v>
      </c>
      <c r="AJ645">
        <v>9020</v>
      </c>
      <c r="AN645" s="980"/>
    </row>
    <row r="646" spans="30:40">
      <c r="AD646">
        <v>8175</v>
      </c>
      <c r="AF646">
        <v>8175</v>
      </c>
      <c r="AJ646">
        <v>9021</v>
      </c>
      <c r="AN646" s="980"/>
    </row>
    <row r="647" spans="30:40">
      <c r="AD647">
        <v>8176</v>
      </c>
      <c r="AF647">
        <v>8176</v>
      </c>
      <c r="AJ647">
        <v>9022</v>
      </c>
      <c r="AN647" s="980"/>
    </row>
    <row r="648" spans="30:40">
      <c r="AD648">
        <v>8177</v>
      </c>
      <c r="AF648">
        <v>8177</v>
      </c>
      <c r="AJ648">
        <v>9023</v>
      </c>
      <c r="AN648" s="980"/>
    </row>
    <row r="649" spans="30:40">
      <c r="AD649">
        <v>8178</v>
      </c>
      <c r="AF649">
        <v>8178</v>
      </c>
      <c r="AJ649">
        <v>9024</v>
      </c>
      <c r="AN649" s="980"/>
    </row>
    <row r="650" spans="30:40">
      <c r="AD650">
        <v>8179</v>
      </c>
      <c r="AF650">
        <v>8179</v>
      </c>
      <c r="AJ650">
        <v>9025</v>
      </c>
      <c r="AN650" s="980"/>
    </row>
    <row r="651" spans="30:40">
      <c r="AD651">
        <v>8180</v>
      </c>
      <c r="AF651">
        <v>8180</v>
      </c>
      <c r="AJ651">
        <v>9026</v>
      </c>
      <c r="AN651" s="980"/>
    </row>
    <row r="652" spans="30:40">
      <c r="AD652">
        <v>8181</v>
      </c>
      <c r="AF652">
        <v>8181</v>
      </c>
      <c r="AJ652">
        <v>9027</v>
      </c>
      <c r="AN652" s="980"/>
    </row>
    <row r="653" spans="30:40">
      <c r="AD653">
        <v>8182</v>
      </c>
      <c r="AF653">
        <v>8182</v>
      </c>
      <c r="AJ653">
        <v>9028</v>
      </c>
      <c r="AN653" s="980"/>
    </row>
    <row r="654" spans="30:40">
      <c r="AD654">
        <v>8183</v>
      </c>
      <c r="AF654">
        <v>8183</v>
      </c>
      <c r="AJ654">
        <v>9029</v>
      </c>
      <c r="AN654" s="980"/>
    </row>
    <row r="655" spans="30:40">
      <c r="AD655">
        <v>8184</v>
      </c>
      <c r="AF655">
        <v>8184</v>
      </c>
      <c r="AJ655">
        <v>9030</v>
      </c>
      <c r="AN655" s="980"/>
    </row>
    <row r="656" spans="30:40">
      <c r="AD656">
        <v>8185</v>
      </c>
      <c r="AF656">
        <v>8185</v>
      </c>
      <c r="AJ656">
        <v>9031</v>
      </c>
      <c r="AN656" s="980"/>
    </row>
    <row r="657" spans="30:40">
      <c r="AD657">
        <v>8186</v>
      </c>
      <c r="AF657">
        <v>8186</v>
      </c>
      <c r="AJ657">
        <v>9032</v>
      </c>
      <c r="AN657" s="980"/>
    </row>
    <row r="658" spans="30:40">
      <c r="AD658">
        <v>8187</v>
      </c>
      <c r="AF658">
        <v>8187</v>
      </c>
      <c r="AJ658">
        <v>9033</v>
      </c>
      <c r="AN658" s="980"/>
    </row>
    <row r="659" spans="30:40">
      <c r="AD659">
        <v>8188</v>
      </c>
      <c r="AF659">
        <v>8188</v>
      </c>
      <c r="AJ659">
        <v>9034</v>
      </c>
      <c r="AN659" s="980"/>
    </row>
    <row r="660" spans="30:40">
      <c r="AD660">
        <v>8189</v>
      </c>
      <c r="AF660">
        <v>8189</v>
      </c>
      <c r="AJ660">
        <v>9035</v>
      </c>
      <c r="AN660" s="980"/>
    </row>
    <row r="661" spans="30:40">
      <c r="AD661">
        <v>8190</v>
      </c>
      <c r="AF661">
        <v>8190</v>
      </c>
      <c r="AJ661">
        <v>9036</v>
      </c>
      <c r="AN661" s="980"/>
    </row>
    <row r="662" spans="30:40">
      <c r="AD662">
        <v>8191</v>
      </c>
      <c r="AF662">
        <v>8191</v>
      </c>
      <c r="AJ662">
        <v>9037</v>
      </c>
      <c r="AN662" s="980"/>
    </row>
    <row r="663" spans="30:40">
      <c r="AD663">
        <v>8192</v>
      </c>
      <c r="AF663">
        <v>8192</v>
      </c>
      <c r="AJ663">
        <v>9038</v>
      </c>
      <c r="AN663" s="980"/>
    </row>
    <row r="664" spans="30:40">
      <c r="AD664">
        <v>8193</v>
      </c>
      <c r="AF664">
        <v>8193</v>
      </c>
      <c r="AJ664">
        <v>9039</v>
      </c>
      <c r="AN664" s="980"/>
    </row>
    <row r="665" spans="30:40">
      <c r="AD665">
        <v>8194</v>
      </c>
      <c r="AF665">
        <v>8194</v>
      </c>
      <c r="AJ665">
        <v>9040</v>
      </c>
      <c r="AN665" s="980"/>
    </row>
    <row r="666" spans="30:40">
      <c r="AD666">
        <v>8195</v>
      </c>
      <c r="AF666">
        <v>8195</v>
      </c>
      <c r="AJ666">
        <v>9041</v>
      </c>
      <c r="AN666" s="980"/>
    </row>
    <row r="667" spans="30:40">
      <c r="AD667">
        <v>8196</v>
      </c>
      <c r="AF667">
        <v>8196</v>
      </c>
      <c r="AJ667">
        <v>9042</v>
      </c>
      <c r="AN667" s="980"/>
    </row>
    <row r="668" spans="30:40">
      <c r="AD668">
        <v>8197</v>
      </c>
      <c r="AF668">
        <v>8197</v>
      </c>
      <c r="AJ668">
        <v>9043</v>
      </c>
      <c r="AN668" s="980"/>
    </row>
    <row r="669" spans="30:40">
      <c r="AD669">
        <v>8198</v>
      </c>
      <c r="AF669">
        <v>8198</v>
      </c>
      <c r="AJ669">
        <v>9044</v>
      </c>
      <c r="AN669" s="980"/>
    </row>
    <row r="670" spans="30:40">
      <c r="AD670">
        <v>8199</v>
      </c>
      <c r="AF670">
        <v>8199</v>
      </c>
      <c r="AJ670">
        <v>9045</v>
      </c>
      <c r="AN670" s="980"/>
    </row>
    <row r="671" spans="30:40">
      <c r="AD671">
        <v>8200</v>
      </c>
      <c r="AF671">
        <v>8200</v>
      </c>
      <c r="AJ671">
        <v>9046</v>
      </c>
      <c r="AN671" s="980"/>
    </row>
    <row r="672" spans="30:40">
      <c r="AD672">
        <v>8201</v>
      </c>
      <c r="AF672">
        <v>8201</v>
      </c>
      <c r="AJ672">
        <v>9047</v>
      </c>
      <c r="AN672" s="980"/>
    </row>
    <row r="673" spans="30:40">
      <c r="AD673">
        <v>8202</v>
      </c>
      <c r="AF673">
        <v>8202</v>
      </c>
      <c r="AJ673">
        <v>9048</v>
      </c>
      <c r="AN673" s="980"/>
    </row>
    <row r="674" spans="30:40">
      <c r="AD674">
        <v>8203</v>
      </c>
      <c r="AF674">
        <v>8203</v>
      </c>
      <c r="AJ674">
        <v>9049</v>
      </c>
      <c r="AN674" s="980"/>
    </row>
    <row r="675" spans="30:40">
      <c r="AD675">
        <v>8204</v>
      </c>
      <c r="AF675">
        <v>8204</v>
      </c>
      <c r="AJ675">
        <v>9050</v>
      </c>
      <c r="AN675" s="980"/>
    </row>
    <row r="676" spans="30:40">
      <c r="AD676">
        <v>8205</v>
      </c>
      <c r="AF676">
        <v>8205</v>
      </c>
      <c r="AJ676">
        <v>9051</v>
      </c>
      <c r="AN676" s="980"/>
    </row>
    <row r="677" spans="30:40">
      <c r="AD677">
        <v>8206</v>
      </c>
      <c r="AF677">
        <v>8206</v>
      </c>
      <c r="AJ677">
        <v>9052</v>
      </c>
      <c r="AN677" s="980"/>
    </row>
    <row r="678" spans="30:40">
      <c r="AD678">
        <v>8207</v>
      </c>
      <c r="AF678">
        <v>8207</v>
      </c>
      <c r="AJ678">
        <v>9053</v>
      </c>
      <c r="AN678" s="980"/>
    </row>
    <row r="679" spans="30:40">
      <c r="AD679">
        <v>8208</v>
      </c>
      <c r="AF679">
        <v>8208</v>
      </c>
      <c r="AJ679">
        <v>9054</v>
      </c>
      <c r="AN679" s="980"/>
    </row>
    <row r="680" spans="30:40">
      <c r="AD680">
        <v>8209</v>
      </c>
      <c r="AF680">
        <v>8209</v>
      </c>
      <c r="AJ680">
        <v>9055</v>
      </c>
      <c r="AN680" s="980"/>
    </row>
    <row r="681" spans="30:40">
      <c r="AD681">
        <v>8210</v>
      </c>
      <c r="AF681">
        <v>8210</v>
      </c>
      <c r="AJ681">
        <v>9056</v>
      </c>
      <c r="AN681" s="980"/>
    </row>
    <row r="682" spans="30:40">
      <c r="AD682">
        <v>8211</v>
      </c>
      <c r="AF682">
        <v>8211</v>
      </c>
      <c r="AJ682">
        <v>9057</v>
      </c>
      <c r="AN682" s="980"/>
    </row>
    <row r="683" spans="30:40">
      <c r="AD683">
        <v>8212</v>
      </c>
      <c r="AF683">
        <v>8212</v>
      </c>
      <c r="AJ683">
        <v>9058</v>
      </c>
      <c r="AN683" s="980"/>
    </row>
    <row r="684" spans="30:40">
      <c r="AD684">
        <v>8213</v>
      </c>
      <c r="AF684">
        <v>8213</v>
      </c>
      <c r="AJ684">
        <v>9059</v>
      </c>
      <c r="AN684" s="980"/>
    </row>
    <row r="685" spans="30:40">
      <c r="AD685">
        <v>8214</v>
      </c>
      <c r="AF685">
        <v>8214</v>
      </c>
      <c r="AJ685">
        <v>9060</v>
      </c>
      <c r="AN685" s="980"/>
    </row>
    <row r="686" spans="30:40">
      <c r="AD686">
        <v>8215</v>
      </c>
      <c r="AF686">
        <v>8215</v>
      </c>
      <c r="AJ686">
        <v>9061</v>
      </c>
      <c r="AN686" s="980"/>
    </row>
    <row r="687" spans="30:40">
      <c r="AD687">
        <v>8216</v>
      </c>
      <c r="AF687">
        <v>8216</v>
      </c>
      <c r="AJ687">
        <v>9062</v>
      </c>
      <c r="AN687" s="980"/>
    </row>
    <row r="688" spans="30:40">
      <c r="AD688">
        <v>8217</v>
      </c>
      <c r="AF688">
        <v>8217</v>
      </c>
      <c r="AJ688">
        <v>9063</v>
      </c>
      <c r="AN688" s="980"/>
    </row>
    <row r="689" spans="30:40">
      <c r="AD689">
        <v>8218</v>
      </c>
      <c r="AF689">
        <v>8218</v>
      </c>
      <c r="AJ689">
        <v>9064</v>
      </c>
      <c r="AN689" s="980"/>
    </row>
    <row r="690" spans="30:40">
      <c r="AD690">
        <v>8219</v>
      </c>
      <c r="AF690">
        <v>8219</v>
      </c>
      <c r="AJ690">
        <v>9065</v>
      </c>
      <c r="AN690" s="980"/>
    </row>
    <row r="691" spans="30:40">
      <c r="AD691">
        <v>8220</v>
      </c>
      <c r="AF691">
        <v>8220</v>
      </c>
      <c r="AJ691">
        <v>9066</v>
      </c>
      <c r="AN691" s="980"/>
    </row>
    <row r="692" spans="30:40">
      <c r="AD692">
        <v>8221</v>
      </c>
      <c r="AF692">
        <v>8221</v>
      </c>
      <c r="AJ692">
        <v>9067</v>
      </c>
      <c r="AN692" s="980"/>
    </row>
    <row r="693" spans="30:40">
      <c r="AD693">
        <v>8222</v>
      </c>
      <c r="AF693">
        <v>8222</v>
      </c>
      <c r="AJ693">
        <v>9068</v>
      </c>
      <c r="AN693" s="980"/>
    </row>
    <row r="694" spans="30:40">
      <c r="AD694">
        <v>8223</v>
      </c>
      <c r="AF694">
        <v>8223</v>
      </c>
      <c r="AJ694">
        <v>9069</v>
      </c>
      <c r="AN694" s="980"/>
    </row>
    <row r="695" spans="30:40">
      <c r="AD695">
        <v>8224</v>
      </c>
      <c r="AF695">
        <v>8224</v>
      </c>
      <c r="AJ695">
        <v>9070</v>
      </c>
      <c r="AN695" s="980"/>
    </row>
    <row r="696" spans="30:40">
      <c r="AD696">
        <v>8225</v>
      </c>
      <c r="AF696">
        <v>8225</v>
      </c>
      <c r="AJ696">
        <v>9071</v>
      </c>
      <c r="AN696" s="980"/>
    </row>
    <row r="697" spans="30:40">
      <c r="AD697">
        <v>8226</v>
      </c>
      <c r="AF697">
        <v>8226</v>
      </c>
      <c r="AJ697">
        <v>9072</v>
      </c>
      <c r="AN697" s="980"/>
    </row>
    <row r="698" spans="30:40">
      <c r="AD698">
        <v>8227</v>
      </c>
      <c r="AF698">
        <v>8227</v>
      </c>
      <c r="AJ698">
        <v>9073</v>
      </c>
      <c r="AN698" s="980"/>
    </row>
    <row r="699" spans="30:40">
      <c r="AD699">
        <v>8228</v>
      </c>
      <c r="AF699">
        <v>8228</v>
      </c>
      <c r="AJ699">
        <v>9074</v>
      </c>
      <c r="AN699" s="980"/>
    </row>
    <row r="700" spans="30:40">
      <c r="AD700">
        <v>8229</v>
      </c>
      <c r="AF700">
        <v>8229</v>
      </c>
      <c r="AJ700">
        <v>9075</v>
      </c>
      <c r="AN700" s="980"/>
    </row>
    <row r="701" spans="30:40">
      <c r="AD701">
        <v>8230</v>
      </c>
      <c r="AF701">
        <v>8230</v>
      </c>
      <c r="AJ701">
        <v>9076</v>
      </c>
      <c r="AN701" s="980"/>
    </row>
    <row r="702" spans="30:40">
      <c r="AD702">
        <v>8231</v>
      </c>
      <c r="AF702">
        <v>8231</v>
      </c>
      <c r="AJ702">
        <v>9077</v>
      </c>
      <c r="AN702" s="980"/>
    </row>
    <row r="703" spans="30:40">
      <c r="AD703">
        <v>8232</v>
      </c>
      <c r="AF703">
        <v>8232</v>
      </c>
      <c r="AJ703">
        <v>9078</v>
      </c>
      <c r="AN703" s="980"/>
    </row>
    <row r="704" spans="30:40">
      <c r="AD704">
        <v>8233</v>
      </c>
      <c r="AF704">
        <v>8233</v>
      </c>
      <c r="AJ704">
        <v>9079</v>
      </c>
      <c r="AN704" s="980"/>
    </row>
    <row r="705" spans="30:40">
      <c r="AD705">
        <v>8234</v>
      </c>
      <c r="AF705">
        <v>8234</v>
      </c>
      <c r="AJ705">
        <v>9080</v>
      </c>
      <c r="AN705" s="980"/>
    </row>
    <row r="706" spans="30:40">
      <c r="AD706">
        <v>8235</v>
      </c>
      <c r="AF706">
        <v>8235</v>
      </c>
      <c r="AJ706">
        <v>9081</v>
      </c>
      <c r="AN706" s="980"/>
    </row>
    <row r="707" spans="30:40">
      <c r="AD707">
        <v>8236</v>
      </c>
      <c r="AF707">
        <v>8236</v>
      </c>
      <c r="AJ707">
        <v>9082</v>
      </c>
      <c r="AN707" s="980"/>
    </row>
    <row r="708" spans="30:40">
      <c r="AD708">
        <v>8237</v>
      </c>
      <c r="AF708">
        <v>8237</v>
      </c>
      <c r="AJ708">
        <v>9083</v>
      </c>
      <c r="AN708" s="980"/>
    </row>
    <row r="709" spans="30:40">
      <c r="AD709">
        <v>8238</v>
      </c>
      <c r="AF709">
        <v>8238</v>
      </c>
      <c r="AJ709">
        <v>9084</v>
      </c>
      <c r="AN709" s="980"/>
    </row>
    <row r="710" spans="30:40">
      <c r="AD710">
        <v>8239</v>
      </c>
      <c r="AF710">
        <v>8239</v>
      </c>
      <c r="AJ710">
        <v>9085</v>
      </c>
      <c r="AN710" s="980"/>
    </row>
    <row r="711" spans="30:40">
      <c r="AD711">
        <v>8240</v>
      </c>
      <c r="AF711">
        <v>8240</v>
      </c>
      <c r="AJ711">
        <v>9086</v>
      </c>
      <c r="AN711" s="980"/>
    </row>
    <row r="712" spans="30:40">
      <c r="AD712">
        <v>8241</v>
      </c>
      <c r="AF712">
        <v>8241</v>
      </c>
      <c r="AJ712">
        <v>9087</v>
      </c>
      <c r="AN712" s="980"/>
    </row>
    <row r="713" spans="30:40">
      <c r="AD713">
        <v>8242</v>
      </c>
      <c r="AF713">
        <v>8242</v>
      </c>
      <c r="AJ713">
        <v>9088</v>
      </c>
      <c r="AN713" s="980"/>
    </row>
    <row r="714" spans="30:40">
      <c r="AD714">
        <v>8243</v>
      </c>
      <c r="AF714">
        <v>8243</v>
      </c>
      <c r="AJ714">
        <v>9089</v>
      </c>
      <c r="AN714" s="980"/>
    </row>
    <row r="715" spans="30:40">
      <c r="AD715">
        <v>8244</v>
      </c>
      <c r="AF715">
        <v>8244</v>
      </c>
      <c r="AJ715">
        <v>9090</v>
      </c>
      <c r="AN715" s="980"/>
    </row>
    <row r="716" spans="30:40">
      <c r="AD716">
        <v>8245</v>
      </c>
      <c r="AF716">
        <v>8245</v>
      </c>
      <c r="AJ716">
        <v>9091</v>
      </c>
      <c r="AN716" s="980"/>
    </row>
    <row r="717" spans="30:40">
      <c r="AD717">
        <v>8246</v>
      </c>
      <c r="AF717">
        <v>8246</v>
      </c>
      <c r="AJ717">
        <v>9092</v>
      </c>
      <c r="AN717" s="980"/>
    </row>
    <row r="718" spans="30:40">
      <c r="AD718">
        <v>8247</v>
      </c>
      <c r="AF718">
        <v>8247</v>
      </c>
      <c r="AJ718">
        <v>9093</v>
      </c>
      <c r="AN718" s="980"/>
    </row>
    <row r="719" spans="30:40">
      <c r="AD719">
        <v>8248</v>
      </c>
      <c r="AF719">
        <v>8248</v>
      </c>
      <c r="AJ719">
        <v>9094</v>
      </c>
      <c r="AN719" s="980"/>
    </row>
    <row r="720" spans="30:40">
      <c r="AD720">
        <v>8249</v>
      </c>
      <c r="AF720">
        <v>8249</v>
      </c>
      <c r="AJ720">
        <v>9095</v>
      </c>
      <c r="AN720" s="980"/>
    </row>
    <row r="721" spans="29:40">
      <c r="AD721">
        <v>8250</v>
      </c>
      <c r="AF721">
        <v>8250</v>
      </c>
      <c r="AJ721">
        <v>9096</v>
      </c>
      <c r="AN721" s="980"/>
    </row>
    <row r="722" spans="29:40">
      <c r="AD722">
        <v>8251</v>
      </c>
      <c r="AF722">
        <v>8251</v>
      </c>
      <c r="AJ722">
        <v>9097</v>
      </c>
      <c r="AN722" s="980"/>
    </row>
    <row r="723" spans="29:40">
      <c r="AD723">
        <v>8252</v>
      </c>
      <c r="AF723">
        <v>8252</v>
      </c>
      <c r="AJ723">
        <v>9098</v>
      </c>
      <c r="AN723" s="980"/>
    </row>
    <row r="724" spans="29:40">
      <c r="AD724">
        <v>8253</v>
      </c>
      <c r="AF724">
        <v>8253</v>
      </c>
      <c r="AJ724">
        <v>9099</v>
      </c>
      <c r="AN724" s="980"/>
    </row>
    <row r="725" spans="29:40">
      <c r="AD725">
        <v>8254</v>
      </c>
      <c r="AF725">
        <v>8254</v>
      </c>
      <c r="AJ725">
        <v>9100</v>
      </c>
      <c r="AN725" s="980"/>
    </row>
    <row r="726" spans="29:40">
      <c r="AD726">
        <v>8255</v>
      </c>
      <c r="AF726">
        <v>8255</v>
      </c>
      <c r="AJ726">
        <v>9101</v>
      </c>
      <c r="AN726" s="980"/>
    </row>
    <row r="727" spans="29:40">
      <c r="AD727">
        <v>8256</v>
      </c>
      <c r="AF727">
        <v>8256</v>
      </c>
      <c r="AJ727">
        <v>9102</v>
      </c>
      <c r="AN727" s="980"/>
    </row>
    <row r="728" spans="29:40">
      <c r="AD728">
        <v>8257</v>
      </c>
      <c r="AF728">
        <v>8257</v>
      </c>
      <c r="AJ728">
        <v>9103</v>
      </c>
      <c r="AN728" s="980"/>
    </row>
    <row r="729" spans="29:40">
      <c r="AD729">
        <v>8258</v>
      </c>
      <c r="AF729">
        <v>8258</v>
      </c>
      <c r="AJ729">
        <v>9104</v>
      </c>
      <c r="AN729" s="980"/>
    </row>
    <row r="730" spans="29:40">
      <c r="AD730">
        <v>8259</v>
      </c>
      <c r="AF730">
        <v>8259</v>
      </c>
      <c r="AJ730">
        <v>9105</v>
      </c>
      <c r="AN730" s="980"/>
    </row>
    <row r="731" spans="29:40">
      <c r="AC731" t="s">
        <v>326</v>
      </c>
      <c r="AD731">
        <v>8260</v>
      </c>
      <c r="AF731">
        <v>8260</v>
      </c>
      <c r="AJ731">
        <v>9106</v>
      </c>
      <c r="AN731" s="980"/>
    </row>
    <row r="732" spans="29:40">
      <c r="AD732">
        <v>8261</v>
      </c>
      <c r="AF732">
        <v>8261</v>
      </c>
      <c r="AJ732">
        <v>9107</v>
      </c>
      <c r="AN732" s="980"/>
    </row>
    <row r="733" spans="29:40">
      <c r="AD733">
        <v>8262</v>
      </c>
      <c r="AF733">
        <v>8262</v>
      </c>
      <c r="AJ733">
        <v>9108</v>
      </c>
      <c r="AN733" s="980"/>
    </row>
    <row r="734" spans="29:40">
      <c r="AD734">
        <v>8263</v>
      </c>
      <c r="AF734">
        <v>8263</v>
      </c>
      <c r="AJ734">
        <v>9109</v>
      </c>
      <c r="AN734" s="980"/>
    </row>
    <row r="735" spans="29:40">
      <c r="AD735">
        <v>8264</v>
      </c>
      <c r="AF735">
        <v>8264</v>
      </c>
      <c r="AJ735">
        <v>9110</v>
      </c>
      <c r="AN735" s="980"/>
    </row>
    <row r="736" spans="29:40">
      <c r="AD736">
        <v>8265</v>
      </c>
      <c r="AF736">
        <v>8265</v>
      </c>
      <c r="AJ736">
        <v>9111</v>
      </c>
      <c r="AN736" s="980"/>
    </row>
    <row r="737" spans="30:40">
      <c r="AD737">
        <v>8266</v>
      </c>
      <c r="AF737">
        <v>8266</v>
      </c>
      <c r="AJ737">
        <v>9112</v>
      </c>
      <c r="AN737" s="980"/>
    </row>
    <row r="738" spans="30:40">
      <c r="AD738">
        <v>8267</v>
      </c>
      <c r="AF738">
        <v>8267</v>
      </c>
      <c r="AJ738">
        <v>9113</v>
      </c>
      <c r="AN738" s="980"/>
    </row>
    <row r="739" spans="30:40">
      <c r="AD739">
        <v>8268</v>
      </c>
      <c r="AF739">
        <v>8268</v>
      </c>
      <c r="AJ739">
        <v>9114</v>
      </c>
      <c r="AN739" s="980"/>
    </row>
    <row r="740" spans="30:40">
      <c r="AD740">
        <v>8269</v>
      </c>
      <c r="AF740">
        <v>8269</v>
      </c>
      <c r="AJ740">
        <v>9115</v>
      </c>
      <c r="AN740" s="980"/>
    </row>
    <row r="741" spans="30:40">
      <c r="AD741">
        <v>8270</v>
      </c>
      <c r="AF741">
        <v>8270</v>
      </c>
      <c r="AJ741">
        <v>9116</v>
      </c>
      <c r="AN741" s="980"/>
    </row>
    <row r="742" spans="30:40">
      <c r="AD742">
        <v>8271</v>
      </c>
      <c r="AF742">
        <v>8271</v>
      </c>
      <c r="AJ742">
        <v>9117</v>
      </c>
      <c r="AN742" s="980"/>
    </row>
    <row r="743" spans="30:40">
      <c r="AD743">
        <v>8272</v>
      </c>
      <c r="AF743">
        <v>8272</v>
      </c>
      <c r="AJ743">
        <v>9118</v>
      </c>
      <c r="AN743" s="980"/>
    </row>
    <row r="744" spans="30:40">
      <c r="AD744">
        <v>8273</v>
      </c>
      <c r="AF744">
        <v>8273</v>
      </c>
      <c r="AJ744">
        <v>9119</v>
      </c>
      <c r="AN744" s="980"/>
    </row>
    <row r="745" spans="30:40">
      <c r="AD745">
        <v>8274</v>
      </c>
      <c r="AF745">
        <v>8274</v>
      </c>
      <c r="AJ745">
        <v>9120</v>
      </c>
      <c r="AN745" s="980"/>
    </row>
    <row r="746" spans="30:40">
      <c r="AD746">
        <v>8275</v>
      </c>
      <c r="AF746">
        <v>8275</v>
      </c>
      <c r="AJ746">
        <v>9121</v>
      </c>
      <c r="AN746" s="980"/>
    </row>
    <row r="747" spans="30:40">
      <c r="AD747">
        <v>8276</v>
      </c>
      <c r="AF747">
        <v>8276</v>
      </c>
      <c r="AJ747">
        <v>9122</v>
      </c>
      <c r="AN747" s="980"/>
    </row>
    <row r="748" spans="30:40">
      <c r="AD748">
        <v>8277</v>
      </c>
      <c r="AF748">
        <v>8277</v>
      </c>
      <c r="AJ748">
        <v>9123</v>
      </c>
    </row>
    <row r="749" spans="30:40">
      <c r="AD749">
        <v>8278</v>
      </c>
      <c r="AF749">
        <v>8278</v>
      </c>
      <c r="AJ749">
        <v>9124</v>
      </c>
    </row>
    <row r="750" spans="30:40">
      <c r="AD750">
        <v>8279</v>
      </c>
      <c r="AF750">
        <v>8279</v>
      </c>
      <c r="AJ750">
        <v>9125</v>
      </c>
    </row>
    <row r="751" spans="30:40">
      <c r="AD751">
        <v>8280</v>
      </c>
      <c r="AF751">
        <v>8280</v>
      </c>
      <c r="AJ751">
        <v>9126</v>
      </c>
    </row>
    <row r="752" spans="30:40">
      <c r="AD752">
        <v>8281</v>
      </c>
      <c r="AF752">
        <v>8281</v>
      </c>
      <c r="AJ752">
        <v>9127</v>
      </c>
    </row>
    <row r="753" spans="30:36">
      <c r="AD753">
        <v>8282</v>
      </c>
      <c r="AF753">
        <v>8282</v>
      </c>
      <c r="AJ753">
        <v>9128</v>
      </c>
    </row>
    <row r="754" spans="30:36">
      <c r="AD754">
        <v>8283</v>
      </c>
      <c r="AF754">
        <v>8283</v>
      </c>
      <c r="AJ754">
        <v>9129</v>
      </c>
    </row>
    <row r="755" spans="30:36">
      <c r="AD755">
        <v>8284</v>
      </c>
      <c r="AF755">
        <v>8284</v>
      </c>
      <c r="AJ755">
        <v>9130</v>
      </c>
    </row>
    <row r="756" spans="30:36">
      <c r="AD756">
        <v>8285</v>
      </c>
      <c r="AF756">
        <v>8285</v>
      </c>
      <c r="AJ756">
        <v>9131</v>
      </c>
    </row>
    <row r="757" spans="30:36">
      <c r="AD757">
        <v>8286</v>
      </c>
      <c r="AF757">
        <v>8286</v>
      </c>
      <c r="AJ757">
        <v>9132</v>
      </c>
    </row>
    <row r="758" spans="30:36">
      <c r="AD758">
        <v>8287</v>
      </c>
      <c r="AF758">
        <v>8287</v>
      </c>
      <c r="AJ758">
        <v>9133</v>
      </c>
    </row>
    <row r="759" spans="30:36">
      <c r="AD759">
        <v>8288</v>
      </c>
      <c r="AF759">
        <v>8288</v>
      </c>
      <c r="AJ759">
        <v>9134</v>
      </c>
    </row>
    <row r="760" spans="30:36">
      <c r="AD760">
        <v>8289</v>
      </c>
      <c r="AF760">
        <v>8289</v>
      </c>
      <c r="AJ760">
        <v>9135</v>
      </c>
    </row>
    <row r="761" spans="30:36">
      <c r="AD761">
        <v>8290</v>
      </c>
      <c r="AF761">
        <v>8290</v>
      </c>
      <c r="AJ761">
        <v>9136</v>
      </c>
    </row>
    <row r="762" spans="30:36">
      <c r="AD762">
        <v>8291</v>
      </c>
      <c r="AF762">
        <v>8291</v>
      </c>
      <c r="AJ762">
        <v>9137</v>
      </c>
    </row>
    <row r="763" spans="30:36">
      <c r="AD763">
        <v>8292</v>
      </c>
      <c r="AF763">
        <v>8292</v>
      </c>
      <c r="AJ763">
        <v>9138</v>
      </c>
    </row>
    <row r="764" spans="30:36">
      <c r="AD764">
        <v>8293</v>
      </c>
      <c r="AF764">
        <v>8293</v>
      </c>
      <c r="AJ764">
        <v>9139</v>
      </c>
    </row>
    <row r="765" spans="30:36">
      <c r="AD765">
        <v>8294</v>
      </c>
      <c r="AF765">
        <v>8294</v>
      </c>
      <c r="AJ765">
        <v>9140</v>
      </c>
    </row>
    <row r="766" spans="30:36">
      <c r="AD766">
        <v>8295</v>
      </c>
      <c r="AF766">
        <v>8295</v>
      </c>
      <c r="AJ766">
        <v>9141</v>
      </c>
    </row>
    <row r="767" spans="30:36">
      <c r="AD767">
        <v>8296</v>
      </c>
      <c r="AF767">
        <v>8296</v>
      </c>
      <c r="AJ767">
        <v>9142</v>
      </c>
    </row>
    <row r="768" spans="30:36">
      <c r="AD768">
        <v>8297</v>
      </c>
      <c r="AF768">
        <v>8297</v>
      </c>
      <c r="AJ768">
        <v>9143</v>
      </c>
    </row>
    <row r="769" spans="30:36">
      <c r="AD769">
        <v>8298</v>
      </c>
      <c r="AF769">
        <v>8298</v>
      </c>
      <c r="AJ769">
        <v>9144</v>
      </c>
    </row>
    <row r="770" spans="30:36">
      <c r="AD770">
        <v>8299</v>
      </c>
      <c r="AF770">
        <v>8299</v>
      </c>
      <c r="AJ770">
        <v>9145</v>
      </c>
    </row>
    <row r="771" spans="30:36">
      <c r="AD771">
        <v>8300</v>
      </c>
      <c r="AF771">
        <v>8300</v>
      </c>
      <c r="AJ771">
        <v>9146</v>
      </c>
    </row>
    <row r="772" spans="30:36">
      <c r="AD772">
        <v>8301</v>
      </c>
      <c r="AF772">
        <v>8301</v>
      </c>
      <c r="AJ772">
        <v>9147</v>
      </c>
    </row>
    <row r="773" spans="30:36">
      <c r="AD773">
        <v>8302</v>
      </c>
      <c r="AF773">
        <v>8302</v>
      </c>
      <c r="AJ773">
        <v>9148</v>
      </c>
    </row>
    <row r="774" spans="30:36">
      <c r="AD774">
        <v>8303</v>
      </c>
      <c r="AF774">
        <v>8303</v>
      </c>
      <c r="AJ774">
        <v>9149</v>
      </c>
    </row>
    <row r="775" spans="30:36">
      <c r="AD775">
        <v>8304</v>
      </c>
      <c r="AF775">
        <v>8304</v>
      </c>
      <c r="AJ775">
        <v>9150</v>
      </c>
    </row>
    <row r="776" spans="30:36">
      <c r="AD776">
        <v>8305</v>
      </c>
      <c r="AF776">
        <v>8305</v>
      </c>
      <c r="AJ776">
        <v>9151</v>
      </c>
    </row>
    <row r="777" spans="30:36">
      <c r="AD777">
        <v>8306</v>
      </c>
      <c r="AF777">
        <v>8306</v>
      </c>
      <c r="AJ777">
        <v>9152</v>
      </c>
    </row>
    <row r="778" spans="30:36">
      <c r="AD778">
        <v>8307</v>
      </c>
      <c r="AF778">
        <v>8307</v>
      </c>
      <c r="AJ778">
        <v>9153</v>
      </c>
    </row>
    <row r="779" spans="30:36">
      <c r="AD779">
        <v>8308</v>
      </c>
      <c r="AF779">
        <v>8308</v>
      </c>
      <c r="AJ779">
        <v>9154</v>
      </c>
    </row>
    <row r="780" spans="30:36">
      <c r="AD780">
        <v>8309</v>
      </c>
      <c r="AF780">
        <v>8309</v>
      </c>
      <c r="AJ780">
        <v>9155</v>
      </c>
    </row>
    <row r="781" spans="30:36">
      <c r="AD781">
        <v>8310</v>
      </c>
      <c r="AF781">
        <v>8310</v>
      </c>
      <c r="AJ781">
        <v>9156</v>
      </c>
    </row>
    <row r="782" spans="30:36">
      <c r="AD782">
        <v>8311</v>
      </c>
      <c r="AF782">
        <v>8311</v>
      </c>
      <c r="AJ782">
        <v>9157</v>
      </c>
    </row>
    <row r="783" spans="30:36">
      <c r="AD783">
        <v>8312</v>
      </c>
      <c r="AF783">
        <v>8312</v>
      </c>
      <c r="AJ783">
        <v>9158</v>
      </c>
    </row>
    <row r="784" spans="30:36">
      <c r="AD784">
        <v>8313</v>
      </c>
      <c r="AF784">
        <v>8313</v>
      </c>
      <c r="AJ784">
        <v>9159</v>
      </c>
    </row>
    <row r="785" spans="30:36">
      <c r="AD785">
        <v>8314</v>
      </c>
      <c r="AF785">
        <v>8314</v>
      </c>
      <c r="AJ785">
        <v>9160</v>
      </c>
    </row>
    <row r="786" spans="30:36">
      <c r="AD786">
        <v>8315</v>
      </c>
      <c r="AF786">
        <v>8315</v>
      </c>
      <c r="AJ786">
        <v>9161</v>
      </c>
    </row>
    <row r="787" spans="30:36">
      <c r="AD787">
        <v>8316</v>
      </c>
      <c r="AF787">
        <v>8316</v>
      </c>
      <c r="AJ787">
        <v>9162</v>
      </c>
    </row>
    <row r="788" spans="30:36">
      <c r="AD788">
        <v>8317</v>
      </c>
      <c r="AF788">
        <v>8317</v>
      </c>
      <c r="AJ788">
        <v>9163</v>
      </c>
    </row>
    <row r="789" spans="30:36">
      <c r="AD789">
        <v>8318</v>
      </c>
      <c r="AF789">
        <v>8318</v>
      </c>
      <c r="AJ789">
        <v>9164</v>
      </c>
    </row>
    <row r="790" spans="30:36">
      <c r="AD790">
        <v>8319</v>
      </c>
      <c r="AF790">
        <v>8319</v>
      </c>
      <c r="AJ790">
        <v>9165</v>
      </c>
    </row>
    <row r="791" spans="30:36">
      <c r="AD791">
        <v>8320</v>
      </c>
      <c r="AF791">
        <v>8320</v>
      </c>
      <c r="AJ791">
        <v>9166</v>
      </c>
    </row>
    <row r="792" spans="30:36">
      <c r="AD792">
        <v>8321</v>
      </c>
      <c r="AF792">
        <v>8321</v>
      </c>
      <c r="AJ792">
        <v>9167</v>
      </c>
    </row>
    <row r="793" spans="30:36">
      <c r="AD793">
        <v>8322</v>
      </c>
      <c r="AF793">
        <v>8322</v>
      </c>
      <c r="AJ793">
        <v>9168</v>
      </c>
    </row>
    <row r="794" spans="30:36">
      <c r="AD794">
        <v>8323</v>
      </c>
      <c r="AF794">
        <v>8323</v>
      </c>
      <c r="AJ794">
        <v>9169</v>
      </c>
    </row>
    <row r="795" spans="30:36">
      <c r="AD795">
        <v>8324</v>
      </c>
      <c r="AF795">
        <v>8324</v>
      </c>
      <c r="AJ795">
        <v>9170</v>
      </c>
    </row>
    <row r="796" spans="30:36">
      <c r="AD796">
        <v>8325</v>
      </c>
      <c r="AF796">
        <v>8325</v>
      </c>
      <c r="AJ796">
        <v>9171</v>
      </c>
    </row>
    <row r="797" spans="30:36">
      <c r="AD797">
        <v>8326</v>
      </c>
      <c r="AF797">
        <v>8326</v>
      </c>
      <c r="AJ797">
        <v>9172</v>
      </c>
    </row>
    <row r="798" spans="30:36">
      <c r="AD798">
        <v>8327</v>
      </c>
      <c r="AF798">
        <v>8327</v>
      </c>
      <c r="AJ798">
        <v>9173</v>
      </c>
    </row>
    <row r="799" spans="30:36">
      <c r="AD799">
        <v>8328</v>
      </c>
      <c r="AF799">
        <v>8328</v>
      </c>
      <c r="AJ799">
        <v>9174</v>
      </c>
    </row>
    <row r="800" spans="30:36">
      <c r="AD800">
        <v>8329</v>
      </c>
      <c r="AF800">
        <v>8329</v>
      </c>
      <c r="AJ800">
        <v>9175</v>
      </c>
    </row>
    <row r="801" spans="30:36">
      <c r="AD801">
        <v>8330</v>
      </c>
      <c r="AF801">
        <v>8330</v>
      </c>
      <c r="AJ801">
        <v>9176</v>
      </c>
    </row>
    <row r="802" spans="30:36">
      <c r="AD802">
        <v>8331</v>
      </c>
      <c r="AF802">
        <v>8331</v>
      </c>
      <c r="AJ802">
        <v>9177</v>
      </c>
    </row>
    <row r="803" spans="30:36">
      <c r="AD803">
        <v>8332</v>
      </c>
      <c r="AF803">
        <v>8332</v>
      </c>
      <c r="AJ803">
        <v>9178</v>
      </c>
    </row>
    <row r="804" spans="30:36">
      <c r="AD804">
        <v>8333</v>
      </c>
      <c r="AF804">
        <v>8333</v>
      </c>
      <c r="AJ804">
        <v>9179</v>
      </c>
    </row>
    <row r="805" spans="30:36">
      <c r="AD805">
        <v>8334</v>
      </c>
      <c r="AF805">
        <v>8334</v>
      </c>
      <c r="AJ805">
        <v>9180</v>
      </c>
    </row>
    <row r="806" spans="30:36">
      <c r="AD806">
        <v>8335</v>
      </c>
      <c r="AF806">
        <v>8335</v>
      </c>
      <c r="AJ806">
        <v>9181</v>
      </c>
    </row>
    <row r="807" spans="30:36">
      <c r="AD807">
        <v>8336</v>
      </c>
      <c r="AF807">
        <v>8336</v>
      </c>
      <c r="AJ807">
        <v>9182</v>
      </c>
    </row>
    <row r="808" spans="30:36">
      <c r="AD808">
        <v>8337</v>
      </c>
      <c r="AF808">
        <v>8337</v>
      </c>
      <c r="AJ808">
        <v>9183</v>
      </c>
    </row>
    <row r="809" spans="30:36">
      <c r="AD809">
        <v>8338</v>
      </c>
      <c r="AF809">
        <v>8338</v>
      </c>
      <c r="AJ809">
        <v>9184</v>
      </c>
    </row>
    <row r="810" spans="30:36">
      <c r="AD810">
        <v>8339</v>
      </c>
      <c r="AF810">
        <v>8339</v>
      </c>
      <c r="AJ810">
        <v>9185</v>
      </c>
    </row>
    <row r="811" spans="30:36">
      <c r="AD811">
        <v>8340</v>
      </c>
      <c r="AF811">
        <v>8340</v>
      </c>
      <c r="AJ811">
        <v>9186</v>
      </c>
    </row>
    <row r="812" spans="30:36">
      <c r="AD812">
        <v>8341</v>
      </c>
      <c r="AF812">
        <v>8341</v>
      </c>
      <c r="AJ812">
        <v>9187</v>
      </c>
    </row>
    <row r="813" spans="30:36">
      <c r="AD813">
        <v>8342</v>
      </c>
      <c r="AF813">
        <v>8342</v>
      </c>
      <c r="AJ813">
        <v>9188</v>
      </c>
    </row>
    <row r="814" spans="30:36">
      <c r="AD814">
        <v>8343</v>
      </c>
      <c r="AF814">
        <v>8343</v>
      </c>
      <c r="AJ814">
        <v>9189</v>
      </c>
    </row>
    <row r="815" spans="30:36">
      <c r="AD815">
        <v>8344</v>
      </c>
      <c r="AF815">
        <v>8344</v>
      </c>
      <c r="AJ815">
        <v>9190</v>
      </c>
    </row>
    <row r="816" spans="30:36">
      <c r="AD816">
        <v>8345</v>
      </c>
      <c r="AF816">
        <v>8345</v>
      </c>
      <c r="AJ816">
        <v>9191</v>
      </c>
    </row>
    <row r="817" spans="30:36">
      <c r="AD817">
        <v>8346</v>
      </c>
      <c r="AF817">
        <v>8346</v>
      </c>
      <c r="AJ817">
        <v>9192</v>
      </c>
    </row>
    <row r="818" spans="30:36">
      <c r="AD818">
        <v>8347</v>
      </c>
      <c r="AF818">
        <v>8347</v>
      </c>
      <c r="AJ818">
        <v>9193</v>
      </c>
    </row>
    <row r="819" spans="30:36">
      <c r="AD819">
        <v>8348</v>
      </c>
      <c r="AF819">
        <v>8348</v>
      </c>
      <c r="AJ819">
        <v>9194</v>
      </c>
    </row>
    <row r="820" spans="30:36">
      <c r="AD820">
        <v>8349</v>
      </c>
      <c r="AF820">
        <v>8349</v>
      </c>
      <c r="AJ820">
        <v>9195</v>
      </c>
    </row>
    <row r="821" spans="30:36">
      <c r="AD821">
        <v>8350</v>
      </c>
      <c r="AF821">
        <v>8350</v>
      </c>
      <c r="AJ821">
        <v>9196</v>
      </c>
    </row>
    <row r="822" spans="30:36">
      <c r="AD822">
        <v>8351</v>
      </c>
      <c r="AF822">
        <v>8351</v>
      </c>
      <c r="AJ822">
        <v>9197</v>
      </c>
    </row>
    <row r="823" spans="30:36">
      <c r="AD823">
        <v>8352</v>
      </c>
      <c r="AF823">
        <v>8352</v>
      </c>
      <c r="AJ823">
        <v>9198</v>
      </c>
    </row>
    <row r="824" spans="30:36">
      <c r="AD824">
        <v>8353</v>
      </c>
      <c r="AF824">
        <v>8353</v>
      </c>
      <c r="AJ824">
        <v>9199</v>
      </c>
    </row>
    <row r="825" spans="30:36">
      <c r="AD825">
        <v>8354</v>
      </c>
      <c r="AF825">
        <v>8354</v>
      </c>
      <c r="AJ825">
        <v>9200</v>
      </c>
    </row>
    <row r="826" spans="30:36">
      <c r="AD826">
        <v>8355</v>
      </c>
      <c r="AF826">
        <v>8355</v>
      </c>
      <c r="AJ826">
        <v>9201</v>
      </c>
    </row>
    <row r="827" spans="30:36">
      <c r="AD827">
        <v>8356</v>
      </c>
      <c r="AF827">
        <v>8356</v>
      </c>
      <c r="AJ827">
        <v>9202</v>
      </c>
    </row>
    <row r="828" spans="30:36">
      <c r="AD828">
        <v>8357</v>
      </c>
      <c r="AF828">
        <v>8357</v>
      </c>
      <c r="AJ828">
        <v>9203</v>
      </c>
    </row>
    <row r="829" spans="30:36">
      <c r="AD829">
        <v>8358</v>
      </c>
      <c r="AF829">
        <v>8358</v>
      </c>
      <c r="AJ829">
        <v>9204</v>
      </c>
    </row>
    <row r="830" spans="30:36">
      <c r="AD830">
        <v>8359</v>
      </c>
      <c r="AF830">
        <v>8359</v>
      </c>
      <c r="AJ830">
        <v>9205</v>
      </c>
    </row>
    <row r="831" spans="30:36">
      <c r="AD831">
        <v>8360</v>
      </c>
      <c r="AF831">
        <v>8360</v>
      </c>
      <c r="AJ831">
        <v>9206</v>
      </c>
    </row>
    <row r="832" spans="30:36">
      <c r="AD832">
        <v>8361</v>
      </c>
      <c r="AF832">
        <v>8361</v>
      </c>
      <c r="AJ832">
        <v>9207</v>
      </c>
    </row>
    <row r="833" spans="30:36">
      <c r="AD833">
        <v>8362</v>
      </c>
      <c r="AF833">
        <v>8362</v>
      </c>
      <c r="AJ833">
        <v>9208</v>
      </c>
    </row>
    <row r="834" spans="30:36">
      <c r="AD834">
        <v>8363</v>
      </c>
      <c r="AF834">
        <v>8363</v>
      </c>
      <c r="AJ834">
        <v>9209</v>
      </c>
    </row>
    <row r="835" spans="30:36">
      <c r="AD835">
        <v>8364</v>
      </c>
      <c r="AF835">
        <v>8364</v>
      </c>
      <c r="AJ835">
        <v>9210</v>
      </c>
    </row>
    <row r="836" spans="30:36">
      <c r="AD836">
        <v>8365</v>
      </c>
      <c r="AF836">
        <v>8365</v>
      </c>
      <c r="AJ836">
        <v>9211</v>
      </c>
    </row>
    <row r="837" spans="30:36">
      <c r="AD837">
        <v>8366</v>
      </c>
      <c r="AF837">
        <v>8366</v>
      </c>
      <c r="AJ837">
        <v>9212</v>
      </c>
    </row>
    <row r="838" spans="30:36">
      <c r="AD838">
        <v>8367</v>
      </c>
      <c r="AF838">
        <v>8367</v>
      </c>
      <c r="AJ838">
        <v>9213</v>
      </c>
    </row>
    <row r="839" spans="30:36">
      <c r="AD839">
        <v>8368</v>
      </c>
      <c r="AF839">
        <v>8368</v>
      </c>
      <c r="AJ839">
        <v>9214</v>
      </c>
    </row>
    <row r="840" spans="30:36">
      <c r="AD840">
        <v>8369</v>
      </c>
      <c r="AF840">
        <v>8369</v>
      </c>
      <c r="AJ840">
        <v>9215</v>
      </c>
    </row>
    <row r="841" spans="30:36">
      <c r="AD841">
        <v>8370</v>
      </c>
      <c r="AF841">
        <v>8370</v>
      </c>
      <c r="AJ841">
        <v>9216</v>
      </c>
    </row>
    <row r="842" spans="30:36">
      <c r="AD842">
        <v>8371</v>
      </c>
      <c r="AF842">
        <v>8371</v>
      </c>
      <c r="AJ842">
        <v>9217</v>
      </c>
    </row>
    <row r="843" spans="30:36">
      <c r="AD843">
        <v>8372</v>
      </c>
      <c r="AF843">
        <v>8372</v>
      </c>
      <c r="AJ843">
        <v>9218</v>
      </c>
    </row>
    <row r="844" spans="30:36">
      <c r="AD844">
        <v>8373</v>
      </c>
      <c r="AF844">
        <v>8373</v>
      </c>
      <c r="AJ844">
        <v>9219</v>
      </c>
    </row>
    <row r="845" spans="30:36">
      <c r="AD845">
        <v>8374</v>
      </c>
      <c r="AF845">
        <v>8374</v>
      </c>
      <c r="AJ845">
        <v>9220</v>
      </c>
    </row>
    <row r="846" spans="30:36">
      <c r="AD846">
        <v>8375</v>
      </c>
      <c r="AF846">
        <v>8375</v>
      </c>
      <c r="AJ846">
        <v>9221</v>
      </c>
    </row>
    <row r="847" spans="30:36">
      <c r="AD847">
        <v>8376</v>
      </c>
      <c r="AF847">
        <v>8376</v>
      </c>
      <c r="AJ847">
        <v>9222</v>
      </c>
    </row>
    <row r="848" spans="30:36">
      <c r="AD848">
        <v>8377</v>
      </c>
      <c r="AF848">
        <v>8377</v>
      </c>
      <c r="AJ848">
        <v>9223</v>
      </c>
    </row>
    <row r="849" spans="30:36">
      <c r="AD849">
        <v>8378</v>
      </c>
      <c r="AF849">
        <v>8378</v>
      </c>
      <c r="AJ849">
        <v>9224</v>
      </c>
    </row>
    <row r="850" spans="30:36">
      <c r="AD850">
        <v>8379</v>
      </c>
      <c r="AF850">
        <v>8379</v>
      </c>
      <c r="AJ850">
        <v>9225</v>
      </c>
    </row>
    <row r="851" spans="30:36">
      <c r="AD851">
        <v>8380</v>
      </c>
      <c r="AF851">
        <v>8380</v>
      </c>
      <c r="AJ851">
        <v>9226</v>
      </c>
    </row>
    <row r="852" spans="30:36">
      <c r="AD852">
        <v>8381</v>
      </c>
      <c r="AF852">
        <v>8381</v>
      </c>
      <c r="AJ852">
        <v>9227</v>
      </c>
    </row>
    <row r="853" spans="30:36">
      <c r="AD853">
        <v>8382</v>
      </c>
      <c r="AF853">
        <v>8382</v>
      </c>
      <c r="AJ853">
        <v>9228</v>
      </c>
    </row>
    <row r="854" spans="30:36">
      <c r="AD854">
        <v>8383</v>
      </c>
      <c r="AF854">
        <v>8383</v>
      </c>
      <c r="AJ854">
        <v>9229</v>
      </c>
    </row>
    <row r="855" spans="30:36">
      <c r="AD855">
        <v>8384</v>
      </c>
      <c r="AF855">
        <v>8384</v>
      </c>
      <c r="AJ855">
        <v>9230</v>
      </c>
    </row>
    <row r="856" spans="30:36">
      <c r="AD856">
        <v>8385</v>
      </c>
      <c r="AF856">
        <v>8385</v>
      </c>
      <c r="AJ856">
        <v>9231</v>
      </c>
    </row>
    <row r="857" spans="30:36">
      <c r="AD857">
        <v>8386</v>
      </c>
      <c r="AF857">
        <v>8386</v>
      </c>
      <c r="AJ857">
        <v>9232</v>
      </c>
    </row>
    <row r="858" spans="30:36">
      <c r="AD858">
        <v>8387</v>
      </c>
      <c r="AF858">
        <v>8387</v>
      </c>
      <c r="AJ858">
        <v>9233</v>
      </c>
    </row>
    <row r="859" spans="30:36">
      <c r="AD859">
        <v>8388</v>
      </c>
      <c r="AF859">
        <v>8388</v>
      </c>
      <c r="AJ859">
        <v>9234</v>
      </c>
    </row>
    <row r="860" spans="30:36">
      <c r="AD860">
        <v>8389</v>
      </c>
      <c r="AF860">
        <v>8389</v>
      </c>
      <c r="AJ860">
        <v>9235</v>
      </c>
    </row>
    <row r="861" spans="30:36">
      <c r="AD861">
        <v>8390</v>
      </c>
      <c r="AF861">
        <v>8390</v>
      </c>
      <c r="AJ861">
        <v>9236</v>
      </c>
    </row>
    <row r="862" spans="30:36">
      <c r="AD862">
        <v>8391</v>
      </c>
      <c r="AF862">
        <v>8391</v>
      </c>
      <c r="AJ862">
        <v>9237</v>
      </c>
    </row>
    <row r="863" spans="30:36">
      <c r="AD863">
        <v>8392</v>
      </c>
      <c r="AF863">
        <v>8392</v>
      </c>
      <c r="AJ863">
        <v>9238</v>
      </c>
    </row>
    <row r="864" spans="30:36">
      <c r="AD864">
        <v>8393</v>
      </c>
      <c r="AF864">
        <v>8393</v>
      </c>
      <c r="AJ864">
        <v>9239</v>
      </c>
    </row>
    <row r="865" spans="30:36">
      <c r="AD865">
        <v>8394</v>
      </c>
      <c r="AF865">
        <v>8394</v>
      </c>
      <c r="AJ865">
        <v>9240</v>
      </c>
    </row>
    <row r="866" spans="30:36">
      <c r="AD866">
        <v>8395</v>
      </c>
      <c r="AF866">
        <v>8395</v>
      </c>
      <c r="AJ866">
        <v>9241</v>
      </c>
    </row>
    <row r="867" spans="30:36">
      <c r="AD867">
        <v>8396</v>
      </c>
      <c r="AF867">
        <v>8396</v>
      </c>
      <c r="AJ867">
        <v>9242</v>
      </c>
    </row>
    <row r="868" spans="30:36">
      <c r="AD868">
        <v>8397</v>
      </c>
      <c r="AF868">
        <v>8397</v>
      </c>
      <c r="AJ868">
        <v>9243</v>
      </c>
    </row>
    <row r="869" spans="30:36">
      <c r="AD869">
        <v>8398</v>
      </c>
      <c r="AF869">
        <v>8398</v>
      </c>
      <c r="AJ869">
        <v>9244</v>
      </c>
    </row>
    <row r="870" spans="30:36">
      <c r="AD870">
        <v>8399</v>
      </c>
      <c r="AF870">
        <v>8399</v>
      </c>
      <c r="AJ870">
        <v>9245</v>
      </c>
    </row>
    <row r="871" spans="30:36">
      <c r="AD871" s="980">
        <v>4007</v>
      </c>
      <c r="AJ871">
        <v>9246</v>
      </c>
    </row>
    <row r="872" spans="30:36">
      <c r="AD872" s="980">
        <v>4008</v>
      </c>
      <c r="AJ872">
        <v>9247</v>
      </c>
    </row>
    <row r="873" spans="30:36">
      <c r="AD873" s="980">
        <v>4009</v>
      </c>
      <c r="AJ873">
        <v>9248</v>
      </c>
    </row>
    <row r="874" spans="30:36">
      <c r="AD874" s="980">
        <v>4010</v>
      </c>
      <c r="AJ874">
        <v>9249</v>
      </c>
    </row>
    <row r="875" spans="30:36">
      <c r="AD875" s="980">
        <v>4011</v>
      </c>
      <c r="AJ875">
        <v>9250</v>
      </c>
    </row>
    <row r="876" spans="30:36">
      <c r="AD876" s="980">
        <v>4012</v>
      </c>
      <c r="AJ876">
        <v>9251</v>
      </c>
    </row>
    <row r="877" spans="30:36">
      <c r="AD877" s="980">
        <v>4013</v>
      </c>
      <c r="AJ877">
        <v>9252</v>
      </c>
    </row>
    <row r="878" spans="30:36">
      <c r="AD878" s="980">
        <v>4014</v>
      </c>
      <c r="AJ878">
        <v>9253</v>
      </c>
    </row>
    <row r="879" spans="30:36">
      <c r="AD879" s="980">
        <v>4015</v>
      </c>
      <c r="AJ879">
        <v>9254</v>
      </c>
    </row>
    <row r="880" spans="30:36">
      <c r="AD880" s="980">
        <v>4016</v>
      </c>
      <c r="AJ880">
        <v>9255</v>
      </c>
    </row>
    <row r="881" spans="30:36">
      <c r="AD881" s="980">
        <v>4017</v>
      </c>
      <c r="AJ881">
        <v>9256</v>
      </c>
    </row>
    <row r="882" spans="30:36">
      <c r="AD882" s="980">
        <v>4018</v>
      </c>
      <c r="AJ882">
        <v>9257</v>
      </c>
    </row>
    <row r="883" spans="30:36">
      <c r="AD883" s="980">
        <v>4019</v>
      </c>
      <c r="AJ883">
        <v>9258</v>
      </c>
    </row>
    <row r="884" spans="30:36">
      <c r="AD884" s="980">
        <v>4020</v>
      </c>
      <c r="AJ884">
        <v>9259</v>
      </c>
    </row>
    <row r="885" spans="30:36">
      <c r="AD885" s="980">
        <v>4021</v>
      </c>
      <c r="AJ885">
        <v>9260</v>
      </c>
    </row>
    <row r="886" spans="30:36">
      <c r="AD886" s="980">
        <v>4022</v>
      </c>
      <c r="AJ886">
        <v>9261</v>
      </c>
    </row>
    <row r="887" spans="30:36">
      <c r="AD887" s="980">
        <v>4030</v>
      </c>
      <c r="AJ887">
        <v>9262</v>
      </c>
    </row>
    <row r="888" spans="30:36">
      <c r="AD888" s="980">
        <v>4031</v>
      </c>
      <c r="AJ888">
        <v>9263</v>
      </c>
    </row>
    <row r="889" spans="30:36">
      <c r="AD889" s="980">
        <v>4032</v>
      </c>
      <c r="AJ889">
        <v>9264</v>
      </c>
    </row>
    <row r="890" spans="30:36">
      <c r="AD890" s="980">
        <v>4033</v>
      </c>
      <c r="AJ890">
        <v>9265</v>
      </c>
    </row>
    <row r="891" spans="30:36">
      <c r="AD891" s="980">
        <v>4034</v>
      </c>
      <c r="AJ891">
        <v>9266</v>
      </c>
    </row>
    <row r="892" spans="30:36">
      <c r="AD892" s="980">
        <v>4035</v>
      </c>
      <c r="AJ892">
        <v>9267</v>
      </c>
    </row>
    <row r="893" spans="30:36">
      <c r="AD893" s="980">
        <v>4036</v>
      </c>
      <c r="AJ893">
        <v>9268</v>
      </c>
    </row>
    <row r="894" spans="30:36">
      <c r="AD894" s="980">
        <v>4037</v>
      </c>
      <c r="AJ894">
        <v>9269</v>
      </c>
    </row>
    <row r="895" spans="30:36">
      <c r="AD895" s="980">
        <v>4038</v>
      </c>
      <c r="AJ895">
        <v>9270</v>
      </c>
    </row>
    <row r="896" spans="30:36">
      <c r="AD896" s="980">
        <v>4039</v>
      </c>
      <c r="AJ896">
        <v>9271</v>
      </c>
    </row>
    <row r="897" spans="29:36">
      <c r="AD897" s="980">
        <v>4040</v>
      </c>
      <c r="AJ897">
        <v>9272</v>
      </c>
    </row>
    <row r="898" spans="29:36">
      <c r="AD898" s="980">
        <v>4041</v>
      </c>
      <c r="AJ898">
        <v>9273</v>
      </c>
    </row>
    <row r="899" spans="29:36">
      <c r="AD899" s="980">
        <v>4042</v>
      </c>
      <c r="AJ899">
        <v>9274</v>
      </c>
    </row>
    <row r="900" spans="29:36">
      <c r="AD900" s="980">
        <v>4043</v>
      </c>
      <c r="AJ900">
        <v>9275</v>
      </c>
    </row>
    <row r="901" spans="29:36">
      <c r="AD901" s="980">
        <v>4044</v>
      </c>
      <c r="AJ901">
        <v>9276</v>
      </c>
    </row>
    <row r="902" spans="29:36">
      <c r="AD902" s="980"/>
      <c r="AJ902">
        <v>9277</v>
      </c>
    </row>
    <row r="903" spans="29:36">
      <c r="AD903" s="980">
        <v>4045</v>
      </c>
      <c r="AJ903">
        <v>9278</v>
      </c>
    </row>
    <row r="904" spans="29:36">
      <c r="AD904" s="980">
        <v>4046</v>
      </c>
      <c r="AJ904">
        <v>9279</v>
      </c>
    </row>
    <row r="905" spans="29:36">
      <c r="AD905" s="980">
        <v>4047</v>
      </c>
      <c r="AJ905">
        <v>9280</v>
      </c>
    </row>
    <row r="906" spans="29:36">
      <c r="AC906" t="s">
        <v>325</v>
      </c>
      <c r="AD906" s="980">
        <v>4048</v>
      </c>
      <c r="AJ906">
        <v>9281</v>
      </c>
    </row>
    <row r="907" spans="29:36">
      <c r="AD907" s="980">
        <v>4049</v>
      </c>
      <c r="AJ907">
        <v>9282</v>
      </c>
    </row>
    <row r="908" spans="29:36">
      <c r="AD908" s="980">
        <v>4050</v>
      </c>
      <c r="AJ908">
        <v>9283</v>
      </c>
    </row>
    <row r="909" spans="29:36">
      <c r="AD909" s="980">
        <v>4051</v>
      </c>
      <c r="AJ909">
        <v>9284</v>
      </c>
    </row>
    <row r="910" spans="29:36">
      <c r="AD910" s="980">
        <v>4052</v>
      </c>
      <c r="AJ910">
        <v>9285</v>
      </c>
    </row>
    <row r="911" spans="29:36">
      <c r="AD911" s="980">
        <v>4053</v>
      </c>
      <c r="AJ911">
        <v>9286</v>
      </c>
    </row>
    <row r="912" spans="29:36">
      <c r="AD912" s="980">
        <v>4054</v>
      </c>
      <c r="AJ912">
        <v>9287</v>
      </c>
    </row>
    <row r="913" spans="30:36">
      <c r="AD913" s="980">
        <v>4055</v>
      </c>
      <c r="AJ913">
        <v>9288</v>
      </c>
    </row>
    <row r="914" spans="30:36">
      <c r="AD914" s="980">
        <v>4056</v>
      </c>
      <c r="AJ914">
        <v>9289</v>
      </c>
    </row>
    <row r="915" spans="30:36">
      <c r="AD915" s="980">
        <v>4057</v>
      </c>
      <c r="AJ915">
        <v>9290</v>
      </c>
    </row>
    <row r="916" spans="30:36">
      <c r="AD916" s="980">
        <v>4058</v>
      </c>
      <c r="AJ916">
        <v>9291</v>
      </c>
    </row>
    <row r="917" spans="30:36">
      <c r="AD917" s="980">
        <v>4059</v>
      </c>
      <c r="AJ917">
        <v>9292</v>
      </c>
    </row>
    <row r="918" spans="30:36">
      <c r="AD918" s="980">
        <v>4060</v>
      </c>
      <c r="AJ918">
        <v>9293</v>
      </c>
    </row>
    <row r="919" spans="30:36">
      <c r="AD919" s="980">
        <v>4061</v>
      </c>
      <c r="AJ919">
        <v>9294</v>
      </c>
    </row>
    <row r="920" spans="30:36">
      <c r="AD920" s="980">
        <v>4062</v>
      </c>
      <c r="AJ920">
        <v>9295</v>
      </c>
    </row>
    <row r="921" spans="30:36">
      <c r="AD921" s="980">
        <v>4063</v>
      </c>
      <c r="AJ921">
        <v>9296</v>
      </c>
    </row>
    <row r="922" spans="30:36">
      <c r="AD922" s="980">
        <v>4064</v>
      </c>
      <c r="AJ922">
        <v>9297</v>
      </c>
    </row>
    <row r="923" spans="30:36">
      <c r="AD923" s="980">
        <v>4065</v>
      </c>
      <c r="AJ923">
        <v>9298</v>
      </c>
    </row>
    <row r="924" spans="30:36">
      <c r="AD924" s="980">
        <v>4066</v>
      </c>
      <c r="AJ924">
        <v>9299</v>
      </c>
    </row>
    <row r="925" spans="30:36">
      <c r="AD925" s="980">
        <v>4067</v>
      </c>
    </row>
    <row r="926" spans="30:36">
      <c r="AD926" s="980">
        <v>4068</v>
      </c>
    </row>
    <row r="927" spans="30:36">
      <c r="AD927" s="980">
        <v>4069</v>
      </c>
    </row>
    <row r="928" spans="30:36">
      <c r="AD928" s="980">
        <v>4070</v>
      </c>
    </row>
    <row r="929" spans="30:30">
      <c r="AD929" s="980">
        <v>4071</v>
      </c>
    </row>
    <row r="930" spans="30:30">
      <c r="AD930" s="980">
        <v>4072</v>
      </c>
    </row>
    <row r="931" spans="30:30">
      <c r="AD931" s="980">
        <v>4073</v>
      </c>
    </row>
    <row r="932" spans="30:30">
      <c r="AD932" s="980">
        <v>4074</v>
      </c>
    </row>
    <row r="933" spans="30:30">
      <c r="AD933" s="980">
        <v>4075</v>
      </c>
    </row>
    <row r="934" spans="30:30">
      <c r="AD934" s="980">
        <v>4076</v>
      </c>
    </row>
    <row r="935" spans="30:30">
      <c r="AD935" s="980">
        <v>4077</v>
      </c>
    </row>
    <row r="936" spans="30:30">
      <c r="AD936" s="980">
        <v>4078</v>
      </c>
    </row>
    <row r="937" spans="30:30">
      <c r="AD937" s="980">
        <v>4079</v>
      </c>
    </row>
    <row r="938" spans="30:30">
      <c r="AD938" s="980">
        <v>4080</v>
      </c>
    </row>
    <row r="939" spans="30:30">
      <c r="AD939" s="980">
        <v>4081</v>
      </c>
    </row>
    <row r="940" spans="30:30">
      <c r="AD940" s="980">
        <v>4082</v>
      </c>
    </row>
    <row r="941" spans="30:30">
      <c r="AD941" s="980">
        <v>4083</v>
      </c>
    </row>
    <row r="942" spans="30:30">
      <c r="AD942" s="980">
        <v>4084</v>
      </c>
    </row>
    <row r="943" spans="30:30">
      <c r="AD943" s="980">
        <v>4085</v>
      </c>
    </row>
    <row r="944" spans="30:30">
      <c r="AD944" s="980">
        <v>4086</v>
      </c>
    </row>
    <row r="945" spans="29:30">
      <c r="AD945" s="980">
        <v>4087</v>
      </c>
    </row>
    <row r="946" spans="29:30">
      <c r="AD946" s="980">
        <v>4088</v>
      </c>
    </row>
    <row r="947" spans="29:30">
      <c r="AD947" s="980">
        <v>4089</v>
      </c>
    </row>
    <row r="948" spans="29:30">
      <c r="AD948" s="980">
        <v>4090</v>
      </c>
    </row>
    <row r="949" spans="29:30">
      <c r="AD949" s="980">
        <v>4091</v>
      </c>
    </row>
    <row r="950" spans="29:30">
      <c r="AC950" t="s">
        <v>327</v>
      </c>
      <c r="AD950" s="980">
        <v>4092</v>
      </c>
    </row>
    <row r="951" spans="29:30">
      <c r="AD951" s="980">
        <v>4093</v>
      </c>
    </row>
    <row r="952" spans="29:30">
      <c r="AD952" s="980">
        <v>4094</v>
      </c>
    </row>
    <row r="953" spans="29:30">
      <c r="AD953" s="980">
        <v>4095</v>
      </c>
    </row>
    <row r="954" spans="29:30">
      <c r="AD954" s="980">
        <v>4096</v>
      </c>
    </row>
    <row r="955" spans="29:30">
      <c r="AD955" s="980">
        <v>4097</v>
      </c>
    </row>
    <row r="956" spans="29:30">
      <c r="AD956" s="980">
        <v>4098</v>
      </c>
    </row>
    <row r="957" spans="29:30">
      <c r="AD957" s="980">
        <v>4099</v>
      </c>
    </row>
    <row r="958" spans="29:30">
      <c r="AD958" s="980">
        <v>4100</v>
      </c>
    </row>
    <row r="959" spans="29:30">
      <c r="AD959" s="980">
        <v>4101</v>
      </c>
    </row>
    <row r="960" spans="29:30">
      <c r="AD960" s="980">
        <v>4102</v>
      </c>
    </row>
    <row r="961" spans="30:30">
      <c r="AD961" s="980">
        <v>4103</v>
      </c>
    </row>
    <row r="962" spans="30:30">
      <c r="AD962" s="980">
        <v>4104</v>
      </c>
    </row>
    <row r="963" spans="30:30">
      <c r="AD963" s="980">
        <v>4105</v>
      </c>
    </row>
    <row r="964" spans="30:30">
      <c r="AD964" s="980">
        <v>4106</v>
      </c>
    </row>
    <row r="965" spans="30:30">
      <c r="AD965" s="980">
        <v>4107</v>
      </c>
    </row>
    <row r="966" spans="30:30">
      <c r="AD966" s="980">
        <v>4108</v>
      </c>
    </row>
    <row r="967" spans="30:30">
      <c r="AD967" s="980">
        <v>4109</v>
      </c>
    </row>
    <row r="968" spans="30:30">
      <c r="AD968" s="980">
        <v>4110</v>
      </c>
    </row>
    <row r="969" spans="30:30">
      <c r="AD969" s="980">
        <v>4111</v>
      </c>
    </row>
    <row r="970" spans="30:30">
      <c r="AD970" s="980">
        <v>4112</v>
      </c>
    </row>
    <row r="971" spans="30:30">
      <c r="AD971" s="980">
        <v>4113</v>
      </c>
    </row>
    <row r="972" spans="30:30">
      <c r="AD972" s="980">
        <v>4114</v>
      </c>
    </row>
    <row r="973" spans="30:30">
      <c r="AD973" s="980">
        <v>4115</v>
      </c>
    </row>
    <row r="974" spans="30:30">
      <c r="AD974" s="980">
        <v>4116</v>
      </c>
    </row>
    <row r="975" spans="30:30">
      <c r="AD975" s="980">
        <v>4117</v>
      </c>
    </row>
    <row r="976" spans="30:30">
      <c r="AD976" s="980">
        <v>4118</v>
      </c>
    </row>
    <row r="977" spans="30:30">
      <c r="AD977" s="980">
        <v>4119</v>
      </c>
    </row>
    <row r="978" spans="30:30">
      <c r="AD978" s="980">
        <v>4120</v>
      </c>
    </row>
    <row r="979" spans="30:30">
      <c r="AD979" s="980">
        <v>4121</v>
      </c>
    </row>
    <row r="980" spans="30:30">
      <c r="AD980" s="980">
        <v>4122</v>
      </c>
    </row>
    <row r="981" spans="30:30">
      <c r="AD981" s="980">
        <v>4123</v>
      </c>
    </row>
    <row r="982" spans="30:30">
      <c r="AD982" s="980">
        <v>4124</v>
      </c>
    </row>
    <row r="983" spans="30:30">
      <c r="AD983" s="980">
        <v>4125</v>
      </c>
    </row>
    <row r="984" spans="30:30">
      <c r="AD984" s="980">
        <v>4126</v>
      </c>
    </row>
    <row r="985" spans="30:30">
      <c r="AD985" s="980">
        <v>4127</v>
      </c>
    </row>
    <row r="986" spans="30:30">
      <c r="AD986" s="980">
        <v>4128</v>
      </c>
    </row>
    <row r="987" spans="30:30">
      <c r="AD987" s="980">
        <v>4129</v>
      </c>
    </row>
    <row r="988" spans="30:30">
      <c r="AD988" s="980">
        <v>4130</v>
      </c>
    </row>
    <row r="989" spans="30:30">
      <c r="AD989" s="980">
        <v>4131</v>
      </c>
    </row>
    <row r="990" spans="30:30">
      <c r="AD990" s="980">
        <v>4132</v>
      </c>
    </row>
    <row r="991" spans="30:30">
      <c r="AD991" s="980">
        <v>4133</v>
      </c>
    </row>
    <row r="992" spans="30:30">
      <c r="AD992" s="980">
        <v>4134</v>
      </c>
    </row>
    <row r="993" spans="30:30">
      <c r="AD993" s="980">
        <v>4135</v>
      </c>
    </row>
    <row r="994" spans="30:30">
      <c r="AD994" s="980">
        <v>4136</v>
      </c>
    </row>
    <row r="995" spans="30:30">
      <c r="AD995" s="980">
        <v>4137</v>
      </c>
    </row>
    <row r="996" spans="30:30">
      <c r="AD996" s="980">
        <v>4138</v>
      </c>
    </row>
    <row r="997" spans="30:30">
      <c r="AD997" s="980">
        <v>4139</v>
      </c>
    </row>
    <row r="998" spans="30:30">
      <c r="AD998" s="980">
        <v>4140</v>
      </c>
    </row>
    <row r="999" spans="30:30">
      <c r="AD999" s="980">
        <v>4141</v>
      </c>
    </row>
    <row r="1000" spans="30:30">
      <c r="AD1000" s="980">
        <v>4142</v>
      </c>
    </row>
    <row r="1001" spans="30:30">
      <c r="AD1001" s="980">
        <v>4143</v>
      </c>
    </row>
    <row r="1002" spans="30:30">
      <c r="AD1002" s="980">
        <v>4144</v>
      </c>
    </row>
    <row r="1003" spans="30:30">
      <c r="AD1003" s="980">
        <v>4145</v>
      </c>
    </row>
    <row r="1004" spans="30:30">
      <c r="AD1004" s="980">
        <v>4146</v>
      </c>
    </row>
    <row r="1005" spans="30:30">
      <c r="AD1005" s="980">
        <v>4147</v>
      </c>
    </row>
    <row r="1006" spans="30:30">
      <c r="AD1006" s="980">
        <v>4148</v>
      </c>
    </row>
    <row r="1007" spans="30:30">
      <c r="AD1007" s="980">
        <v>4149</v>
      </c>
    </row>
    <row r="1008" spans="30:30">
      <c r="AD1008" s="980">
        <v>4150</v>
      </c>
    </row>
    <row r="1009" spans="30:30">
      <c r="AD1009" s="980">
        <v>4151</v>
      </c>
    </row>
    <row r="1010" spans="30:30">
      <c r="AD1010" s="980">
        <v>4152</v>
      </c>
    </row>
    <row r="1011" spans="30:30">
      <c r="AD1011" s="980">
        <v>4153</v>
      </c>
    </row>
    <row r="1012" spans="30:30">
      <c r="AD1012" s="980">
        <v>4154</v>
      </c>
    </row>
    <row r="1013" spans="30:30">
      <c r="AD1013" s="980">
        <v>4155</v>
      </c>
    </row>
    <row r="1014" spans="30:30">
      <c r="AD1014" s="980">
        <v>4156</v>
      </c>
    </row>
    <row r="1015" spans="30:30">
      <c r="AD1015" s="980">
        <v>4157</v>
      </c>
    </row>
    <row r="1016" spans="30:30">
      <c r="AD1016" s="980">
        <v>4158</v>
      </c>
    </row>
    <row r="1017" spans="30:30">
      <c r="AD1017" s="980">
        <v>4159</v>
      </c>
    </row>
    <row r="1018" spans="30:30">
      <c r="AD1018" s="980">
        <v>4160</v>
      </c>
    </row>
    <row r="1019" spans="30:30">
      <c r="AD1019" s="980">
        <v>4161</v>
      </c>
    </row>
    <row r="1020" spans="30:30">
      <c r="AD1020" s="980">
        <v>4162</v>
      </c>
    </row>
    <row r="1021" spans="30:30">
      <c r="AD1021" s="980">
        <v>4163</v>
      </c>
    </row>
    <row r="1022" spans="30:30">
      <c r="AD1022" s="980">
        <v>4164</v>
      </c>
    </row>
    <row r="1023" spans="30:30">
      <c r="AD1023" s="980">
        <v>4165</v>
      </c>
    </row>
    <row r="1024" spans="30:30">
      <c r="AD1024" s="980">
        <v>4166</v>
      </c>
    </row>
    <row r="1025" spans="30:30">
      <c r="AD1025" s="980">
        <v>4167</v>
      </c>
    </row>
    <row r="1026" spans="30:30">
      <c r="AD1026" s="980">
        <v>4168</v>
      </c>
    </row>
    <row r="1027" spans="30:30">
      <c r="AD1027" s="980">
        <v>4169</v>
      </c>
    </row>
    <row r="1028" spans="30:30">
      <c r="AD1028" s="980">
        <v>4170</v>
      </c>
    </row>
    <row r="1029" spans="30:30">
      <c r="AD1029" s="980">
        <v>4171</v>
      </c>
    </row>
    <row r="1030" spans="30:30">
      <c r="AD1030" s="980">
        <v>4172</v>
      </c>
    </row>
    <row r="1031" spans="30:30">
      <c r="AD1031" s="980">
        <v>4173</v>
      </c>
    </row>
    <row r="1032" spans="30:30">
      <c r="AD1032" s="980">
        <v>4174</v>
      </c>
    </row>
    <row r="1033" spans="30:30">
      <c r="AD1033" s="980">
        <v>4175</v>
      </c>
    </row>
    <row r="1034" spans="30:30">
      <c r="AD1034" s="980">
        <v>4176</v>
      </c>
    </row>
    <row r="1035" spans="30:30">
      <c r="AD1035" s="980">
        <v>4177</v>
      </c>
    </row>
    <row r="1036" spans="30:30">
      <c r="AD1036" s="980">
        <v>4178</v>
      </c>
    </row>
    <row r="1037" spans="30:30">
      <c r="AD1037" s="980">
        <v>4179</v>
      </c>
    </row>
    <row r="1038" spans="30:30">
      <c r="AD1038">
        <v>4205</v>
      </c>
    </row>
    <row r="1039" spans="30:30">
      <c r="AD1039">
        <v>4206</v>
      </c>
    </row>
    <row r="1040" spans="30:30">
      <c r="AD1040">
        <v>4207</v>
      </c>
    </row>
    <row r="1041" spans="30:30">
      <c r="AD1041">
        <v>4208</v>
      </c>
    </row>
    <row r="1042" spans="30:30">
      <c r="AD1042">
        <v>4209</v>
      </c>
    </row>
    <row r="1043" spans="30:30">
      <c r="AD1043">
        <v>4210</v>
      </c>
    </row>
    <row r="1044" spans="30:30">
      <c r="AD1044">
        <v>4211</v>
      </c>
    </row>
    <row r="1045" spans="30:30">
      <c r="AD1045">
        <v>4212</v>
      </c>
    </row>
    <row r="1046" spans="30:30">
      <c r="AD1046">
        <v>4213</v>
      </c>
    </row>
    <row r="1047" spans="30:30">
      <c r="AD1047">
        <v>4214</v>
      </c>
    </row>
    <row r="1048" spans="30:30">
      <c r="AD1048">
        <v>4215</v>
      </c>
    </row>
    <row r="1049" spans="30:30">
      <c r="AD1049">
        <v>4216</v>
      </c>
    </row>
    <row r="1050" spans="30:30">
      <c r="AD1050">
        <v>4217</v>
      </c>
    </row>
    <row r="1051" spans="30:30">
      <c r="AD1051">
        <v>4218</v>
      </c>
    </row>
    <row r="1052" spans="30:30">
      <c r="AD1052">
        <v>4219</v>
      </c>
    </row>
    <row r="1053" spans="30:30">
      <c r="AD1053">
        <v>4220</v>
      </c>
    </row>
    <row r="1054" spans="30:30">
      <c r="AD1054">
        <v>4221</v>
      </c>
    </row>
    <row r="1055" spans="30:30">
      <c r="AD1055">
        <v>4223</v>
      </c>
    </row>
    <row r="1056" spans="30:30">
      <c r="AD1056">
        <v>4224</v>
      </c>
    </row>
    <row r="1057" spans="30:30">
      <c r="AD1057">
        <v>4225</v>
      </c>
    </row>
    <row r="1058" spans="30:30">
      <c r="AD1058">
        <v>4226</v>
      </c>
    </row>
    <row r="1059" spans="30:30">
      <c r="AD1059">
        <v>4227</v>
      </c>
    </row>
    <row r="1060" spans="30:30">
      <c r="AD1060">
        <v>4228</v>
      </c>
    </row>
    <row r="1061" spans="30:30">
      <c r="AD1061">
        <v>4229</v>
      </c>
    </row>
    <row r="1062" spans="30:30">
      <c r="AD1062">
        <v>2600</v>
      </c>
    </row>
    <row r="1063" spans="30:30">
      <c r="AD1063">
        <v>2601</v>
      </c>
    </row>
    <row r="1064" spans="30:30">
      <c r="AD1064">
        <v>2602</v>
      </c>
    </row>
    <row r="1065" spans="30:30">
      <c r="AD1065">
        <v>2603</v>
      </c>
    </row>
    <row r="1066" spans="30:30">
      <c r="AD1066">
        <v>2604</v>
      </c>
    </row>
    <row r="1067" spans="30:30">
      <c r="AD1067">
        <v>2605</v>
      </c>
    </row>
    <row r="1068" spans="30:30">
      <c r="AD1068">
        <v>2606</v>
      </c>
    </row>
    <row r="1069" spans="30:30">
      <c r="AD1069">
        <v>2607</v>
      </c>
    </row>
    <row r="1070" spans="30:30">
      <c r="AD1070">
        <v>2608</v>
      </c>
    </row>
    <row r="1071" spans="30:30">
      <c r="AD1071">
        <v>2609</v>
      </c>
    </row>
    <row r="1072" spans="30:30">
      <c r="AD1072">
        <v>2610</v>
      </c>
    </row>
    <row r="1073" spans="30:30">
      <c r="AD1073">
        <v>2611</v>
      </c>
    </row>
    <row r="1074" spans="30:30">
      <c r="AD1074">
        <v>2612</v>
      </c>
    </row>
    <row r="1075" spans="30:30">
      <c r="AD1075">
        <v>2900</v>
      </c>
    </row>
    <row r="1076" spans="30:30">
      <c r="AD1076">
        <v>2901</v>
      </c>
    </row>
    <row r="1077" spans="30:30">
      <c r="AD1077">
        <v>2902</v>
      </c>
    </row>
    <row r="1078" spans="30:30">
      <c r="AD1078">
        <v>2903</v>
      </c>
    </row>
    <row r="1079" spans="30:30">
      <c r="AD1079">
        <v>2904</v>
      </c>
    </row>
    <row r="1080" spans="30:30">
      <c r="AD1080">
        <v>2905</v>
      </c>
    </row>
    <row r="1081" spans="30:30">
      <c r="AD1081">
        <v>2906</v>
      </c>
    </row>
    <row r="1082" spans="30:30">
      <c r="AD1082">
        <v>2907</v>
      </c>
    </row>
    <row r="1083" spans="30:30">
      <c r="AD1083">
        <v>2908</v>
      </c>
    </row>
    <row r="1084" spans="30:30">
      <c r="AD1084">
        <v>2909</v>
      </c>
    </row>
    <row r="1085" spans="30:30">
      <c r="AD1085">
        <v>2910</v>
      </c>
    </row>
    <row r="1086" spans="30:30">
      <c r="AD1086">
        <v>2911</v>
      </c>
    </row>
    <row r="1087" spans="30:30">
      <c r="AD1087">
        <v>2912</v>
      </c>
    </row>
    <row r="1088" spans="30:30">
      <c r="AD1088">
        <v>2913</v>
      </c>
    </row>
    <row r="1089" spans="30:30">
      <c r="AD1089">
        <v>2914</v>
      </c>
    </row>
    <row r="1090" spans="30:30">
      <c r="AD1090">
        <v>5007</v>
      </c>
    </row>
    <row r="1091" spans="30:30">
      <c r="AD1091">
        <v>5008</v>
      </c>
    </row>
    <row r="1092" spans="30:30">
      <c r="AD1092">
        <v>5009</v>
      </c>
    </row>
    <row r="1093" spans="30:30">
      <c r="AD1093">
        <v>5010</v>
      </c>
    </row>
    <row r="1094" spans="30:30">
      <c r="AD1094">
        <v>5011</v>
      </c>
    </row>
    <row r="1095" spans="30:30">
      <c r="AD1095">
        <v>5012</v>
      </c>
    </row>
    <row r="1096" spans="30:30">
      <c r="AD1096">
        <v>5013</v>
      </c>
    </row>
    <row r="1097" spans="30:30">
      <c r="AD1097">
        <v>5014</v>
      </c>
    </row>
    <row r="1098" spans="30:30">
      <c r="AD1098">
        <v>5015</v>
      </c>
    </row>
    <row r="1099" spans="30:30">
      <c r="AD1099">
        <v>5016</v>
      </c>
    </row>
    <row r="1100" spans="30:30">
      <c r="AD1100">
        <v>5017</v>
      </c>
    </row>
    <row r="1101" spans="30:30">
      <c r="AD1101">
        <v>5018</v>
      </c>
    </row>
    <row r="1102" spans="30:30">
      <c r="AD1102">
        <v>5019</v>
      </c>
    </row>
    <row r="1103" spans="30:30">
      <c r="AD1103">
        <v>5020</v>
      </c>
    </row>
    <row r="1104" spans="30:30">
      <c r="AD1104">
        <v>5021</v>
      </c>
    </row>
    <row r="1105" spans="30:30">
      <c r="AD1105">
        <v>5022</v>
      </c>
    </row>
    <row r="1106" spans="30:30">
      <c r="AD1106">
        <v>5023</v>
      </c>
    </row>
    <row r="1107" spans="30:30">
      <c r="AD1107">
        <v>5024</v>
      </c>
    </row>
    <row r="1108" spans="30:30">
      <c r="AD1108">
        <v>5025</v>
      </c>
    </row>
    <row r="1109" spans="30:30">
      <c r="AD1109">
        <v>5026</v>
      </c>
    </row>
    <row r="1110" spans="30:30">
      <c r="AD1110">
        <v>5027</v>
      </c>
    </row>
    <row r="1111" spans="30:30">
      <c r="AD1111">
        <v>5028</v>
      </c>
    </row>
    <row r="1112" spans="30:30">
      <c r="AD1112">
        <v>5029</v>
      </c>
    </row>
    <row r="1113" spans="30:30">
      <c r="AD1113">
        <v>5030</v>
      </c>
    </row>
    <row r="1114" spans="30:30">
      <c r="AD1114">
        <v>5031</v>
      </c>
    </row>
    <row r="1115" spans="30:30">
      <c r="AD1115">
        <v>5032</v>
      </c>
    </row>
    <row r="1116" spans="30:30">
      <c r="AD1116">
        <v>5033</v>
      </c>
    </row>
    <row r="1117" spans="30:30">
      <c r="AD1117">
        <v>5034</v>
      </c>
    </row>
    <row r="1118" spans="30:30">
      <c r="AD1118">
        <v>5035</v>
      </c>
    </row>
    <row r="1119" spans="30:30">
      <c r="AD1119">
        <v>5036</v>
      </c>
    </row>
    <row r="1120" spans="30:30">
      <c r="AD1120">
        <v>5037</v>
      </c>
    </row>
    <row r="1121" spans="30:30">
      <c r="AD1121">
        <v>5038</v>
      </c>
    </row>
    <row r="1122" spans="30:30">
      <c r="AD1122">
        <v>5039</v>
      </c>
    </row>
    <row r="1123" spans="30:30">
      <c r="AD1123">
        <v>5040</v>
      </c>
    </row>
    <row r="1124" spans="30:30">
      <c r="AD1124">
        <v>5041</v>
      </c>
    </row>
    <row r="1125" spans="30:30">
      <c r="AD1125">
        <v>5042</v>
      </c>
    </row>
    <row r="1126" spans="30:30">
      <c r="AD1126">
        <v>5043</v>
      </c>
    </row>
    <row r="1127" spans="30:30">
      <c r="AD1127">
        <v>5044</v>
      </c>
    </row>
    <row r="1128" spans="30:30">
      <c r="AD1128">
        <v>5045</v>
      </c>
    </row>
    <row r="1129" spans="30:30">
      <c r="AD1129">
        <v>5046</v>
      </c>
    </row>
    <row r="1130" spans="30:30">
      <c r="AD1130">
        <v>5047</v>
      </c>
    </row>
    <row r="1131" spans="30:30">
      <c r="AD1131">
        <v>5048</v>
      </c>
    </row>
    <row r="1132" spans="30:30">
      <c r="AD1132">
        <v>5049</v>
      </c>
    </row>
    <row r="1133" spans="30:30">
      <c r="AD1133">
        <v>5050</v>
      </c>
    </row>
    <row r="1134" spans="30:30">
      <c r="AD1134">
        <v>5051</v>
      </c>
    </row>
    <row r="1135" spans="30:30">
      <c r="AD1135">
        <v>5052</v>
      </c>
    </row>
    <row r="1136" spans="30:30">
      <c r="AD1136">
        <v>5053</v>
      </c>
    </row>
    <row r="1137" spans="30:30">
      <c r="AD1137">
        <v>5054</v>
      </c>
    </row>
    <row r="1138" spans="30:30">
      <c r="AD1138">
        <v>5055</v>
      </c>
    </row>
    <row r="1139" spans="30:30">
      <c r="AD1139">
        <v>5056</v>
      </c>
    </row>
    <row r="1140" spans="30:30">
      <c r="AD1140">
        <v>5057</v>
      </c>
    </row>
    <row r="1141" spans="30:30">
      <c r="AD1141">
        <v>5058</v>
      </c>
    </row>
    <row r="1142" spans="30:30">
      <c r="AD1142">
        <v>5059</v>
      </c>
    </row>
    <row r="1143" spans="30:30">
      <c r="AD1143">
        <v>5060</v>
      </c>
    </row>
    <row r="1144" spans="30:30">
      <c r="AD1144">
        <v>5061</v>
      </c>
    </row>
    <row r="1145" spans="30:30">
      <c r="AD1145">
        <v>5062</v>
      </c>
    </row>
    <row r="1146" spans="30:30">
      <c r="AD1146">
        <v>5063</v>
      </c>
    </row>
    <row r="1147" spans="30:30">
      <c r="AD1147">
        <v>5064</v>
      </c>
    </row>
    <row r="1148" spans="30:30">
      <c r="AD1148">
        <v>5065</v>
      </c>
    </row>
    <row r="1149" spans="30:30">
      <c r="AD1149">
        <v>5066</v>
      </c>
    </row>
    <row r="1150" spans="30:30">
      <c r="AD1150">
        <v>5067</v>
      </c>
    </row>
    <row r="1151" spans="30:30">
      <c r="AD1151">
        <v>5068</v>
      </c>
    </row>
    <row r="1152" spans="30:30">
      <c r="AD1152">
        <v>5069</v>
      </c>
    </row>
    <row r="1153" spans="29:30">
      <c r="AD1153">
        <v>5070</v>
      </c>
    </row>
    <row r="1154" spans="29:30">
      <c r="AD1154">
        <v>5071</v>
      </c>
    </row>
    <row r="1155" spans="29:30">
      <c r="AD1155">
        <v>5072</v>
      </c>
    </row>
    <row r="1156" spans="29:30">
      <c r="AD1156">
        <v>5073</v>
      </c>
    </row>
    <row r="1157" spans="29:30">
      <c r="AD1157">
        <v>5074</v>
      </c>
    </row>
    <row r="1158" spans="29:30">
      <c r="AD1158">
        <v>5075</v>
      </c>
    </row>
    <row r="1159" spans="29:30">
      <c r="AD1159">
        <v>5076</v>
      </c>
    </row>
    <row r="1160" spans="29:30">
      <c r="AD1160">
        <v>5077</v>
      </c>
    </row>
    <row r="1161" spans="29:30">
      <c r="AD1161">
        <v>5078</v>
      </c>
    </row>
    <row r="1162" spans="29:30">
      <c r="AD1162">
        <v>5079</v>
      </c>
    </row>
    <row r="1163" spans="29:30">
      <c r="AD1163">
        <v>5080</v>
      </c>
    </row>
    <row r="1164" spans="29:30">
      <c r="AD1164">
        <v>5081</v>
      </c>
    </row>
    <row r="1165" spans="29:30">
      <c r="AD1165">
        <v>5082</v>
      </c>
    </row>
    <row r="1166" spans="29:30">
      <c r="AD1166">
        <v>5083</v>
      </c>
    </row>
    <row r="1167" spans="29:30">
      <c r="AC1167" t="s">
        <v>320</v>
      </c>
      <c r="AD1167">
        <v>5084</v>
      </c>
    </row>
    <row r="1168" spans="29:30">
      <c r="AD1168">
        <v>5085</v>
      </c>
    </row>
    <row r="1169" spans="30:30">
      <c r="AD1169">
        <v>5086</v>
      </c>
    </row>
    <row r="1170" spans="30:30">
      <c r="AD1170">
        <v>5087</v>
      </c>
    </row>
    <row r="1171" spans="30:30">
      <c r="AD1171">
        <v>5088</v>
      </c>
    </row>
    <row r="1172" spans="30:30">
      <c r="AD1172">
        <v>5089</v>
      </c>
    </row>
    <row r="1173" spans="30:30">
      <c r="AD1173">
        <v>5090</v>
      </c>
    </row>
    <row r="1174" spans="30:30">
      <c r="AD1174">
        <v>5091</v>
      </c>
    </row>
    <row r="1175" spans="30:30">
      <c r="AD1175">
        <v>5092</v>
      </c>
    </row>
    <row r="1176" spans="30:30">
      <c r="AD1176">
        <v>5093</v>
      </c>
    </row>
    <row r="1177" spans="30:30">
      <c r="AD1177">
        <v>5094</v>
      </c>
    </row>
    <row r="1178" spans="30:30">
      <c r="AD1178">
        <v>5095</v>
      </c>
    </row>
    <row r="1179" spans="30:30">
      <c r="AD1179">
        <v>5096</v>
      </c>
    </row>
    <row r="1180" spans="30:30">
      <c r="AD1180">
        <v>5097</v>
      </c>
    </row>
    <row r="1181" spans="30:30">
      <c r="AD1181">
        <v>5098</v>
      </c>
    </row>
    <row r="1182" spans="30:30">
      <c r="AD1182">
        <v>5099</v>
      </c>
    </row>
    <row r="1183" spans="30:30">
      <c r="AD1183">
        <v>5100</v>
      </c>
    </row>
    <row r="1184" spans="30:30">
      <c r="AD1184">
        <v>5101</v>
      </c>
    </row>
    <row r="1185" spans="30:30">
      <c r="AD1185">
        <v>5102</v>
      </c>
    </row>
    <row r="1186" spans="30:30">
      <c r="AD1186">
        <v>5103</v>
      </c>
    </row>
    <row r="1187" spans="30:30">
      <c r="AD1187">
        <v>5104</v>
      </c>
    </row>
    <row r="1188" spans="30:30">
      <c r="AD1188">
        <v>5105</v>
      </c>
    </row>
    <row r="1189" spans="30:30">
      <c r="AD1189">
        <v>5106</v>
      </c>
    </row>
    <row r="1190" spans="30:30">
      <c r="AD1190">
        <v>5107</v>
      </c>
    </row>
    <row r="1191" spans="30:30">
      <c r="AD1191">
        <v>5108</v>
      </c>
    </row>
    <row r="1192" spans="30:30">
      <c r="AD1192">
        <v>5109</v>
      </c>
    </row>
    <row r="1193" spans="30:30">
      <c r="AD1193">
        <v>5110</v>
      </c>
    </row>
    <row r="1194" spans="30:30">
      <c r="AD1194">
        <v>5111</v>
      </c>
    </row>
    <row r="1195" spans="30:30">
      <c r="AD1195">
        <v>5112</v>
      </c>
    </row>
    <row r="1196" spans="30:30">
      <c r="AD1196">
        <v>5113</v>
      </c>
    </row>
    <row r="1197" spans="30:30">
      <c r="AD1197">
        <v>5114</v>
      </c>
    </row>
    <row r="1198" spans="30:30">
      <c r="AD1198">
        <v>5115</v>
      </c>
    </row>
    <row r="1199" spans="30:30">
      <c r="AD1199">
        <v>5116</v>
      </c>
    </row>
    <row r="1200" spans="30:30">
      <c r="AD1200">
        <v>5117</v>
      </c>
    </row>
    <row r="1201" spans="30:30">
      <c r="AD1201">
        <v>5118</v>
      </c>
    </row>
    <row r="1202" spans="30:30">
      <c r="AD1202">
        <v>5119</v>
      </c>
    </row>
    <row r="1203" spans="30:30">
      <c r="AD1203">
        <v>5120</v>
      </c>
    </row>
    <row r="1204" spans="30:30">
      <c r="AD1204">
        <v>5121</v>
      </c>
    </row>
    <row r="1205" spans="30:30">
      <c r="AD1205">
        <v>5122</v>
      </c>
    </row>
    <row r="1206" spans="30:30">
      <c r="AD1206">
        <v>5123</v>
      </c>
    </row>
    <row r="1207" spans="30:30">
      <c r="AD1207">
        <v>5124</v>
      </c>
    </row>
    <row r="1208" spans="30:30">
      <c r="AD1208">
        <v>5125</v>
      </c>
    </row>
    <row r="1209" spans="30:30">
      <c r="AD1209">
        <v>5126</v>
      </c>
    </row>
    <row r="1210" spans="30:30">
      <c r="AD1210">
        <v>5127</v>
      </c>
    </row>
    <row r="1211" spans="30:30">
      <c r="AD1211">
        <v>5128</v>
      </c>
    </row>
    <row r="1212" spans="30:30">
      <c r="AD1212">
        <v>5129</v>
      </c>
    </row>
    <row r="1213" spans="30:30">
      <c r="AD1213">
        <v>5130</v>
      </c>
    </row>
    <row r="1214" spans="30:30">
      <c r="AD1214">
        <v>5131</v>
      </c>
    </row>
    <row r="1215" spans="30:30">
      <c r="AD1215">
        <v>5132</v>
      </c>
    </row>
    <row r="1216" spans="30:30">
      <c r="AD1216">
        <v>5133</v>
      </c>
    </row>
    <row r="1217" spans="30:30">
      <c r="AD1217">
        <v>5134</v>
      </c>
    </row>
    <row r="1218" spans="30:30">
      <c r="AD1218">
        <v>5135</v>
      </c>
    </row>
    <row r="1219" spans="30:30">
      <c r="AD1219">
        <v>5136</v>
      </c>
    </row>
    <row r="1220" spans="30:30">
      <c r="AD1220">
        <v>5137</v>
      </c>
    </row>
    <row r="1221" spans="30:30">
      <c r="AD1221">
        <v>5138</v>
      </c>
    </row>
    <row r="1222" spans="30:30">
      <c r="AD1222">
        <v>5139</v>
      </c>
    </row>
    <row r="1223" spans="30:30">
      <c r="AD1223">
        <v>5140</v>
      </c>
    </row>
    <row r="1224" spans="30:30">
      <c r="AD1224">
        <v>5141</v>
      </c>
    </row>
    <row r="1225" spans="30:30">
      <c r="AD1225">
        <v>5142</v>
      </c>
    </row>
    <row r="1226" spans="30:30">
      <c r="AD1226">
        <v>5143</v>
      </c>
    </row>
    <row r="1227" spans="30:30">
      <c r="AD1227">
        <v>5144</v>
      </c>
    </row>
    <row r="1228" spans="30:30">
      <c r="AD1228">
        <v>5145</v>
      </c>
    </row>
    <row r="1229" spans="30:30">
      <c r="AD1229">
        <v>5146</v>
      </c>
    </row>
    <row r="1230" spans="30:30">
      <c r="AD1230">
        <v>5147</v>
      </c>
    </row>
    <row r="1231" spans="30:30">
      <c r="AD1231">
        <v>5148</v>
      </c>
    </row>
    <row r="1232" spans="30:30">
      <c r="AD1232">
        <v>5149</v>
      </c>
    </row>
    <row r="1233" spans="30:30">
      <c r="AD1233">
        <v>5150</v>
      </c>
    </row>
    <row r="1234" spans="30:30">
      <c r="AD1234">
        <v>5151</v>
      </c>
    </row>
    <row r="1235" spans="30:30">
      <c r="AD1235">
        <v>5152</v>
      </c>
    </row>
    <row r="1236" spans="30:30">
      <c r="AD1236">
        <v>5153</v>
      </c>
    </row>
    <row r="1237" spans="30:30">
      <c r="AD1237">
        <v>5154</v>
      </c>
    </row>
    <row r="1238" spans="30:30">
      <c r="AD1238">
        <v>5155</v>
      </c>
    </row>
    <row r="1239" spans="30:30">
      <c r="AD1239">
        <v>5156</v>
      </c>
    </row>
    <row r="1240" spans="30:30">
      <c r="AD1240">
        <v>5157</v>
      </c>
    </row>
    <row r="1241" spans="30:30">
      <c r="AD1241">
        <v>5158</v>
      </c>
    </row>
    <row r="1242" spans="30:30">
      <c r="AD1242">
        <v>5159</v>
      </c>
    </row>
    <row r="1243" spans="30:30">
      <c r="AD1243">
        <v>5160</v>
      </c>
    </row>
    <row r="1244" spans="30:30">
      <c r="AD1244">
        <v>5161</v>
      </c>
    </row>
    <row r="1245" spans="30:30">
      <c r="AD1245">
        <v>5162</v>
      </c>
    </row>
    <row r="1246" spans="30:30">
      <c r="AD1246">
        <v>5163</v>
      </c>
    </row>
    <row r="1247" spans="30:30">
      <c r="AD1247">
        <v>5164</v>
      </c>
    </row>
    <row r="1248" spans="30:30">
      <c r="AD1248">
        <v>5165</v>
      </c>
    </row>
    <row r="1249" spans="29:30">
      <c r="AD1249">
        <v>5166</v>
      </c>
    </row>
    <row r="1250" spans="29:30">
      <c r="AD1250">
        <v>5167</v>
      </c>
    </row>
    <row r="1251" spans="29:30">
      <c r="AD1251">
        <v>5168</v>
      </c>
    </row>
    <row r="1252" spans="29:30">
      <c r="AD1252">
        <v>5169</v>
      </c>
    </row>
    <row r="1253" spans="29:30">
      <c r="AD1253">
        <v>5170</v>
      </c>
    </row>
    <row r="1254" spans="29:30">
      <c r="AD1254">
        <v>5171</v>
      </c>
    </row>
    <row r="1255" spans="29:30">
      <c r="AD1255">
        <v>5172</v>
      </c>
    </row>
    <row r="1256" spans="29:30">
      <c r="AD1256">
        <v>5173</v>
      </c>
    </row>
    <row r="1257" spans="29:30">
      <c r="AD1257">
        <v>5174</v>
      </c>
    </row>
    <row r="1258" spans="29:30">
      <c r="AD1258">
        <v>6008</v>
      </c>
    </row>
    <row r="1259" spans="29:30">
      <c r="AD1259">
        <v>6009</v>
      </c>
    </row>
    <row r="1260" spans="29:30">
      <c r="AD1260">
        <v>6010</v>
      </c>
    </row>
    <row r="1261" spans="29:30">
      <c r="AD1261">
        <v>6011</v>
      </c>
    </row>
    <row r="1262" spans="29:30">
      <c r="AC1262" t="s">
        <v>295</v>
      </c>
      <c r="AD1262">
        <v>6012</v>
      </c>
    </row>
    <row r="1263" spans="29:30">
      <c r="AD1263">
        <v>6013</v>
      </c>
    </row>
    <row r="1264" spans="29:30">
      <c r="AD1264">
        <v>6014</v>
      </c>
    </row>
    <row r="1265" spans="30:30">
      <c r="AD1265">
        <v>6015</v>
      </c>
    </row>
    <row r="1266" spans="30:30">
      <c r="AD1266">
        <v>6016</v>
      </c>
    </row>
    <row r="1267" spans="30:30">
      <c r="AD1267">
        <v>6017</v>
      </c>
    </row>
    <row r="1268" spans="30:30">
      <c r="AD1268">
        <v>6018</v>
      </c>
    </row>
    <row r="1269" spans="30:30">
      <c r="AD1269">
        <v>6019</v>
      </c>
    </row>
    <row r="1270" spans="30:30">
      <c r="AD1270">
        <v>6020</v>
      </c>
    </row>
    <row r="1271" spans="30:30">
      <c r="AD1271">
        <v>6021</v>
      </c>
    </row>
    <row r="1272" spans="30:30">
      <c r="AD1272">
        <v>6022</v>
      </c>
    </row>
    <row r="1273" spans="30:30">
      <c r="AD1273">
        <v>6023</v>
      </c>
    </row>
    <row r="1274" spans="30:30">
      <c r="AD1274">
        <v>6024</v>
      </c>
    </row>
    <row r="1275" spans="30:30">
      <c r="AD1275">
        <v>6025</v>
      </c>
    </row>
    <row r="1276" spans="30:30">
      <c r="AD1276">
        <v>6026</v>
      </c>
    </row>
    <row r="1277" spans="30:30">
      <c r="AD1277">
        <v>6027</v>
      </c>
    </row>
    <row r="1278" spans="30:30">
      <c r="AD1278">
        <v>6028</v>
      </c>
    </row>
    <row r="1279" spans="30:30">
      <c r="AD1279">
        <v>6029</v>
      </c>
    </row>
    <row r="1280" spans="30:30">
      <c r="AD1280">
        <v>6030</v>
      </c>
    </row>
    <row r="1281" spans="30:30">
      <c r="AD1281">
        <v>6031</v>
      </c>
    </row>
    <row r="1282" spans="30:30">
      <c r="AD1282">
        <v>6032</v>
      </c>
    </row>
    <row r="1283" spans="30:30">
      <c r="AD1283">
        <v>6033</v>
      </c>
    </row>
    <row r="1284" spans="30:30">
      <c r="AD1284">
        <v>6034</v>
      </c>
    </row>
    <row r="1285" spans="30:30">
      <c r="AD1285">
        <v>6035</v>
      </c>
    </row>
    <row r="1286" spans="30:30">
      <c r="AD1286">
        <v>6036</v>
      </c>
    </row>
    <row r="1287" spans="30:30">
      <c r="AD1287">
        <v>6037</v>
      </c>
    </row>
    <row r="1288" spans="30:30">
      <c r="AD1288">
        <v>6038</v>
      </c>
    </row>
    <row r="1289" spans="30:30">
      <c r="AD1289">
        <v>6039</v>
      </c>
    </row>
    <row r="1290" spans="30:30">
      <c r="AD1290">
        <v>6040</v>
      </c>
    </row>
    <row r="1291" spans="30:30">
      <c r="AD1291">
        <v>6041</v>
      </c>
    </row>
    <row r="1292" spans="30:30">
      <c r="AD1292">
        <v>6042</v>
      </c>
    </row>
    <row r="1293" spans="30:30">
      <c r="AD1293">
        <v>6043</v>
      </c>
    </row>
    <row r="1294" spans="30:30">
      <c r="AD1294">
        <v>6044</v>
      </c>
    </row>
    <row r="1295" spans="30:30">
      <c r="AD1295">
        <v>6045</v>
      </c>
    </row>
    <row r="1296" spans="30:30">
      <c r="AD1296">
        <v>6046</v>
      </c>
    </row>
    <row r="1297" spans="30:30">
      <c r="AD1297">
        <v>6047</v>
      </c>
    </row>
    <row r="1298" spans="30:30">
      <c r="AD1298">
        <v>6048</v>
      </c>
    </row>
    <row r="1299" spans="30:30">
      <c r="AD1299">
        <v>6049</v>
      </c>
    </row>
    <row r="1300" spans="30:30">
      <c r="AD1300">
        <v>6050</v>
      </c>
    </row>
    <row r="1301" spans="30:30">
      <c r="AD1301">
        <v>6051</v>
      </c>
    </row>
    <row r="1302" spans="30:30">
      <c r="AD1302">
        <v>6052</v>
      </c>
    </row>
    <row r="1303" spans="30:30">
      <c r="AD1303">
        <v>6053</v>
      </c>
    </row>
    <row r="1304" spans="30:30">
      <c r="AD1304">
        <v>6054</v>
      </c>
    </row>
    <row r="1305" spans="30:30">
      <c r="AD1305">
        <v>6055</v>
      </c>
    </row>
    <row r="1306" spans="30:30">
      <c r="AD1306">
        <v>6056</v>
      </c>
    </row>
    <row r="1307" spans="30:30">
      <c r="AD1307">
        <v>6057</v>
      </c>
    </row>
    <row r="1308" spans="30:30">
      <c r="AD1308">
        <v>6058</v>
      </c>
    </row>
    <row r="1309" spans="30:30">
      <c r="AD1309">
        <v>6059</v>
      </c>
    </row>
    <row r="1310" spans="30:30">
      <c r="AD1310">
        <v>6060</v>
      </c>
    </row>
    <row r="1311" spans="30:30">
      <c r="AD1311">
        <v>6061</v>
      </c>
    </row>
    <row r="1312" spans="30:30">
      <c r="AD1312">
        <v>6062</v>
      </c>
    </row>
    <row r="1313" spans="30:30">
      <c r="AD1313">
        <v>6063</v>
      </c>
    </row>
    <row r="1314" spans="30:30">
      <c r="AD1314">
        <v>6064</v>
      </c>
    </row>
    <row r="1315" spans="30:30">
      <c r="AD1315">
        <v>6065</v>
      </c>
    </row>
    <row r="1316" spans="30:30">
      <c r="AD1316">
        <v>6066</v>
      </c>
    </row>
    <row r="1317" spans="30:30">
      <c r="AD1317">
        <v>6067</v>
      </c>
    </row>
    <row r="1318" spans="30:30">
      <c r="AD1318">
        <v>6068</v>
      </c>
    </row>
    <row r="1319" spans="30:30">
      <c r="AD1319">
        <v>6069</v>
      </c>
    </row>
    <row r="1320" spans="30:30">
      <c r="AD1320">
        <v>6070</v>
      </c>
    </row>
    <row r="1321" spans="30:30">
      <c r="AD1321">
        <v>6071</v>
      </c>
    </row>
    <row r="1322" spans="30:30">
      <c r="AD1322">
        <v>6072</v>
      </c>
    </row>
    <row r="1323" spans="30:30">
      <c r="AD1323">
        <v>6073</v>
      </c>
    </row>
    <row r="1324" spans="30:30">
      <c r="AD1324">
        <v>6074</v>
      </c>
    </row>
    <row r="1325" spans="30:30">
      <c r="AD1325">
        <v>6075</v>
      </c>
    </row>
    <row r="1326" spans="30:30">
      <c r="AD1326">
        <v>6076</v>
      </c>
    </row>
    <row r="1327" spans="30:30">
      <c r="AD1327">
        <v>6077</v>
      </c>
    </row>
    <row r="1328" spans="30:30">
      <c r="AD1328">
        <v>6078</v>
      </c>
    </row>
    <row r="1329" spans="29:30">
      <c r="AC1329" t="s">
        <v>326</v>
      </c>
      <c r="AD1329">
        <v>6079</v>
      </c>
    </row>
    <row r="1330" spans="29:30">
      <c r="AD1330">
        <v>6080</v>
      </c>
    </row>
    <row r="1331" spans="29:30">
      <c r="AD1331">
        <v>6081</v>
      </c>
    </row>
    <row r="1332" spans="29:30">
      <c r="AD1332">
        <v>6082</v>
      </c>
    </row>
    <row r="1333" spans="29:30">
      <c r="AD1333">
        <v>6083</v>
      </c>
    </row>
    <row r="1334" spans="29:30">
      <c r="AD1334">
        <v>6084</v>
      </c>
    </row>
    <row r="1335" spans="29:30">
      <c r="AD1335">
        <v>6085</v>
      </c>
    </row>
    <row r="1336" spans="29:30">
      <c r="AD1336">
        <v>6086</v>
      </c>
    </row>
    <row r="1337" spans="29:30">
      <c r="AD1337">
        <v>6087</v>
      </c>
    </row>
    <row r="1338" spans="29:30">
      <c r="AD1338">
        <v>6088</v>
      </c>
    </row>
    <row r="1339" spans="29:30">
      <c r="AD1339">
        <v>6089</v>
      </c>
    </row>
    <row r="1340" spans="29:30">
      <c r="AD1340">
        <v>6090</v>
      </c>
    </row>
    <row r="1341" spans="29:30">
      <c r="AD1341">
        <v>6091</v>
      </c>
    </row>
    <row r="1342" spans="29:30">
      <c r="AD1342">
        <v>6092</v>
      </c>
    </row>
    <row r="1343" spans="29:30">
      <c r="AD1343">
        <v>6093</v>
      </c>
    </row>
    <row r="1344" spans="29:30">
      <c r="AD1344">
        <v>6094</v>
      </c>
    </row>
    <row r="1345" spans="29:30">
      <c r="AC1345" t="s">
        <v>323</v>
      </c>
      <c r="AD1345">
        <v>6095</v>
      </c>
    </row>
    <row r="1346" spans="29:30">
      <c r="AD1346">
        <v>6096</v>
      </c>
    </row>
    <row r="1347" spans="29:30">
      <c r="AD1347">
        <v>6097</v>
      </c>
    </row>
    <row r="1348" spans="29:30">
      <c r="AD1348">
        <v>6098</v>
      </c>
    </row>
    <row r="1349" spans="29:30">
      <c r="AD1349">
        <v>6099</v>
      </c>
    </row>
    <row r="1350" spans="29:30">
      <c r="AD1350">
        <v>6100</v>
      </c>
    </row>
    <row r="1351" spans="29:30">
      <c r="AD1351">
        <v>6101</v>
      </c>
    </row>
    <row r="1352" spans="29:30">
      <c r="AD1352">
        <v>6102</v>
      </c>
    </row>
    <row r="1353" spans="29:30">
      <c r="AD1353">
        <v>6103</v>
      </c>
    </row>
    <row r="1354" spans="29:30">
      <c r="AD1354">
        <v>6104</v>
      </c>
    </row>
    <row r="1355" spans="29:30">
      <c r="AD1355">
        <v>6105</v>
      </c>
    </row>
    <row r="1356" spans="29:30">
      <c r="AD1356">
        <v>6106</v>
      </c>
    </row>
    <row r="1357" spans="29:30">
      <c r="AD1357">
        <v>6107</v>
      </c>
    </row>
    <row r="1358" spans="29:30">
      <c r="AD1358">
        <v>6108</v>
      </c>
    </row>
    <row r="1359" spans="29:30">
      <c r="AD1359">
        <v>6109</v>
      </c>
    </row>
    <row r="1360" spans="29:30">
      <c r="AD1360">
        <v>6110</v>
      </c>
    </row>
    <row r="1361" spans="30:30">
      <c r="AD1361">
        <v>6111</v>
      </c>
    </row>
    <row r="1362" spans="30:30">
      <c r="AD1362">
        <v>6112</v>
      </c>
    </row>
    <row r="1363" spans="30:30">
      <c r="AD1363">
        <v>6113</v>
      </c>
    </row>
    <row r="1364" spans="30:30">
      <c r="AD1364">
        <v>6114</v>
      </c>
    </row>
    <row r="1365" spans="30:30">
      <c r="AD1365">
        <v>6115</v>
      </c>
    </row>
    <row r="1366" spans="30:30">
      <c r="AD1366">
        <v>6116</v>
      </c>
    </row>
    <row r="1367" spans="30:30">
      <c r="AD1367">
        <v>6117</v>
      </c>
    </row>
    <row r="1368" spans="30:30">
      <c r="AD1368">
        <v>6118</v>
      </c>
    </row>
    <row r="1369" spans="30:30">
      <c r="AD1369">
        <v>6119</v>
      </c>
    </row>
    <row r="1370" spans="30:30">
      <c r="AD1370">
        <v>6120</v>
      </c>
    </row>
    <row r="1371" spans="30:30">
      <c r="AD1371">
        <v>6121</v>
      </c>
    </row>
    <row r="1372" spans="30:30">
      <c r="AD1372">
        <v>6122</v>
      </c>
    </row>
    <row r="1373" spans="30:30">
      <c r="AD1373">
        <v>6123</v>
      </c>
    </row>
    <row r="1374" spans="30:30">
      <c r="AD1374">
        <v>6124</v>
      </c>
    </row>
    <row r="1375" spans="30:30">
      <c r="AD1375">
        <v>6125</v>
      </c>
    </row>
    <row r="1376" spans="30:30">
      <c r="AD1376">
        <v>6126</v>
      </c>
    </row>
    <row r="1377" spans="30:30">
      <c r="AD1377">
        <v>6127</v>
      </c>
    </row>
    <row r="1378" spans="30:30">
      <c r="AD1378">
        <v>6128</v>
      </c>
    </row>
    <row r="1379" spans="30:30">
      <c r="AD1379">
        <v>6129</v>
      </c>
    </row>
    <row r="1380" spans="30:30">
      <c r="AD1380">
        <v>6130</v>
      </c>
    </row>
    <row r="1381" spans="30:30">
      <c r="AD1381">
        <v>6131</v>
      </c>
    </row>
    <row r="1382" spans="30:30">
      <c r="AD1382">
        <v>6132</v>
      </c>
    </row>
    <row r="1383" spans="30:30">
      <c r="AD1383">
        <v>6133</v>
      </c>
    </row>
    <row r="1384" spans="30:30">
      <c r="AD1384">
        <v>6134</v>
      </c>
    </row>
    <row r="1385" spans="30:30">
      <c r="AD1385">
        <v>6135</v>
      </c>
    </row>
    <row r="1386" spans="30:30">
      <c r="AD1386">
        <v>6136</v>
      </c>
    </row>
    <row r="1387" spans="30:30">
      <c r="AD1387">
        <v>6137</v>
      </c>
    </row>
    <row r="1388" spans="30:30">
      <c r="AD1388">
        <v>6138</v>
      </c>
    </row>
    <row r="1389" spans="30:30">
      <c r="AD1389">
        <v>6139</v>
      </c>
    </row>
    <row r="1390" spans="30:30">
      <c r="AD1390">
        <v>6140</v>
      </c>
    </row>
    <row r="1391" spans="30:30">
      <c r="AD1391">
        <v>6141</v>
      </c>
    </row>
    <row r="1392" spans="30:30">
      <c r="AD1392">
        <v>6142</v>
      </c>
    </row>
    <row r="1393" spans="30:30">
      <c r="AD1393">
        <v>6143</v>
      </c>
    </row>
    <row r="1394" spans="30:30">
      <c r="AD1394">
        <v>6144</v>
      </c>
    </row>
    <row r="1395" spans="30:30">
      <c r="AD1395">
        <v>6145</v>
      </c>
    </row>
    <row r="1396" spans="30:30">
      <c r="AD1396">
        <v>6146</v>
      </c>
    </row>
    <row r="1397" spans="30:30">
      <c r="AD1397">
        <v>6147</v>
      </c>
    </row>
    <row r="1398" spans="30:30">
      <c r="AD1398">
        <v>6148</v>
      </c>
    </row>
    <row r="1399" spans="30:30">
      <c r="AD1399">
        <v>6149</v>
      </c>
    </row>
    <row r="1400" spans="30:30">
      <c r="AD1400">
        <v>6150</v>
      </c>
    </row>
    <row r="1401" spans="30:30">
      <c r="AD1401">
        <v>6151</v>
      </c>
    </row>
    <row r="1402" spans="30:30">
      <c r="AD1402">
        <v>6152</v>
      </c>
    </row>
    <row r="1403" spans="30:30">
      <c r="AD1403">
        <v>6153</v>
      </c>
    </row>
    <row r="1404" spans="30:30">
      <c r="AD1404">
        <v>6154</v>
      </c>
    </row>
    <row r="1405" spans="30:30">
      <c r="AD1405">
        <v>6155</v>
      </c>
    </row>
    <row r="1406" spans="30:30">
      <c r="AD1406">
        <v>6156</v>
      </c>
    </row>
    <row r="1407" spans="30:30">
      <c r="AD1407">
        <v>6157</v>
      </c>
    </row>
    <row r="1408" spans="30:30">
      <c r="AD1408">
        <v>6158</v>
      </c>
    </row>
    <row r="1409" spans="29:30">
      <c r="AD1409">
        <v>6159</v>
      </c>
    </row>
    <row r="1410" spans="29:30">
      <c r="AC1410" t="s">
        <v>325</v>
      </c>
      <c r="AD1410">
        <v>6160</v>
      </c>
    </row>
    <row r="1411" spans="29:30">
      <c r="AD1411">
        <v>6161</v>
      </c>
    </row>
    <row r="1412" spans="29:30">
      <c r="AD1412">
        <v>6162</v>
      </c>
    </row>
    <row r="1413" spans="29:30">
      <c r="AD1413">
        <v>6163</v>
      </c>
    </row>
    <row r="1414" spans="29:30">
      <c r="AD1414">
        <v>6164</v>
      </c>
    </row>
    <row r="1415" spans="29:30">
      <c r="AD1415">
        <v>6165</v>
      </c>
    </row>
    <row r="1416" spans="29:30">
      <c r="AD1416">
        <v>6166</v>
      </c>
    </row>
    <row r="1417" spans="29:30">
      <c r="AD1417">
        <v>6167</v>
      </c>
    </row>
    <row r="1418" spans="29:30">
      <c r="AD1418">
        <v>6168</v>
      </c>
    </row>
    <row r="1419" spans="29:30">
      <c r="AD1419">
        <v>6169</v>
      </c>
    </row>
    <row r="1420" spans="29:30">
      <c r="AD1420">
        <v>6170</v>
      </c>
    </row>
    <row r="1421" spans="29:30">
      <c r="AD1421">
        <v>6171</v>
      </c>
    </row>
    <row r="1422" spans="29:30">
      <c r="AD1422">
        <v>6172</v>
      </c>
    </row>
    <row r="1423" spans="29:30">
      <c r="AD1423">
        <v>6173</v>
      </c>
    </row>
    <row r="1424" spans="29:30">
      <c r="AD1424">
        <v>6174</v>
      </c>
    </row>
    <row r="1425" spans="30:30">
      <c r="AD1425">
        <v>6175</v>
      </c>
    </row>
    <row r="1426" spans="30:30">
      <c r="AD1426">
        <v>6176</v>
      </c>
    </row>
    <row r="1427" spans="30:30">
      <c r="AD1427">
        <v>6177</v>
      </c>
    </row>
    <row r="1428" spans="30:30">
      <c r="AD1428">
        <v>6178</v>
      </c>
    </row>
    <row r="1429" spans="30:30">
      <c r="AD1429">
        <v>6179</v>
      </c>
    </row>
    <row r="1430" spans="30:30">
      <c r="AD1430">
        <v>6180</v>
      </c>
    </row>
    <row r="1431" spans="30:30">
      <c r="AD1431">
        <v>6181</v>
      </c>
    </row>
    <row r="1432" spans="30:30">
      <c r="AD1432">
        <v>6182</v>
      </c>
    </row>
    <row r="1433" spans="30:30">
      <c r="AD1433">
        <v>6183</v>
      </c>
    </row>
    <row r="1434" spans="30:30">
      <c r="AD1434">
        <v>6184</v>
      </c>
    </row>
    <row r="1435" spans="30:30">
      <c r="AD1435">
        <v>6185</v>
      </c>
    </row>
    <row r="1436" spans="30:30">
      <c r="AD1436">
        <v>6186</v>
      </c>
    </row>
    <row r="1437" spans="30:30">
      <c r="AD1437">
        <v>6187</v>
      </c>
    </row>
    <row r="1438" spans="30:30">
      <c r="AD1438">
        <v>6188</v>
      </c>
    </row>
    <row r="1439" spans="30:30">
      <c r="AD1439">
        <v>6189</v>
      </c>
    </row>
    <row r="1440" spans="30:30">
      <c r="AD1440">
        <v>6190</v>
      </c>
    </row>
    <row r="1441" spans="30:30">
      <c r="AD1441">
        <v>6191</v>
      </c>
    </row>
    <row r="1442" spans="30:30">
      <c r="AD1442">
        <v>6192</v>
      </c>
    </row>
    <row r="1443" spans="30:30">
      <c r="AD1443">
        <v>6193</v>
      </c>
    </row>
    <row r="1444" spans="30:30">
      <c r="AD1444">
        <v>6194</v>
      </c>
    </row>
    <row r="1445" spans="30:30">
      <c r="AD1445">
        <v>6195</v>
      </c>
    </row>
    <row r="1446" spans="30:30">
      <c r="AD1446">
        <v>6196</v>
      </c>
    </row>
    <row r="1447" spans="30:30">
      <c r="AD1447">
        <v>6197</v>
      </c>
    </row>
    <row r="1448" spans="30:30">
      <c r="AD1448">
        <v>6198</v>
      </c>
    </row>
    <row r="1449" spans="30:30">
      <c r="AD1449">
        <v>6199</v>
      </c>
    </row>
    <row r="1450" spans="30:30">
      <c r="AD1450">
        <v>6200</v>
      </c>
    </row>
    <row r="1451" spans="30:30">
      <c r="AD1451">
        <v>6201</v>
      </c>
    </row>
    <row r="1452" spans="30:30">
      <c r="AD1452">
        <v>6202</v>
      </c>
    </row>
    <row r="1453" spans="30:30">
      <c r="AD1453">
        <v>6203</v>
      </c>
    </row>
    <row r="1454" spans="30:30">
      <c r="AD1454">
        <v>6204</v>
      </c>
    </row>
    <row r="1455" spans="30:30">
      <c r="AD1455">
        <v>6205</v>
      </c>
    </row>
    <row r="1456" spans="30:30">
      <c r="AD1456">
        <v>6206</v>
      </c>
    </row>
    <row r="1457" spans="30:30">
      <c r="AD1457">
        <v>6207</v>
      </c>
    </row>
    <row r="1458" spans="30:30">
      <c r="AD1458">
        <v>6208</v>
      </c>
    </row>
    <row r="1459" spans="30:30">
      <c r="AD1459">
        <v>6209</v>
      </c>
    </row>
    <row r="1460" spans="30:30">
      <c r="AD1460">
        <v>6210</v>
      </c>
    </row>
    <row r="1461" spans="30:30">
      <c r="AD1461">
        <v>6211</v>
      </c>
    </row>
    <row r="1462" spans="30:30">
      <c r="AD1462">
        <v>6212</v>
      </c>
    </row>
    <row r="1463" spans="30:30">
      <c r="AD1463">
        <v>6213</v>
      </c>
    </row>
    <row r="1464" spans="30:30">
      <c r="AD1464">
        <v>6214</v>
      </c>
    </row>
    <row r="1465" spans="30:30">
      <c r="AD1465">
        <v>4000</v>
      </c>
    </row>
    <row r="1466" spans="30:30">
      <c r="AD1466">
        <v>4001</v>
      </c>
    </row>
    <row r="1467" spans="30:30">
      <c r="AD1467">
        <v>4002</v>
      </c>
    </row>
    <row r="1468" spans="30:30">
      <c r="AD1468">
        <v>4003</v>
      </c>
    </row>
    <row r="1469" spans="30:30">
      <c r="AD1469">
        <v>4004</v>
      </c>
    </row>
    <row r="1470" spans="30:30">
      <c r="AD1470">
        <v>4005</v>
      </c>
    </row>
    <row r="1471" spans="30:30">
      <c r="AD1471">
        <v>4006</v>
      </c>
    </row>
    <row r="1472" spans="30:30">
      <c r="AD1472">
        <v>5000</v>
      </c>
    </row>
    <row r="1473" spans="30:30">
      <c r="AD1473">
        <v>5001</v>
      </c>
    </row>
    <row r="1474" spans="30:30">
      <c r="AD1474">
        <v>5002</v>
      </c>
    </row>
    <row r="1475" spans="30:30">
      <c r="AD1475">
        <v>5003</v>
      </c>
    </row>
    <row r="1476" spans="30:30">
      <c r="AD1476">
        <v>5004</v>
      </c>
    </row>
    <row r="1477" spans="30:30">
      <c r="AD1477">
        <v>5005</v>
      </c>
    </row>
    <row r="1478" spans="30:30">
      <c r="AD1478">
        <v>6000</v>
      </c>
    </row>
    <row r="1479" spans="30:30">
      <c r="AD1479">
        <v>6001</v>
      </c>
    </row>
    <row r="1480" spans="30:30">
      <c r="AD1480">
        <v>6002</v>
      </c>
    </row>
    <row r="1481" spans="30:30">
      <c r="AD1481">
        <v>6003</v>
      </c>
    </row>
    <row r="1482" spans="30:30">
      <c r="AD1482">
        <v>6004</v>
      </c>
    </row>
    <row r="1483" spans="30:30">
      <c r="AD1483">
        <v>6005</v>
      </c>
    </row>
    <row r="1484" spans="30:30">
      <c r="AD1484">
        <v>800</v>
      </c>
    </row>
    <row r="1485" spans="30:30">
      <c r="AD1485">
        <v>7000</v>
      </c>
    </row>
    <row r="1486" spans="30:30">
      <c r="AD1486">
        <v>9000</v>
      </c>
    </row>
    <row r="1487" spans="30:30">
      <c r="AD1487">
        <v>9001</v>
      </c>
    </row>
    <row r="1488" spans="30:30">
      <c r="AD1488">
        <v>9002</v>
      </c>
    </row>
    <row r="1489" spans="30:30">
      <c r="AD1489">
        <v>9003</v>
      </c>
    </row>
    <row r="1490" spans="30:30">
      <c r="AD1490">
        <v>9004</v>
      </c>
    </row>
    <row r="1491" spans="30:30">
      <c r="AD1491">
        <v>9005</v>
      </c>
    </row>
    <row r="1492" spans="30:30">
      <c r="AD1492">
        <v>9006</v>
      </c>
    </row>
    <row r="1493" spans="30:30">
      <c r="AD1493">
        <v>9007</v>
      </c>
    </row>
    <row r="1494" spans="30:30">
      <c r="AD1494">
        <v>9008</v>
      </c>
    </row>
    <row r="1495" spans="30:30">
      <c r="AD1495">
        <v>9009</v>
      </c>
    </row>
    <row r="1496" spans="30:30">
      <c r="AD1496">
        <v>9010</v>
      </c>
    </row>
    <row r="1497" spans="30:30">
      <c r="AD1497">
        <v>9011</v>
      </c>
    </row>
    <row r="1498" spans="30:30">
      <c r="AD1498">
        <v>9012</v>
      </c>
    </row>
    <row r="1499" spans="30:30">
      <c r="AD1499">
        <v>9013</v>
      </c>
    </row>
    <row r="1500" spans="30:30">
      <c r="AD1500">
        <v>9014</v>
      </c>
    </row>
    <row r="1501" spans="30:30">
      <c r="AD1501">
        <v>9015</v>
      </c>
    </row>
    <row r="1502" spans="30:30">
      <c r="AD1502">
        <v>9016</v>
      </c>
    </row>
    <row r="1503" spans="30:30">
      <c r="AD1503">
        <v>9017</v>
      </c>
    </row>
    <row r="1504" spans="30:30">
      <c r="AD1504">
        <v>9018</v>
      </c>
    </row>
    <row r="1505" spans="30:30">
      <c r="AD1505">
        <v>9019</v>
      </c>
    </row>
    <row r="1506" spans="30:30">
      <c r="AD1506">
        <v>9020</v>
      </c>
    </row>
    <row r="1507" spans="30:30">
      <c r="AD1507">
        <v>9021</v>
      </c>
    </row>
    <row r="1508" spans="30:30">
      <c r="AD1508">
        <v>9022</v>
      </c>
    </row>
    <row r="1509" spans="30:30">
      <c r="AD1509">
        <v>9023</v>
      </c>
    </row>
    <row r="1510" spans="30:30">
      <c r="AD1510">
        <v>9024</v>
      </c>
    </row>
    <row r="1511" spans="30:30">
      <c r="AD1511">
        <v>9025</v>
      </c>
    </row>
    <row r="1512" spans="30:30">
      <c r="AD1512">
        <v>9026</v>
      </c>
    </row>
    <row r="1513" spans="30:30">
      <c r="AD1513">
        <v>9027</v>
      </c>
    </row>
    <row r="1514" spans="30:30">
      <c r="AD1514">
        <v>9028</v>
      </c>
    </row>
    <row r="1515" spans="30:30">
      <c r="AD1515">
        <v>9029</v>
      </c>
    </row>
    <row r="1516" spans="30:30">
      <c r="AD1516">
        <v>9030</v>
      </c>
    </row>
    <row r="1517" spans="30:30">
      <c r="AD1517">
        <v>9031</v>
      </c>
    </row>
    <row r="1518" spans="30:30">
      <c r="AD1518">
        <v>9032</v>
      </c>
    </row>
    <row r="1519" spans="30:30">
      <c r="AD1519">
        <v>9033</v>
      </c>
    </row>
    <row r="1520" spans="30:30">
      <c r="AD1520">
        <v>9034</v>
      </c>
    </row>
    <row r="1521" spans="30:30">
      <c r="AD1521">
        <v>9035</v>
      </c>
    </row>
    <row r="1522" spans="30:30">
      <c r="AD1522">
        <v>9036</v>
      </c>
    </row>
    <row r="1523" spans="30:30">
      <c r="AD1523">
        <v>9037</v>
      </c>
    </row>
    <row r="1524" spans="30:30">
      <c r="AD1524">
        <v>9038</v>
      </c>
    </row>
    <row r="1525" spans="30:30">
      <c r="AD1525">
        <v>9039</v>
      </c>
    </row>
    <row r="1526" spans="30:30">
      <c r="AD1526">
        <v>9040</v>
      </c>
    </row>
    <row r="1527" spans="30:30">
      <c r="AD1527">
        <v>9041</v>
      </c>
    </row>
    <row r="1528" spans="30:30">
      <c r="AD1528">
        <v>9042</v>
      </c>
    </row>
    <row r="1529" spans="30:30">
      <c r="AD1529">
        <v>9043</v>
      </c>
    </row>
    <row r="1530" spans="30:30">
      <c r="AD1530">
        <v>9044</v>
      </c>
    </row>
    <row r="1531" spans="30:30">
      <c r="AD1531">
        <v>9045</v>
      </c>
    </row>
    <row r="1532" spans="30:30">
      <c r="AD1532">
        <v>9046</v>
      </c>
    </row>
    <row r="1533" spans="30:30">
      <c r="AD1533">
        <v>9047</v>
      </c>
    </row>
    <row r="1534" spans="30:30">
      <c r="AD1534">
        <v>9048</v>
      </c>
    </row>
    <row r="1535" spans="30:30">
      <c r="AD1535">
        <v>9049</v>
      </c>
    </row>
    <row r="1536" spans="30:30">
      <c r="AD1536">
        <v>9050</v>
      </c>
    </row>
    <row r="1537" spans="30:30">
      <c r="AD1537">
        <v>9051</v>
      </c>
    </row>
    <row r="1538" spans="30:30">
      <c r="AD1538">
        <v>9052</v>
      </c>
    </row>
    <row r="1539" spans="30:30">
      <c r="AD1539">
        <v>9053</v>
      </c>
    </row>
    <row r="1540" spans="30:30">
      <c r="AD1540">
        <v>9054</v>
      </c>
    </row>
    <row r="1541" spans="30:30">
      <c r="AD1541">
        <v>9055</v>
      </c>
    </row>
    <row r="1542" spans="30:30">
      <c r="AD1542">
        <v>9056</v>
      </c>
    </row>
    <row r="1543" spans="30:30">
      <c r="AD1543">
        <v>9057</v>
      </c>
    </row>
    <row r="1544" spans="30:30">
      <c r="AD1544">
        <v>9058</v>
      </c>
    </row>
    <row r="1545" spans="30:30">
      <c r="AD1545">
        <v>9059</v>
      </c>
    </row>
    <row r="1546" spans="30:30">
      <c r="AD1546">
        <v>9060</v>
      </c>
    </row>
    <row r="1547" spans="30:30">
      <c r="AD1547">
        <v>9061</v>
      </c>
    </row>
    <row r="1548" spans="30:30">
      <c r="AD1548">
        <v>9062</v>
      </c>
    </row>
    <row r="1549" spans="30:30">
      <c r="AD1549">
        <v>9063</v>
      </c>
    </row>
    <row r="1550" spans="30:30">
      <c r="AD1550">
        <v>9064</v>
      </c>
    </row>
    <row r="1551" spans="30:30">
      <c r="AD1551">
        <v>9065</v>
      </c>
    </row>
    <row r="1552" spans="30:30">
      <c r="AD1552">
        <v>9066</v>
      </c>
    </row>
    <row r="1553" spans="30:30">
      <c r="AD1553">
        <v>9067</v>
      </c>
    </row>
    <row r="1554" spans="30:30">
      <c r="AD1554">
        <v>9068</v>
      </c>
    </row>
    <row r="1555" spans="30:30">
      <c r="AD1555">
        <v>9069</v>
      </c>
    </row>
    <row r="1556" spans="30:30">
      <c r="AD1556">
        <v>9070</v>
      </c>
    </row>
    <row r="1557" spans="30:30">
      <c r="AD1557">
        <v>9071</v>
      </c>
    </row>
    <row r="1558" spans="30:30">
      <c r="AD1558">
        <v>9072</v>
      </c>
    </row>
    <row r="1559" spans="30:30">
      <c r="AD1559">
        <v>9073</v>
      </c>
    </row>
    <row r="1560" spans="30:30">
      <c r="AD1560">
        <v>9074</v>
      </c>
    </row>
    <row r="1561" spans="30:30">
      <c r="AD1561">
        <v>9075</v>
      </c>
    </row>
    <row r="1562" spans="30:30">
      <c r="AD1562">
        <v>9076</v>
      </c>
    </row>
    <row r="1563" spans="30:30">
      <c r="AD1563">
        <v>9077</v>
      </c>
    </row>
    <row r="1564" spans="30:30">
      <c r="AD1564">
        <v>9078</v>
      </c>
    </row>
    <row r="1565" spans="30:30">
      <c r="AD1565">
        <v>9079</v>
      </c>
    </row>
    <row r="1566" spans="30:30">
      <c r="AD1566">
        <v>9080</v>
      </c>
    </row>
    <row r="1567" spans="30:30">
      <c r="AD1567">
        <v>9081</v>
      </c>
    </row>
    <row r="1568" spans="30:30">
      <c r="AD1568">
        <v>9082</v>
      </c>
    </row>
    <row r="1569" spans="30:30">
      <c r="AD1569">
        <v>9083</v>
      </c>
    </row>
    <row r="1570" spans="30:30">
      <c r="AD1570">
        <v>9084</v>
      </c>
    </row>
    <row r="1571" spans="30:30">
      <c r="AD1571">
        <v>9085</v>
      </c>
    </row>
    <row r="1572" spans="30:30">
      <c r="AD1572">
        <v>9086</v>
      </c>
    </row>
    <row r="1573" spans="30:30">
      <c r="AD1573">
        <v>9087</v>
      </c>
    </row>
    <row r="1574" spans="30:30">
      <c r="AD1574">
        <v>9088</v>
      </c>
    </row>
    <row r="1575" spans="30:30">
      <c r="AD1575">
        <v>9089</v>
      </c>
    </row>
    <row r="1576" spans="30:30">
      <c r="AD1576">
        <v>9090</v>
      </c>
    </row>
    <row r="1577" spans="30:30">
      <c r="AD1577">
        <v>9091</v>
      </c>
    </row>
    <row r="1578" spans="30:30">
      <c r="AD1578">
        <v>9092</v>
      </c>
    </row>
    <row r="1579" spans="30:30">
      <c r="AD1579">
        <v>9093</v>
      </c>
    </row>
    <row r="1580" spans="30:30">
      <c r="AD1580">
        <v>9094</v>
      </c>
    </row>
    <row r="1581" spans="30:30">
      <c r="AD1581">
        <v>9095</v>
      </c>
    </row>
    <row r="1582" spans="30:30">
      <c r="AD1582">
        <v>9096</v>
      </c>
    </row>
    <row r="1583" spans="30:30">
      <c r="AD1583">
        <v>9097</v>
      </c>
    </row>
    <row r="1584" spans="30:30">
      <c r="AD1584">
        <v>9098</v>
      </c>
    </row>
    <row r="1585" spans="30:30">
      <c r="AD1585">
        <v>9099</v>
      </c>
    </row>
    <row r="1586" spans="30:30">
      <c r="AD1586">
        <v>9100</v>
      </c>
    </row>
    <row r="1587" spans="30:30">
      <c r="AD1587">
        <v>9101</v>
      </c>
    </row>
    <row r="1588" spans="30:30">
      <c r="AD1588">
        <v>9102</v>
      </c>
    </row>
    <row r="1589" spans="30:30">
      <c r="AD1589">
        <v>9103</v>
      </c>
    </row>
    <row r="1590" spans="30:30">
      <c r="AD1590">
        <v>9104</v>
      </c>
    </row>
    <row r="1591" spans="30:30">
      <c r="AD1591">
        <v>9105</v>
      </c>
    </row>
    <row r="1592" spans="30:30">
      <c r="AD1592">
        <v>9106</v>
      </c>
    </row>
    <row r="1593" spans="30:30">
      <c r="AD1593">
        <v>9107</v>
      </c>
    </row>
    <row r="1594" spans="30:30">
      <c r="AD1594">
        <v>9108</v>
      </c>
    </row>
    <row r="1595" spans="30:30">
      <c r="AD1595">
        <v>9109</v>
      </c>
    </row>
    <row r="1596" spans="30:30">
      <c r="AD1596">
        <v>9110</v>
      </c>
    </row>
    <row r="1597" spans="30:30">
      <c r="AD1597">
        <v>9111</v>
      </c>
    </row>
    <row r="1598" spans="30:30">
      <c r="AD1598">
        <v>9112</v>
      </c>
    </row>
    <row r="1599" spans="30:30">
      <c r="AD1599">
        <v>9113</v>
      </c>
    </row>
    <row r="1600" spans="30:30">
      <c r="AD1600">
        <v>9114</v>
      </c>
    </row>
    <row r="1601" spans="30:30">
      <c r="AD1601">
        <v>9115</v>
      </c>
    </row>
    <row r="1602" spans="30:30">
      <c r="AD1602">
        <v>9116</v>
      </c>
    </row>
    <row r="1603" spans="30:30">
      <c r="AD1603">
        <v>9117</v>
      </c>
    </row>
    <row r="1604" spans="30:30">
      <c r="AD1604">
        <v>9118</v>
      </c>
    </row>
    <row r="1605" spans="30:30">
      <c r="AD1605">
        <v>9119</v>
      </c>
    </row>
    <row r="1606" spans="30:30">
      <c r="AD1606">
        <v>9120</v>
      </c>
    </row>
    <row r="1607" spans="30:30">
      <c r="AD1607">
        <v>9121</v>
      </c>
    </row>
    <row r="1608" spans="30:30">
      <c r="AD1608">
        <v>9122</v>
      </c>
    </row>
    <row r="1609" spans="30:30">
      <c r="AD1609">
        <v>9123</v>
      </c>
    </row>
    <row r="1610" spans="30:30">
      <c r="AD1610">
        <v>9124</v>
      </c>
    </row>
    <row r="1611" spans="30:30">
      <c r="AD1611">
        <v>9125</v>
      </c>
    </row>
    <row r="1612" spans="30:30">
      <c r="AD1612">
        <v>9126</v>
      </c>
    </row>
    <row r="1613" spans="30:30">
      <c r="AD1613">
        <v>9127</v>
      </c>
    </row>
    <row r="1614" spans="30:30">
      <c r="AD1614">
        <v>9128</v>
      </c>
    </row>
    <row r="1615" spans="30:30">
      <c r="AD1615">
        <v>9129</v>
      </c>
    </row>
    <row r="1616" spans="30:30">
      <c r="AD1616">
        <v>9130</v>
      </c>
    </row>
    <row r="1617" spans="30:30">
      <c r="AD1617">
        <v>9131</v>
      </c>
    </row>
    <row r="1618" spans="30:30">
      <c r="AD1618">
        <v>9132</v>
      </c>
    </row>
    <row r="1619" spans="30:30">
      <c r="AD1619">
        <v>9133</v>
      </c>
    </row>
    <row r="1620" spans="30:30">
      <c r="AD1620">
        <v>9134</v>
      </c>
    </row>
    <row r="1621" spans="30:30">
      <c r="AD1621">
        <v>9135</v>
      </c>
    </row>
    <row r="1622" spans="30:30">
      <c r="AD1622">
        <v>9136</v>
      </c>
    </row>
    <row r="1623" spans="30:30">
      <c r="AD1623">
        <v>9137</v>
      </c>
    </row>
    <row r="1624" spans="30:30">
      <c r="AD1624">
        <v>9138</v>
      </c>
    </row>
    <row r="1625" spans="30:30">
      <c r="AD1625">
        <v>9139</v>
      </c>
    </row>
    <row r="1626" spans="30:30">
      <c r="AD1626">
        <v>9140</v>
      </c>
    </row>
    <row r="1627" spans="30:30">
      <c r="AD1627">
        <v>9141</v>
      </c>
    </row>
    <row r="1628" spans="30:30">
      <c r="AD1628">
        <v>9142</v>
      </c>
    </row>
    <row r="1629" spans="30:30">
      <c r="AD1629">
        <v>9143</v>
      </c>
    </row>
    <row r="1630" spans="30:30">
      <c r="AD1630">
        <v>9144</v>
      </c>
    </row>
    <row r="1631" spans="30:30">
      <c r="AD1631">
        <v>9145</v>
      </c>
    </row>
    <row r="1632" spans="30:30">
      <c r="AD1632">
        <v>9146</v>
      </c>
    </row>
    <row r="1633" spans="30:30">
      <c r="AD1633">
        <v>9147</v>
      </c>
    </row>
    <row r="1634" spans="30:30">
      <c r="AD1634">
        <v>9148</v>
      </c>
    </row>
    <row r="1635" spans="30:30">
      <c r="AD1635">
        <v>9149</v>
      </c>
    </row>
    <row r="1636" spans="30:30">
      <c r="AD1636">
        <v>9150</v>
      </c>
    </row>
    <row r="1637" spans="30:30">
      <c r="AD1637">
        <v>9151</v>
      </c>
    </row>
    <row r="1638" spans="30:30">
      <c r="AD1638">
        <v>9152</v>
      </c>
    </row>
    <row r="1639" spans="30:30">
      <c r="AD1639">
        <v>9153</v>
      </c>
    </row>
    <row r="1640" spans="30:30">
      <c r="AD1640">
        <v>9154</v>
      </c>
    </row>
    <row r="1641" spans="30:30">
      <c r="AD1641">
        <v>9155</v>
      </c>
    </row>
    <row r="1642" spans="30:30">
      <c r="AD1642">
        <v>9156</v>
      </c>
    </row>
    <row r="1643" spans="30:30">
      <c r="AD1643">
        <v>9157</v>
      </c>
    </row>
    <row r="1644" spans="30:30">
      <c r="AD1644">
        <v>9158</v>
      </c>
    </row>
    <row r="1645" spans="30:30">
      <c r="AD1645">
        <v>9159</v>
      </c>
    </row>
    <row r="1646" spans="30:30">
      <c r="AD1646">
        <v>9160</v>
      </c>
    </row>
    <row r="1647" spans="30:30">
      <c r="AD1647">
        <v>9161</v>
      </c>
    </row>
    <row r="1648" spans="30:30">
      <c r="AD1648">
        <v>9162</v>
      </c>
    </row>
    <row r="1649" spans="30:30">
      <c r="AD1649">
        <v>9163</v>
      </c>
    </row>
    <row r="1650" spans="30:30">
      <c r="AD1650">
        <v>9164</v>
      </c>
    </row>
    <row r="1651" spans="30:30">
      <c r="AD1651">
        <v>9165</v>
      </c>
    </row>
    <row r="1652" spans="30:30">
      <c r="AD1652">
        <v>9166</v>
      </c>
    </row>
    <row r="1653" spans="30:30">
      <c r="AD1653">
        <v>9167</v>
      </c>
    </row>
    <row r="1654" spans="30:30">
      <c r="AD1654">
        <v>9168</v>
      </c>
    </row>
    <row r="1655" spans="30:30">
      <c r="AD1655">
        <v>9169</v>
      </c>
    </row>
    <row r="1656" spans="30:30">
      <c r="AD1656">
        <v>9170</v>
      </c>
    </row>
    <row r="1657" spans="30:30">
      <c r="AD1657">
        <v>9171</v>
      </c>
    </row>
    <row r="1658" spans="30:30">
      <c r="AD1658">
        <v>9172</v>
      </c>
    </row>
    <row r="1659" spans="30:30">
      <c r="AD1659">
        <v>9173</v>
      </c>
    </row>
    <row r="1660" spans="30:30">
      <c r="AD1660">
        <v>9174</v>
      </c>
    </row>
    <row r="1661" spans="30:30">
      <c r="AD1661">
        <v>9175</v>
      </c>
    </row>
    <row r="1662" spans="30:30">
      <c r="AD1662">
        <v>9176</v>
      </c>
    </row>
    <row r="1663" spans="30:30">
      <c r="AD1663">
        <v>9177</v>
      </c>
    </row>
    <row r="1664" spans="30:30">
      <c r="AD1664">
        <v>9178</v>
      </c>
    </row>
    <row r="1665" spans="30:30">
      <c r="AD1665">
        <v>9179</v>
      </c>
    </row>
    <row r="1666" spans="30:30">
      <c r="AD1666">
        <v>9180</v>
      </c>
    </row>
    <row r="1667" spans="30:30">
      <c r="AD1667">
        <v>9181</v>
      </c>
    </row>
    <row r="1668" spans="30:30">
      <c r="AD1668">
        <v>9182</v>
      </c>
    </row>
    <row r="1669" spans="30:30">
      <c r="AD1669">
        <v>9183</v>
      </c>
    </row>
    <row r="1670" spans="30:30">
      <c r="AD1670">
        <v>9184</v>
      </c>
    </row>
    <row r="1671" spans="30:30">
      <c r="AD1671">
        <v>9185</v>
      </c>
    </row>
    <row r="1672" spans="30:30">
      <c r="AD1672">
        <v>9186</v>
      </c>
    </row>
    <row r="1673" spans="30:30">
      <c r="AD1673">
        <v>9187</v>
      </c>
    </row>
    <row r="1674" spans="30:30">
      <c r="AD1674">
        <v>9188</v>
      </c>
    </row>
    <row r="1675" spans="30:30">
      <c r="AD1675">
        <v>9189</v>
      </c>
    </row>
    <row r="1676" spans="30:30">
      <c r="AD1676">
        <v>9190</v>
      </c>
    </row>
    <row r="1677" spans="30:30">
      <c r="AD1677">
        <v>9191</v>
      </c>
    </row>
    <row r="1678" spans="30:30">
      <c r="AD1678">
        <v>9192</v>
      </c>
    </row>
    <row r="1679" spans="30:30">
      <c r="AD1679">
        <v>9193</v>
      </c>
    </row>
    <row r="1680" spans="30:30">
      <c r="AD1680">
        <v>9194</v>
      </c>
    </row>
    <row r="1681" spans="30:30">
      <c r="AD1681">
        <v>9195</v>
      </c>
    </row>
    <row r="1682" spans="30:30">
      <c r="AD1682">
        <v>9196</v>
      </c>
    </row>
    <row r="1683" spans="30:30">
      <c r="AD1683">
        <v>9197</v>
      </c>
    </row>
    <row r="1684" spans="30:30">
      <c r="AD1684">
        <v>9198</v>
      </c>
    </row>
    <row r="1685" spans="30:30">
      <c r="AD1685">
        <v>9199</v>
      </c>
    </row>
    <row r="1686" spans="30:30">
      <c r="AD1686">
        <v>9200</v>
      </c>
    </row>
    <row r="1687" spans="30:30">
      <c r="AD1687">
        <v>9201</v>
      </c>
    </row>
    <row r="1688" spans="30:30">
      <c r="AD1688">
        <v>9202</v>
      </c>
    </row>
    <row r="1689" spans="30:30">
      <c r="AD1689">
        <v>9203</v>
      </c>
    </row>
    <row r="1690" spans="30:30">
      <c r="AD1690">
        <v>9204</v>
      </c>
    </row>
    <row r="1691" spans="30:30">
      <c r="AD1691">
        <v>9205</v>
      </c>
    </row>
    <row r="1692" spans="30:30">
      <c r="AD1692">
        <v>9206</v>
      </c>
    </row>
    <row r="1693" spans="30:30">
      <c r="AD1693">
        <v>9207</v>
      </c>
    </row>
    <row r="1694" spans="30:30">
      <c r="AD1694">
        <v>9208</v>
      </c>
    </row>
    <row r="1695" spans="30:30">
      <c r="AD1695">
        <v>9209</v>
      </c>
    </row>
    <row r="1696" spans="30:30">
      <c r="AD1696">
        <v>9210</v>
      </c>
    </row>
    <row r="1697" spans="30:30">
      <c r="AD1697">
        <v>9211</v>
      </c>
    </row>
    <row r="1698" spans="30:30">
      <c r="AD1698">
        <v>9212</v>
      </c>
    </row>
    <row r="1699" spans="30:30">
      <c r="AD1699">
        <v>9213</v>
      </c>
    </row>
    <row r="1700" spans="30:30">
      <c r="AD1700">
        <v>9214</v>
      </c>
    </row>
    <row r="1701" spans="30:30">
      <c r="AD1701">
        <v>9215</v>
      </c>
    </row>
    <row r="1702" spans="30:30">
      <c r="AD1702">
        <v>9216</v>
      </c>
    </row>
    <row r="1703" spans="30:30">
      <c r="AD1703">
        <v>9217</v>
      </c>
    </row>
    <row r="1704" spans="30:30">
      <c r="AD1704">
        <v>9218</v>
      </c>
    </row>
    <row r="1705" spans="30:30">
      <c r="AD1705">
        <v>9219</v>
      </c>
    </row>
    <row r="1706" spans="30:30">
      <c r="AD1706">
        <v>9220</v>
      </c>
    </row>
    <row r="1707" spans="30:30">
      <c r="AD1707">
        <v>9221</v>
      </c>
    </row>
    <row r="1708" spans="30:30">
      <c r="AD1708">
        <v>9222</v>
      </c>
    </row>
    <row r="1709" spans="30:30">
      <c r="AD1709">
        <v>9223</v>
      </c>
    </row>
    <row r="1710" spans="30:30">
      <c r="AD1710">
        <v>9224</v>
      </c>
    </row>
    <row r="1711" spans="30:30">
      <c r="AD1711">
        <v>9225</v>
      </c>
    </row>
    <row r="1712" spans="30:30">
      <c r="AD1712">
        <v>9226</v>
      </c>
    </row>
    <row r="1713" spans="30:30">
      <c r="AD1713">
        <v>9227</v>
      </c>
    </row>
    <row r="1714" spans="30:30">
      <c r="AD1714">
        <v>9228</v>
      </c>
    </row>
    <row r="1715" spans="30:30">
      <c r="AD1715">
        <v>9229</v>
      </c>
    </row>
    <row r="1716" spans="30:30">
      <c r="AD1716">
        <v>9230</v>
      </c>
    </row>
    <row r="1717" spans="30:30">
      <c r="AD1717">
        <v>9231</v>
      </c>
    </row>
    <row r="1718" spans="30:30">
      <c r="AD1718">
        <v>9232</v>
      </c>
    </row>
    <row r="1719" spans="30:30">
      <c r="AD1719">
        <v>9233</v>
      </c>
    </row>
    <row r="1720" spans="30:30">
      <c r="AD1720">
        <v>9234</v>
      </c>
    </row>
    <row r="1721" spans="30:30">
      <c r="AD1721">
        <v>9235</v>
      </c>
    </row>
    <row r="1722" spans="30:30">
      <c r="AD1722">
        <v>9236</v>
      </c>
    </row>
    <row r="1723" spans="30:30">
      <c r="AD1723">
        <v>9237</v>
      </c>
    </row>
    <row r="1724" spans="30:30">
      <c r="AD1724">
        <v>9238</v>
      </c>
    </row>
    <row r="1725" spans="30:30">
      <c r="AD1725">
        <v>9239</v>
      </c>
    </row>
    <row r="1726" spans="30:30">
      <c r="AD1726">
        <v>9240</v>
      </c>
    </row>
    <row r="1727" spans="30:30">
      <c r="AD1727">
        <v>9241</v>
      </c>
    </row>
    <row r="1728" spans="30:30">
      <c r="AD1728">
        <v>9242</v>
      </c>
    </row>
    <row r="1729" spans="30:30">
      <c r="AD1729">
        <v>9243</v>
      </c>
    </row>
    <row r="1730" spans="30:30">
      <c r="AD1730">
        <v>9244</v>
      </c>
    </row>
    <row r="1731" spans="30:30">
      <c r="AD1731">
        <v>9245</v>
      </c>
    </row>
    <row r="1732" spans="30:30">
      <c r="AD1732">
        <v>9246</v>
      </c>
    </row>
    <row r="1733" spans="30:30">
      <c r="AD1733">
        <v>9247</v>
      </c>
    </row>
    <row r="1734" spans="30:30">
      <c r="AD1734">
        <v>9248</v>
      </c>
    </row>
    <row r="1735" spans="30:30">
      <c r="AD1735">
        <v>9249</v>
      </c>
    </row>
    <row r="1736" spans="30:30">
      <c r="AD1736">
        <v>9250</v>
      </c>
    </row>
    <row r="1737" spans="30:30">
      <c r="AD1737">
        <v>9251</v>
      </c>
    </row>
    <row r="1738" spans="30:30">
      <c r="AD1738">
        <v>9252</v>
      </c>
    </row>
    <row r="1739" spans="30:30">
      <c r="AD1739">
        <v>9253</v>
      </c>
    </row>
    <row r="1740" spans="30:30">
      <c r="AD1740">
        <v>9254</v>
      </c>
    </row>
    <row r="1741" spans="30:30">
      <c r="AD1741">
        <v>9255</v>
      </c>
    </row>
    <row r="1742" spans="30:30">
      <c r="AD1742">
        <v>9256</v>
      </c>
    </row>
    <row r="1743" spans="30:30">
      <c r="AD1743">
        <v>9257</v>
      </c>
    </row>
    <row r="1744" spans="30:30">
      <c r="AD1744">
        <v>9258</v>
      </c>
    </row>
    <row r="1745" spans="30:30">
      <c r="AD1745">
        <v>9259</v>
      </c>
    </row>
    <row r="1746" spans="30:30">
      <c r="AD1746">
        <v>9260</v>
      </c>
    </row>
    <row r="1747" spans="30:30">
      <c r="AD1747">
        <v>9261</v>
      </c>
    </row>
    <row r="1748" spans="30:30">
      <c r="AD1748">
        <v>9262</v>
      </c>
    </row>
    <row r="1749" spans="30:30">
      <c r="AD1749">
        <v>9263</v>
      </c>
    </row>
    <row r="1750" spans="30:30">
      <c r="AD1750">
        <v>9264</v>
      </c>
    </row>
    <row r="1751" spans="30:30">
      <c r="AD1751">
        <v>9265</v>
      </c>
    </row>
    <row r="1752" spans="30:30">
      <c r="AD1752">
        <v>9266</v>
      </c>
    </row>
    <row r="1753" spans="30:30">
      <c r="AD1753">
        <v>9267</v>
      </c>
    </row>
    <row r="1754" spans="30:30">
      <c r="AD1754">
        <v>9268</v>
      </c>
    </row>
    <row r="1755" spans="30:30">
      <c r="AD1755">
        <v>9269</v>
      </c>
    </row>
    <row r="1756" spans="30:30">
      <c r="AD1756">
        <v>9270</v>
      </c>
    </row>
    <row r="1757" spans="30:30">
      <c r="AD1757">
        <v>9271</v>
      </c>
    </row>
    <row r="1758" spans="30:30">
      <c r="AD1758">
        <v>9272</v>
      </c>
    </row>
    <row r="1759" spans="30:30">
      <c r="AD1759">
        <v>9273</v>
      </c>
    </row>
    <row r="1760" spans="30:30">
      <c r="AD1760">
        <v>9274</v>
      </c>
    </row>
    <row r="1761" spans="30:30">
      <c r="AD1761">
        <v>9275</v>
      </c>
    </row>
    <row r="1762" spans="30:30">
      <c r="AD1762">
        <v>9276</v>
      </c>
    </row>
    <row r="1763" spans="30:30">
      <c r="AD1763">
        <v>9277</v>
      </c>
    </row>
    <row r="1764" spans="30:30">
      <c r="AD1764">
        <v>9278</v>
      </c>
    </row>
    <row r="1765" spans="30:30">
      <c r="AD1765">
        <v>9279</v>
      </c>
    </row>
    <row r="1766" spans="30:30">
      <c r="AD1766">
        <v>9280</v>
      </c>
    </row>
    <row r="1767" spans="30:30">
      <c r="AD1767">
        <v>9281</v>
      </c>
    </row>
    <row r="1768" spans="30:30">
      <c r="AD1768">
        <v>9282</v>
      </c>
    </row>
    <row r="1769" spans="30:30">
      <c r="AD1769">
        <v>9283</v>
      </c>
    </row>
    <row r="1770" spans="30:30">
      <c r="AD1770">
        <v>9284</v>
      </c>
    </row>
    <row r="1771" spans="30:30">
      <c r="AD1771">
        <v>9285</v>
      </c>
    </row>
    <row r="1772" spans="30:30">
      <c r="AD1772">
        <v>9286</v>
      </c>
    </row>
    <row r="1773" spans="30:30">
      <c r="AD1773">
        <v>9287</v>
      </c>
    </row>
    <row r="1774" spans="30:30">
      <c r="AD1774">
        <v>9288</v>
      </c>
    </row>
    <row r="1775" spans="30:30">
      <c r="AD1775">
        <v>9289</v>
      </c>
    </row>
    <row r="1776" spans="30:30">
      <c r="AD1776">
        <v>9290</v>
      </c>
    </row>
    <row r="1777" spans="30:30">
      <c r="AD1777">
        <v>9291</v>
      </c>
    </row>
    <row r="1778" spans="30:30">
      <c r="AD1778">
        <v>9292</v>
      </c>
    </row>
    <row r="1779" spans="30:30">
      <c r="AD1779">
        <v>9293</v>
      </c>
    </row>
    <row r="1780" spans="30:30">
      <c r="AD1780">
        <v>9294</v>
      </c>
    </row>
    <row r="1781" spans="30:30">
      <c r="AD1781">
        <v>9295</v>
      </c>
    </row>
    <row r="1782" spans="30:30">
      <c r="AD1782">
        <v>9296</v>
      </c>
    </row>
    <row r="1783" spans="30:30">
      <c r="AD1783">
        <v>9297</v>
      </c>
    </row>
    <row r="1784" spans="30:30">
      <c r="AD1784">
        <v>9298</v>
      </c>
    </row>
    <row r="1785" spans="30:30">
      <c r="AD1785">
        <v>9299</v>
      </c>
    </row>
    <row r="1786" spans="30:30">
      <c r="AD1786" s="980">
        <v>2012</v>
      </c>
    </row>
    <row r="1787" spans="30:30">
      <c r="AD1787" s="980">
        <v>2013</v>
      </c>
    </row>
    <row r="1788" spans="30:30">
      <c r="AD1788" s="980">
        <v>2014</v>
      </c>
    </row>
    <row r="1789" spans="30:30">
      <c r="AD1789" s="980">
        <v>2250</v>
      </c>
    </row>
    <row r="1790" spans="30:30">
      <c r="AD1790" s="980">
        <v>2251</v>
      </c>
    </row>
    <row r="1791" spans="30:30">
      <c r="AD1791" s="980">
        <v>2252</v>
      </c>
    </row>
    <row r="1792" spans="30:30">
      <c r="AD1792" s="980">
        <v>2253</v>
      </c>
    </row>
    <row r="1793" spans="30:30">
      <c r="AD1793" s="980">
        <v>2254</v>
      </c>
    </row>
    <row r="1794" spans="30:30">
      <c r="AD1794" s="980">
        <v>2255</v>
      </c>
    </row>
    <row r="1795" spans="30:30">
      <c r="AD1795" s="980">
        <v>2256</v>
      </c>
    </row>
    <row r="1796" spans="30:30">
      <c r="AD1796" s="980">
        <v>2257</v>
      </c>
    </row>
    <row r="1797" spans="30:30">
      <c r="AD1797" s="980">
        <v>2258</v>
      </c>
    </row>
    <row r="1798" spans="30:30">
      <c r="AD1798" s="980">
        <v>2259</v>
      </c>
    </row>
    <row r="1799" spans="30:30">
      <c r="AD1799" s="980">
        <v>2260</v>
      </c>
    </row>
    <row r="1800" spans="30:30">
      <c r="AD1800" s="980">
        <v>2261</v>
      </c>
    </row>
    <row r="1801" spans="30:30">
      <c r="AD1801" s="980">
        <v>2262</v>
      </c>
    </row>
    <row r="1802" spans="30:30">
      <c r="AD1802" s="980">
        <v>2263</v>
      </c>
    </row>
    <row r="1803" spans="30:30">
      <c r="AD1803" s="980">
        <v>2264</v>
      </c>
    </row>
    <row r="1804" spans="30:30">
      <c r="AD1804" s="980">
        <v>2265</v>
      </c>
    </row>
    <row r="1805" spans="30:30">
      <c r="AD1805" s="980">
        <v>2267</v>
      </c>
    </row>
    <row r="1806" spans="30:30">
      <c r="AD1806" s="980">
        <v>2278</v>
      </c>
    </row>
    <row r="1807" spans="30:30">
      <c r="AD1807" s="980">
        <v>2280</v>
      </c>
    </row>
    <row r="1808" spans="30:30">
      <c r="AD1808" s="980">
        <v>2281</v>
      </c>
    </row>
    <row r="1809" spans="30:30">
      <c r="AD1809" s="980">
        <v>2282</v>
      </c>
    </row>
    <row r="1810" spans="30:30">
      <c r="AD1810" s="980">
        <v>2283</v>
      </c>
    </row>
    <row r="1811" spans="30:30">
      <c r="AD1811" s="980">
        <v>2284</v>
      </c>
    </row>
    <row r="1812" spans="30:30">
      <c r="AD1812" s="980">
        <v>2285</v>
      </c>
    </row>
    <row r="1813" spans="30:30">
      <c r="AD1813" s="980">
        <v>2286</v>
      </c>
    </row>
    <row r="1814" spans="30:30">
      <c r="AD1814" s="980">
        <v>2287</v>
      </c>
    </row>
    <row r="1815" spans="30:30">
      <c r="AD1815" s="980">
        <v>2288</v>
      </c>
    </row>
    <row r="1816" spans="30:30">
      <c r="AD1816" s="980">
        <v>2289</v>
      </c>
    </row>
    <row r="1817" spans="30:30">
      <c r="AD1817" s="980"/>
    </row>
    <row r="1818" spans="30:30">
      <c r="AD1818" s="980">
        <v>2290</v>
      </c>
    </row>
    <row r="1819" spans="30:30">
      <c r="AD1819" s="980">
        <v>2291</v>
      </c>
    </row>
    <row r="1820" spans="30:30">
      <c r="AD1820" s="980">
        <v>2292</v>
      </c>
    </row>
    <row r="1821" spans="30:30">
      <c r="AD1821" s="980">
        <v>2293</v>
      </c>
    </row>
    <row r="1822" spans="30:30">
      <c r="AD1822" s="980">
        <v>2294</v>
      </c>
    </row>
    <row r="1823" spans="30:30">
      <c r="AD1823" s="980">
        <v>2295</v>
      </c>
    </row>
    <row r="1824" spans="30:30">
      <c r="AD1824" s="980">
        <v>2296</v>
      </c>
    </row>
    <row r="1825" spans="30:30">
      <c r="AD1825" s="980">
        <v>2297</v>
      </c>
    </row>
    <row r="1826" spans="30:30">
      <c r="AD1826" s="980">
        <v>2298</v>
      </c>
    </row>
    <row r="1827" spans="30:30">
      <c r="AD1827" s="980">
        <v>2299</v>
      </c>
    </row>
    <row r="1828" spans="30:30">
      <c r="AD1828" s="980">
        <v>2300</v>
      </c>
    </row>
    <row r="1829" spans="30:30">
      <c r="AD1829" s="980">
        <v>2301</v>
      </c>
    </row>
    <row r="1830" spans="30:30">
      <c r="AD1830" s="980">
        <v>2302</v>
      </c>
    </row>
    <row r="1831" spans="30:30">
      <c r="AD1831" s="980">
        <v>2303</v>
      </c>
    </row>
    <row r="1832" spans="30:30">
      <c r="AD1832" s="980">
        <v>2304</v>
      </c>
    </row>
    <row r="1833" spans="30:30">
      <c r="AD1833" s="980">
        <v>2305</v>
      </c>
    </row>
    <row r="1834" spans="30:30">
      <c r="AD1834" s="980">
        <v>2306</v>
      </c>
    </row>
    <row r="1835" spans="30:30">
      <c r="AD1835" s="980">
        <v>2307</v>
      </c>
    </row>
    <row r="1836" spans="30:30">
      <c r="AD1836" s="980">
        <v>2308</v>
      </c>
    </row>
    <row r="1837" spans="30:30">
      <c r="AD1837" s="980">
        <v>2315</v>
      </c>
    </row>
    <row r="1838" spans="30:30">
      <c r="AD1838" s="980">
        <v>2316</v>
      </c>
    </row>
    <row r="1839" spans="30:30">
      <c r="AD1839" s="980">
        <v>2317</v>
      </c>
    </row>
    <row r="1840" spans="30:30">
      <c r="AD1840" s="980">
        <v>2318</v>
      </c>
    </row>
    <row r="1841" spans="30:30">
      <c r="AD1841" s="980">
        <v>2319</v>
      </c>
    </row>
    <row r="1842" spans="30:30">
      <c r="AD1842" s="980">
        <v>2320</v>
      </c>
    </row>
    <row r="1843" spans="30:30">
      <c r="AD1843" s="980">
        <v>2321</v>
      </c>
    </row>
    <row r="1844" spans="30:30">
      <c r="AD1844" s="980">
        <v>2322</v>
      </c>
    </row>
    <row r="1845" spans="30:30">
      <c r="AD1845" s="980">
        <v>2323</v>
      </c>
    </row>
    <row r="1846" spans="30:30">
      <c r="AD1846" s="980">
        <v>2327</v>
      </c>
    </row>
    <row r="1847" spans="30:30">
      <c r="AD1847" s="980">
        <v>2340</v>
      </c>
    </row>
    <row r="1848" spans="30:30">
      <c r="AD1848" s="980">
        <v>2444</v>
      </c>
    </row>
    <row r="1849" spans="30:30">
      <c r="AD1849" s="980">
        <v>2450</v>
      </c>
    </row>
    <row r="1850" spans="30:30">
      <c r="AD1850" s="980">
        <v>2451</v>
      </c>
    </row>
    <row r="1851" spans="30:30">
      <c r="AD1851" s="980">
        <v>2452</v>
      </c>
    </row>
    <row r="1852" spans="30:30">
      <c r="AD1852" s="980">
        <v>2477</v>
      </c>
    </row>
    <row r="1853" spans="30:30">
      <c r="AD1853" s="980">
        <v>2478</v>
      </c>
    </row>
    <row r="1854" spans="30:30">
      <c r="AD1854" s="980">
        <v>2479</v>
      </c>
    </row>
    <row r="1855" spans="30:30">
      <c r="AD1855" s="980">
        <v>2480</v>
      </c>
    </row>
    <row r="1856" spans="30:30">
      <c r="AD1856" s="980">
        <v>2481</v>
      </c>
    </row>
    <row r="1857" spans="30:30">
      <c r="AD1857" s="980">
        <v>2482</v>
      </c>
    </row>
    <row r="1858" spans="30:30">
      <c r="AD1858" s="980">
        <v>2483</v>
      </c>
    </row>
    <row r="1859" spans="30:30">
      <c r="AD1859" s="980">
        <v>2484</v>
      </c>
    </row>
    <row r="1860" spans="30:30">
      <c r="AD1860" s="980">
        <v>2485</v>
      </c>
    </row>
    <row r="1861" spans="30:30">
      <c r="AD1861" s="980">
        <v>2486</v>
      </c>
    </row>
    <row r="1862" spans="30:30">
      <c r="AD1862" s="980">
        <v>2487</v>
      </c>
    </row>
    <row r="1863" spans="30:30">
      <c r="AD1863" s="980">
        <v>2488</v>
      </c>
    </row>
    <row r="1864" spans="30:30">
      <c r="AD1864" s="980">
        <v>2489</v>
      </c>
    </row>
    <row r="1865" spans="30:30">
      <c r="AD1865" s="980">
        <v>2500</v>
      </c>
    </row>
    <row r="1866" spans="30:30">
      <c r="AD1866" s="980">
        <v>2501</v>
      </c>
    </row>
    <row r="1867" spans="30:30">
      <c r="AD1867" s="980">
        <v>2502</v>
      </c>
    </row>
    <row r="1868" spans="30:30">
      <c r="AD1868" s="980">
        <v>2503</v>
      </c>
    </row>
    <row r="1869" spans="30:30">
      <c r="AD1869" s="980">
        <v>2504</v>
      </c>
    </row>
    <row r="1870" spans="30:30">
      <c r="AD1870" s="980">
        <v>2505</v>
      </c>
    </row>
    <row r="1871" spans="30:30">
      <c r="AD1871" s="980">
        <v>2506</v>
      </c>
    </row>
    <row r="1872" spans="30:30">
      <c r="AD1872" s="980">
        <v>2507</v>
      </c>
    </row>
    <row r="1873" spans="30:30">
      <c r="AD1873" s="980">
        <v>2508</v>
      </c>
    </row>
    <row r="1874" spans="30:30">
      <c r="AD1874" s="980">
        <v>2509</v>
      </c>
    </row>
    <row r="1875" spans="30:30">
      <c r="AD1875" s="980">
        <v>2510</v>
      </c>
    </row>
    <row r="1876" spans="30:30">
      <c r="AD1876" s="980">
        <v>2511</v>
      </c>
    </row>
    <row r="1877" spans="30:30">
      <c r="AD1877" s="980">
        <v>2512</v>
      </c>
    </row>
    <row r="1878" spans="30:30">
      <c r="AD1878" s="980">
        <v>2513</v>
      </c>
    </row>
    <row r="1879" spans="30:30">
      <c r="AD1879" s="980">
        <v>2514</v>
      </c>
    </row>
    <row r="1880" spans="30:30">
      <c r="AD1880" s="980">
        <v>2515</v>
      </c>
    </row>
    <row r="1881" spans="30:30">
      <c r="AD1881" s="980">
        <v>2516</v>
      </c>
    </row>
    <row r="1882" spans="30:30">
      <c r="AD1882" s="980">
        <v>2517</v>
      </c>
    </row>
    <row r="1883" spans="30:30">
      <c r="AD1883" s="980">
        <v>2518</v>
      </c>
    </row>
    <row r="1884" spans="30:30">
      <c r="AD1884" s="980">
        <v>2519</v>
      </c>
    </row>
    <row r="1885" spans="30:30">
      <c r="AD1885" s="980">
        <v>2520</v>
      </c>
    </row>
    <row r="1886" spans="30:30">
      <c r="AD1886" s="980">
        <v>2521</v>
      </c>
    </row>
    <row r="1887" spans="30:30">
      <c r="AD1887" s="980">
        <v>2522</v>
      </c>
    </row>
    <row r="1888" spans="30:30">
      <c r="AD1888" s="980">
        <v>2523</v>
      </c>
    </row>
    <row r="1889" spans="30:30">
      <c r="AD1889" s="980">
        <v>2524</v>
      </c>
    </row>
    <row r="1890" spans="30:30">
      <c r="AD1890" s="980">
        <v>2525</v>
      </c>
    </row>
    <row r="1891" spans="30:30">
      <c r="AD1891" s="980">
        <v>2526</v>
      </c>
    </row>
    <row r="1892" spans="30:30">
      <c r="AD1892" s="980">
        <v>2527</v>
      </c>
    </row>
    <row r="1893" spans="30:30">
      <c r="AD1893" s="980">
        <v>2528</v>
      </c>
    </row>
    <row r="1894" spans="30:30">
      <c r="AD1894" s="980">
        <v>2529</v>
      </c>
    </row>
    <row r="1895" spans="30:30">
      <c r="AD1895" s="980">
        <v>2530</v>
      </c>
    </row>
    <row r="1896" spans="30:30">
      <c r="AD1896" s="980">
        <v>2531</v>
      </c>
    </row>
    <row r="1897" spans="30:30">
      <c r="AD1897" s="980">
        <v>2532</v>
      </c>
    </row>
    <row r="1898" spans="30:30">
      <c r="AD1898" s="980">
        <v>2533</v>
      </c>
    </row>
    <row r="1899" spans="30:30">
      <c r="AD1899" s="980">
        <v>2534</v>
      </c>
    </row>
    <row r="1900" spans="30:30">
      <c r="AD1900" s="980">
        <v>2555</v>
      </c>
    </row>
    <row r="1901" spans="30:30">
      <c r="AD1901" s="980">
        <v>2556</v>
      </c>
    </row>
    <row r="1902" spans="30:30">
      <c r="AD1902" s="980">
        <v>2557</v>
      </c>
    </row>
    <row r="1903" spans="30:30">
      <c r="AD1903" s="980">
        <v>2558</v>
      </c>
    </row>
    <row r="1904" spans="30:30">
      <c r="AD1904" s="980">
        <v>2559</v>
      </c>
    </row>
    <row r="1905" spans="30:30">
      <c r="AD1905" s="980">
        <v>2560</v>
      </c>
    </row>
    <row r="1906" spans="30:30">
      <c r="AD1906" s="980">
        <v>2561</v>
      </c>
    </row>
    <row r="1907" spans="30:30">
      <c r="AD1907" s="980">
        <v>2562</v>
      </c>
    </row>
    <row r="1908" spans="30:30">
      <c r="AD1908" s="980">
        <v>2563</v>
      </c>
    </row>
    <row r="1909" spans="30:30">
      <c r="AD1909" s="980">
        <v>2564</v>
      </c>
    </row>
    <row r="1910" spans="30:30">
      <c r="AD1910" s="980">
        <v>2565</v>
      </c>
    </row>
    <row r="1911" spans="30:30">
      <c r="AD1911" s="980">
        <v>2566</v>
      </c>
    </row>
    <row r="1912" spans="30:30">
      <c r="AD1912" s="980">
        <v>2567</v>
      </c>
    </row>
    <row r="1913" spans="30:30">
      <c r="AD1913" s="980">
        <v>2568</v>
      </c>
    </row>
    <row r="1914" spans="30:30">
      <c r="AD1914" s="980">
        <v>2569</v>
      </c>
    </row>
    <row r="1915" spans="30:30">
      <c r="AD1915" s="980">
        <v>2570</v>
      </c>
    </row>
    <row r="1916" spans="30:30">
      <c r="AD1916" s="980">
        <v>2571</v>
      </c>
    </row>
    <row r="1917" spans="30:30">
      <c r="AD1917" s="980">
        <v>2572</v>
      </c>
    </row>
    <row r="1918" spans="30:30">
      <c r="AD1918" s="980">
        <v>2573</v>
      </c>
    </row>
    <row r="1919" spans="30:30">
      <c r="AD1919" s="980">
        <v>2574</v>
      </c>
    </row>
    <row r="1920" spans="30:30">
      <c r="AD1920" s="980">
        <v>2575</v>
      </c>
    </row>
    <row r="1921" spans="30:30">
      <c r="AD1921" s="980">
        <v>2576</v>
      </c>
    </row>
    <row r="1922" spans="30:30">
      <c r="AD1922" s="980">
        <v>2577</v>
      </c>
    </row>
    <row r="1923" spans="30:30">
      <c r="AD1923" s="980">
        <v>2578</v>
      </c>
    </row>
    <row r="1924" spans="30:30">
      <c r="AD1924" s="980">
        <v>2579</v>
      </c>
    </row>
    <row r="1925" spans="30:30">
      <c r="AD1925" s="980">
        <v>2619</v>
      </c>
    </row>
    <row r="1926" spans="30:30">
      <c r="AD1926" s="980">
        <v>2620</v>
      </c>
    </row>
    <row r="1927" spans="30:30">
      <c r="AD1927" s="980">
        <v>2621</v>
      </c>
    </row>
    <row r="1928" spans="30:30">
      <c r="AD1928" s="980">
        <v>2640</v>
      </c>
    </row>
    <row r="1929" spans="30:30">
      <c r="AD1929" s="980">
        <v>2641</v>
      </c>
    </row>
    <row r="1930" spans="30:30">
      <c r="AD1930" s="980">
        <v>2650</v>
      </c>
    </row>
    <row r="1931" spans="30:30">
      <c r="AD1931" s="980">
        <v>2651</v>
      </c>
    </row>
    <row r="1932" spans="30:30">
      <c r="AD1932" s="980">
        <v>2776</v>
      </c>
    </row>
    <row r="1933" spans="30:30">
      <c r="AD1933" s="980">
        <v>2777</v>
      </c>
    </row>
    <row r="1934" spans="30:30">
      <c r="AD1934" s="980">
        <v>2778</v>
      </c>
    </row>
    <row r="1935" spans="30:30">
      <c r="AD1935" s="980">
        <v>2779</v>
      </c>
    </row>
    <row r="1936" spans="30:30">
      <c r="AD1936" s="980">
        <v>2780</v>
      </c>
    </row>
    <row r="1937" spans="30:30">
      <c r="AD1937" s="980">
        <v>2781</v>
      </c>
    </row>
    <row r="1938" spans="30:30">
      <c r="AD1938" s="980">
        <v>2782</v>
      </c>
    </row>
    <row r="1939" spans="30:30">
      <c r="AD1939" s="980">
        <v>2783</v>
      </c>
    </row>
    <row r="1940" spans="30:30">
      <c r="AD1940" s="980">
        <v>2784</v>
      </c>
    </row>
    <row r="1941" spans="30:30">
      <c r="AD1941" s="980">
        <v>2785</v>
      </c>
    </row>
    <row r="1942" spans="30:30">
      <c r="AD1942" s="980">
        <v>2795</v>
      </c>
    </row>
    <row r="1943" spans="30:30">
      <c r="AD1943" s="980">
        <v>2830</v>
      </c>
    </row>
    <row r="1944" spans="30:30">
      <c r="AD1944" s="980">
        <v>2907</v>
      </c>
    </row>
    <row r="1945" spans="30:30">
      <c r="AD1945" s="980">
        <v>2908</v>
      </c>
    </row>
    <row r="1946" spans="30:30">
      <c r="AD1946" s="980">
        <v>2909</v>
      </c>
    </row>
    <row r="1947" spans="30:30">
      <c r="AD1947" s="980">
        <v>2910</v>
      </c>
    </row>
    <row r="1948" spans="30:30">
      <c r="AD1948" s="980">
        <v>3211</v>
      </c>
    </row>
    <row r="1949" spans="30:30">
      <c r="AD1949" s="980">
        <v>3212</v>
      </c>
    </row>
    <row r="1950" spans="30:30">
      <c r="AD1950" s="980">
        <v>3213</v>
      </c>
    </row>
    <row r="1951" spans="30:30">
      <c r="AD1951" s="980">
        <v>3214</v>
      </c>
    </row>
    <row r="1952" spans="30:30">
      <c r="AD1952" s="980">
        <v>3215</v>
      </c>
    </row>
    <row r="1953" spans="30:30">
      <c r="AD1953">
        <v>3216</v>
      </c>
    </row>
    <row r="1954" spans="30:30">
      <c r="AD1954">
        <v>3218</v>
      </c>
    </row>
    <row r="1955" spans="30:30">
      <c r="AD1955">
        <v>3219</v>
      </c>
    </row>
    <row r="1956" spans="30:30">
      <c r="AD1956">
        <v>3220</v>
      </c>
    </row>
    <row r="1957" spans="30:30">
      <c r="AD1957">
        <v>3221</v>
      </c>
    </row>
    <row r="1958" spans="30:30">
      <c r="AD1958">
        <v>3222</v>
      </c>
    </row>
    <row r="1959" spans="30:30">
      <c r="AD1959">
        <v>3223</v>
      </c>
    </row>
    <row r="1960" spans="30:30">
      <c r="AD1960">
        <v>3224</v>
      </c>
    </row>
    <row r="1961" spans="30:30">
      <c r="AD1961">
        <v>3225</v>
      </c>
    </row>
    <row r="1962" spans="30:30">
      <c r="AD1962">
        <v>3226</v>
      </c>
    </row>
    <row r="1963" spans="30:30">
      <c r="AD1963">
        <v>3227</v>
      </c>
    </row>
    <row r="1964" spans="30:30">
      <c r="AD1964">
        <v>3228</v>
      </c>
    </row>
    <row r="1965" spans="30:30">
      <c r="AD1965">
        <v>3232</v>
      </c>
    </row>
    <row r="1966" spans="30:30">
      <c r="AD1966">
        <v>3233</v>
      </c>
    </row>
    <row r="1967" spans="30:30">
      <c r="AD1967">
        <v>3234</v>
      </c>
    </row>
    <row r="1968" spans="30:30">
      <c r="AD1968">
        <v>3335</v>
      </c>
    </row>
    <row r="1969" spans="30:30">
      <c r="AD1969">
        <v>3336</v>
      </c>
    </row>
    <row r="1970" spans="30:30">
      <c r="AD1970">
        <v>3337</v>
      </c>
    </row>
    <row r="1971" spans="30:30">
      <c r="AD1971">
        <v>3338</v>
      </c>
    </row>
    <row r="1972" spans="30:30">
      <c r="AD1972">
        <v>3339</v>
      </c>
    </row>
    <row r="1973" spans="30:30">
      <c r="AD1973">
        <v>3340</v>
      </c>
    </row>
    <row r="1974" spans="30:30">
      <c r="AD1974">
        <v>3341</v>
      </c>
    </row>
    <row r="1975" spans="30:30">
      <c r="AD1975">
        <v>3429</v>
      </c>
    </row>
    <row r="1976" spans="30:30">
      <c r="AD1976">
        <v>3690</v>
      </c>
    </row>
    <row r="1977" spans="30:30">
      <c r="AD1977">
        <v>3750</v>
      </c>
    </row>
    <row r="1978" spans="30:30">
      <c r="AD1978">
        <v>3751</v>
      </c>
    </row>
    <row r="1979" spans="30:30">
      <c r="AD1979">
        <v>3752</v>
      </c>
    </row>
    <row r="1980" spans="30:30">
      <c r="AD1980">
        <v>3753</v>
      </c>
    </row>
    <row r="1981" spans="30:30">
      <c r="AD1981">
        <v>3754</v>
      </c>
    </row>
    <row r="1982" spans="30:30">
      <c r="AD1982">
        <v>3755</v>
      </c>
    </row>
    <row r="1983" spans="30:30">
      <c r="AD1983">
        <v>3765</v>
      </c>
    </row>
    <row r="1984" spans="30:30">
      <c r="AD1984">
        <v>3766</v>
      </c>
    </row>
    <row r="1985" spans="30:30">
      <c r="AD1985">
        <v>3767</v>
      </c>
    </row>
    <row r="1986" spans="30:30">
      <c r="AD1986">
        <v>3781</v>
      </c>
    </row>
    <row r="1987" spans="30:30">
      <c r="AD1987">
        <v>3782</v>
      </c>
    </row>
    <row r="1988" spans="30:30">
      <c r="AD1988">
        <v>3783</v>
      </c>
    </row>
    <row r="1989" spans="30:30">
      <c r="AD1989">
        <v>3784</v>
      </c>
    </row>
    <row r="1990" spans="30:30">
      <c r="AD1990">
        <v>3785</v>
      </c>
    </row>
    <row r="1991" spans="30:30">
      <c r="AD1991">
        <v>3786</v>
      </c>
    </row>
    <row r="1992" spans="30:30">
      <c r="AD1992">
        <v>3787</v>
      </c>
    </row>
    <row r="1993" spans="30:30">
      <c r="AD1993">
        <v>3788</v>
      </c>
    </row>
    <row r="1994" spans="30:30">
      <c r="AD1994">
        <v>3789</v>
      </c>
    </row>
    <row r="1995" spans="30:30">
      <c r="AD1995">
        <v>3790</v>
      </c>
    </row>
    <row r="1996" spans="30:30">
      <c r="AD1996">
        <v>3791</v>
      </c>
    </row>
    <row r="1997" spans="30:30">
      <c r="AD1997">
        <v>3792</v>
      </c>
    </row>
    <row r="1998" spans="30:30">
      <c r="AD1998">
        <v>3793</v>
      </c>
    </row>
    <row r="1999" spans="30:30">
      <c r="AD1999">
        <v>3794</v>
      </c>
    </row>
    <row r="2000" spans="30:30">
      <c r="AD2000">
        <v>3795</v>
      </c>
    </row>
    <row r="2001" spans="30:30">
      <c r="AD2001">
        <v>3796</v>
      </c>
    </row>
    <row r="2002" spans="30:30">
      <c r="AD2002">
        <v>3802</v>
      </c>
    </row>
    <row r="2003" spans="30:30">
      <c r="AD2003">
        <v>3803</v>
      </c>
    </row>
    <row r="2004" spans="30:30">
      <c r="AD2004">
        <v>3804</v>
      </c>
    </row>
    <row r="2005" spans="30:30">
      <c r="AD2005">
        <v>3805</v>
      </c>
    </row>
    <row r="2006" spans="30:30">
      <c r="AD2006">
        <v>3806</v>
      </c>
    </row>
    <row r="2007" spans="30:30">
      <c r="AD2007">
        <v>3807</v>
      </c>
    </row>
    <row r="2008" spans="30:30">
      <c r="AD2008">
        <v>3808</v>
      </c>
    </row>
    <row r="2009" spans="30:30">
      <c r="AD2009">
        <v>3809</v>
      </c>
    </row>
    <row r="2010" spans="30:30">
      <c r="AD2010">
        <v>3810</v>
      </c>
    </row>
    <row r="2011" spans="30:30">
      <c r="AD2011">
        <v>3812</v>
      </c>
    </row>
    <row r="2012" spans="30:30">
      <c r="AD2012">
        <v>3910</v>
      </c>
    </row>
    <row r="2013" spans="30:30">
      <c r="AD2013">
        <v>3911</v>
      </c>
    </row>
    <row r="2014" spans="30:30">
      <c r="AD2014">
        <v>3912</v>
      </c>
    </row>
    <row r="2015" spans="30:30">
      <c r="AD2015">
        <v>3913</v>
      </c>
    </row>
    <row r="2016" spans="30:30">
      <c r="AD2016">
        <v>3914</v>
      </c>
    </row>
    <row r="2017" spans="30:30">
      <c r="AD2017">
        <v>3915</v>
      </c>
    </row>
    <row r="2018" spans="30:30">
      <c r="AD2018">
        <v>3916</v>
      </c>
    </row>
    <row r="2019" spans="30:30">
      <c r="AD2019">
        <v>3917</v>
      </c>
    </row>
    <row r="2020" spans="30:30">
      <c r="AD2020">
        <v>3918</v>
      </c>
    </row>
    <row r="2021" spans="30:30">
      <c r="AD2021">
        <v>3919</v>
      </c>
    </row>
    <row r="2022" spans="30:30">
      <c r="AD2022">
        <v>3920</v>
      </c>
    </row>
    <row r="2023" spans="30:30">
      <c r="AD2023">
        <v>3926</v>
      </c>
    </row>
    <row r="2024" spans="30:30">
      <c r="AD2024">
        <v>3927</v>
      </c>
    </row>
    <row r="2025" spans="30:30">
      <c r="AD2025">
        <v>3928</v>
      </c>
    </row>
    <row r="2026" spans="30:30">
      <c r="AD2026">
        <v>3929</v>
      </c>
    </row>
    <row r="2027" spans="30:30">
      <c r="AD2027">
        <v>3930</v>
      </c>
    </row>
    <row r="2028" spans="30:30">
      <c r="AD2028">
        <v>3931</v>
      </c>
    </row>
    <row r="2029" spans="30:30">
      <c r="AD2029">
        <v>3932</v>
      </c>
    </row>
    <row r="2030" spans="30:30">
      <c r="AD2030">
        <v>3933</v>
      </c>
    </row>
    <row r="2031" spans="30:30">
      <c r="AD2031">
        <v>3934</v>
      </c>
    </row>
    <row r="2032" spans="30:30">
      <c r="AD2032">
        <v>3935</v>
      </c>
    </row>
    <row r="2033" spans="30:30">
      <c r="AD2033">
        <v>3936</v>
      </c>
    </row>
    <row r="2034" spans="30:30">
      <c r="AD2034">
        <v>3937</v>
      </c>
    </row>
    <row r="2035" spans="30:30">
      <c r="AD2035">
        <v>3938</v>
      </c>
    </row>
    <row r="2036" spans="30:30">
      <c r="AD2036">
        <v>3939</v>
      </c>
    </row>
    <row r="2037" spans="30:30">
      <c r="AD2037">
        <v>3940</v>
      </c>
    </row>
    <row r="2038" spans="30:30">
      <c r="AD2038">
        <v>3941</v>
      </c>
    </row>
    <row r="2039" spans="30:30">
      <c r="AD2039">
        <v>3942</v>
      </c>
    </row>
    <row r="2040" spans="30:30">
      <c r="AD2040">
        <v>3943</v>
      </c>
    </row>
    <row r="2041" spans="30:30">
      <c r="AD2041">
        <v>3944</v>
      </c>
    </row>
    <row r="2042" spans="30:30">
      <c r="AD2042">
        <v>3975</v>
      </c>
    </row>
    <row r="2043" spans="30:30">
      <c r="AD2043">
        <v>3976</v>
      </c>
    </row>
    <row r="2044" spans="30:30">
      <c r="AD2044">
        <v>3977</v>
      </c>
    </row>
    <row r="2045" spans="30:30">
      <c r="AD2045">
        <v>3978</v>
      </c>
    </row>
    <row r="2046" spans="30:30">
      <c r="AD2046">
        <v>4280</v>
      </c>
    </row>
    <row r="2047" spans="30:30">
      <c r="AD2047">
        <v>4300</v>
      </c>
    </row>
    <row r="2048" spans="30:30">
      <c r="AD2048">
        <v>4301</v>
      </c>
    </row>
    <row r="2049" spans="30:30">
      <c r="AD2049">
        <v>4302</v>
      </c>
    </row>
    <row r="2050" spans="30:30">
      <c r="AD2050">
        <v>4303</v>
      </c>
    </row>
    <row r="2051" spans="30:30">
      <c r="AD2051">
        <v>4304</v>
      </c>
    </row>
    <row r="2052" spans="30:30">
      <c r="AD2052">
        <v>4305</v>
      </c>
    </row>
    <row r="2053" spans="30:30">
      <c r="AD2053">
        <v>4306</v>
      </c>
    </row>
    <row r="2054" spans="30:30">
      <c r="AD2054">
        <v>4350</v>
      </c>
    </row>
    <row r="2055" spans="30:30">
      <c r="AD2055">
        <v>4500</v>
      </c>
    </row>
    <row r="2056" spans="30:30">
      <c r="AD2056">
        <v>4501</v>
      </c>
    </row>
    <row r="2057" spans="30:30">
      <c r="AD2057">
        <v>4502</v>
      </c>
    </row>
    <row r="2058" spans="30:30">
      <c r="AD2058">
        <v>4503</v>
      </c>
    </row>
    <row r="2059" spans="30:30">
      <c r="AD2059">
        <v>4504</v>
      </c>
    </row>
    <row r="2060" spans="30:30">
      <c r="AD2060">
        <v>4505</v>
      </c>
    </row>
    <row r="2061" spans="30:30">
      <c r="AD2061">
        <v>4506</v>
      </c>
    </row>
    <row r="2062" spans="30:30">
      <c r="AD2062">
        <v>4507</v>
      </c>
    </row>
    <row r="2063" spans="30:30">
      <c r="AD2063">
        <v>4508</v>
      </c>
    </row>
    <row r="2064" spans="30:30">
      <c r="AD2064">
        <v>4509</v>
      </c>
    </row>
    <row r="2065" spans="30:30">
      <c r="AD2065">
        <v>4510</v>
      </c>
    </row>
    <row r="2066" spans="30:30">
      <c r="AD2066">
        <v>4511</v>
      </c>
    </row>
    <row r="2067" spans="30:30">
      <c r="AD2067">
        <v>4512</v>
      </c>
    </row>
    <row r="2068" spans="30:30">
      <c r="AD2068">
        <v>4516</v>
      </c>
    </row>
    <row r="2069" spans="30:30">
      <c r="AD2069">
        <v>4517</v>
      </c>
    </row>
    <row r="2070" spans="30:30">
      <c r="AD2070">
        <v>4518</v>
      </c>
    </row>
    <row r="2071" spans="30:30">
      <c r="AD2071">
        <v>4519</v>
      </c>
    </row>
    <row r="2072" spans="30:30">
      <c r="AD2072">
        <v>4520</v>
      </c>
    </row>
    <row r="2073" spans="30:30">
      <c r="AD2073">
        <v>4550</v>
      </c>
    </row>
    <row r="2074" spans="30:30">
      <c r="AD2074">
        <v>4551</v>
      </c>
    </row>
    <row r="2075" spans="30:30">
      <c r="AD2075">
        <v>4552</v>
      </c>
    </row>
    <row r="2076" spans="30:30">
      <c r="AD2076">
        <v>4553</v>
      </c>
    </row>
    <row r="2077" spans="30:30">
      <c r="AD2077">
        <v>4554</v>
      </c>
    </row>
    <row r="2078" spans="30:30">
      <c r="AD2078">
        <v>4555</v>
      </c>
    </row>
    <row r="2079" spans="30:30">
      <c r="AD2079">
        <v>4556</v>
      </c>
    </row>
    <row r="2080" spans="30:30">
      <c r="AD2080">
        <v>4557</v>
      </c>
    </row>
    <row r="2081" spans="30:30">
      <c r="AD2081">
        <v>4558</v>
      </c>
    </row>
    <row r="2082" spans="30:30">
      <c r="AD2082">
        <v>4559</v>
      </c>
    </row>
    <row r="2083" spans="30:30">
      <c r="AD2083">
        <v>4560</v>
      </c>
    </row>
    <row r="2084" spans="30:30">
      <c r="AD2084">
        <v>4561</v>
      </c>
    </row>
    <row r="2085" spans="30:30">
      <c r="AD2085">
        <v>4562</v>
      </c>
    </row>
    <row r="2086" spans="30:30">
      <c r="AD2086">
        <v>4563</v>
      </c>
    </row>
    <row r="2087" spans="30:30">
      <c r="AD2087">
        <v>4564</v>
      </c>
    </row>
    <row r="2088" spans="30:30">
      <c r="AD2088">
        <v>4565</v>
      </c>
    </row>
    <row r="2089" spans="30:30">
      <c r="AD2089">
        <v>4566</v>
      </c>
    </row>
    <row r="2090" spans="30:30">
      <c r="AD2090">
        <v>4567</v>
      </c>
    </row>
    <row r="2091" spans="30:30">
      <c r="AD2091">
        <v>4572</v>
      </c>
    </row>
    <row r="2092" spans="30:30">
      <c r="AD2092">
        <v>4573</v>
      </c>
    </row>
    <row r="2093" spans="30:30">
      <c r="AD2093">
        <v>4575</v>
      </c>
    </row>
    <row r="2094" spans="30:30">
      <c r="AD2094">
        <v>4700</v>
      </c>
    </row>
    <row r="2095" spans="30:30">
      <c r="AD2095">
        <v>4701</v>
      </c>
    </row>
    <row r="2096" spans="30:30">
      <c r="AD2096">
        <v>4711</v>
      </c>
    </row>
    <row r="2097" spans="30:30">
      <c r="AD2097">
        <v>4750</v>
      </c>
    </row>
    <row r="2098" spans="30:30">
      <c r="AD2098">
        <v>4751</v>
      </c>
    </row>
    <row r="2099" spans="30:30">
      <c r="AD2099">
        <v>4810</v>
      </c>
    </row>
    <row r="2100" spans="30:30">
      <c r="AD2100">
        <v>4811</v>
      </c>
    </row>
    <row r="2101" spans="30:30">
      <c r="AD2101">
        <v>4812</v>
      </c>
    </row>
    <row r="2102" spans="30:30">
      <c r="AD2102">
        <v>4813</v>
      </c>
    </row>
    <row r="2103" spans="30:30">
      <c r="AD2103">
        <v>4814</v>
      </c>
    </row>
    <row r="2104" spans="30:30">
      <c r="AD2104">
        <v>4815</v>
      </c>
    </row>
    <row r="2105" spans="30:30">
      <c r="AD2105">
        <v>4817</v>
      </c>
    </row>
    <row r="2106" spans="30:30">
      <c r="AD2106">
        <v>4818</v>
      </c>
    </row>
    <row r="2107" spans="30:30">
      <c r="AD2107">
        <v>4865</v>
      </c>
    </row>
    <row r="2108" spans="30:30">
      <c r="AD2108">
        <v>4868</v>
      </c>
    </row>
    <row r="2109" spans="30:30">
      <c r="AD2109">
        <v>4869</v>
      </c>
    </row>
    <row r="2110" spans="30:30">
      <c r="AD2110">
        <v>4870</v>
      </c>
    </row>
    <row r="2111" spans="30:30">
      <c r="AD2111">
        <v>4878</v>
      </c>
    </row>
    <row r="2112" spans="30:30">
      <c r="AD2112">
        <v>4879</v>
      </c>
    </row>
    <row r="2113" spans="30:30">
      <c r="AD2113">
        <v>2613</v>
      </c>
    </row>
    <row r="2114" spans="30:30">
      <c r="AD2114">
        <v>2614</v>
      </c>
    </row>
    <row r="2115" spans="30:30">
      <c r="AD2115">
        <v>2615</v>
      </c>
    </row>
    <row r="2116" spans="30:30">
      <c r="AD2116">
        <v>2616</v>
      </c>
    </row>
    <row r="2117" spans="30:30">
      <c r="AD2117">
        <v>2617</v>
      </c>
    </row>
    <row r="2118" spans="30:30">
      <c r="AD2118">
        <v>2618</v>
      </c>
    </row>
    <row r="2119" spans="30:30">
      <c r="AD2119">
        <v>5231</v>
      </c>
    </row>
    <row r="2120" spans="30:30">
      <c r="AD2120">
        <v>5232</v>
      </c>
    </row>
    <row r="2121" spans="30:30">
      <c r="AD2121">
        <v>5233</v>
      </c>
    </row>
    <row r="2122" spans="30:30">
      <c r="AD2122">
        <v>5234</v>
      </c>
    </row>
    <row r="2123" spans="30:30">
      <c r="AD2123">
        <v>5240</v>
      </c>
    </row>
    <row r="2124" spans="30:30">
      <c r="AD2124">
        <v>5241</v>
      </c>
    </row>
    <row r="2125" spans="30:30">
      <c r="AD2125">
        <v>5242</v>
      </c>
    </row>
    <row r="2126" spans="30:30">
      <c r="AD2126">
        <v>5243</v>
      </c>
    </row>
    <row r="2127" spans="30:30">
      <c r="AD2127">
        <v>5244</v>
      </c>
    </row>
    <row r="2128" spans="30:30">
      <c r="AD2128">
        <v>5245</v>
      </c>
    </row>
    <row r="2129" spans="30:30">
      <c r="AD2129">
        <v>5246</v>
      </c>
    </row>
    <row r="2130" spans="30:30">
      <c r="AD2130">
        <v>5247</v>
      </c>
    </row>
    <row r="2131" spans="30:30">
      <c r="AD2131">
        <v>5248</v>
      </c>
    </row>
    <row r="2132" spans="30:30">
      <c r="AD2132">
        <v>5249</v>
      </c>
    </row>
    <row r="2133" spans="30:30">
      <c r="AD2133">
        <v>5250</v>
      </c>
    </row>
    <row r="2134" spans="30:30">
      <c r="AD2134">
        <v>5251</v>
      </c>
    </row>
    <row r="2135" spans="30:30">
      <c r="AD2135">
        <v>6229</v>
      </c>
    </row>
    <row r="2136" spans="30:30">
      <c r="AD2136">
        <v>6232</v>
      </c>
    </row>
    <row r="2137" spans="30:30">
      <c r="AD2137">
        <v>6233</v>
      </c>
    </row>
    <row r="2138" spans="30:30">
      <c r="AD2138">
        <v>6280</v>
      </c>
    </row>
    <row r="2139" spans="30:30">
      <c r="AD2139" s="1012">
        <v>6281</v>
      </c>
    </row>
    <row r="2140" spans="30:30">
      <c r="AD2140" s="990">
        <v>6282</v>
      </c>
    </row>
    <row r="2141" spans="30:30">
      <c r="AD2141" s="990">
        <v>6284</v>
      </c>
    </row>
    <row r="2142" spans="30:30">
      <c r="AD2142" s="990">
        <v>6285</v>
      </c>
    </row>
    <row r="2143" spans="30:30">
      <c r="AD2143" s="990">
        <v>6330</v>
      </c>
    </row>
    <row r="2144" spans="30:30">
      <c r="AD2144">
        <v>6530</v>
      </c>
    </row>
    <row r="2145" spans="30:30">
      <c r="AD2145">
        <v>6230</v>
      </c>
    </row>
  </sheetData>
  <sheetProtection algorithmName="SHA-512" hashValue="AnXl7aES8K1adiz3raWCgtu5MKGXtiUtenTqx1+mz6DhBG2OGWHdT9tUsq9B7JzDFHDsl3VQXCWmSgU40Ejpmg==" saltValue="BnLZNI3bVVIm5XUwq72q6w==" spinCount="100000" sheet="1" formatRows="0"/>
  <mergeCells count="11">
    <mergeCell ref="AF6:AF9"/>
    <mergeCell ref="AJ6:AJ9"/>
    <mergeCell ref="G10:I10"/>
    <mergeCell ref="G11:I11"/>
    <mergeCell ref="G12:I12"/>
    <mergeCell ref="G14:I14"/>
    <mergeCell ref="G15:I15"/>
    <mergeCell ref="B19:M22"/>
    <mergeCell ref="J10:M11"/>
    <mergeCell ref="J12:M14"/>
    <mergeCell ref="J15:M16"/>
  </mergeCells>
  <dataValidations count="1">
    <dataValidation type="list" allowBlank="1" showInputMessage="1" showErrorMessage="1" sqref="G10:I10" xr:uid="{87EE1F83-D1A3-44A4-8B99-D829F0918E02}">
      <formula1>$P$5:$P$6</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6D2CA-FABD-4275-B390-83F87FC373CE}">
  <sheetPr codeName="Sheet9"/>
  <dimension ref="A1:DK367"/>
  <sheetViews>
    <sheetView workbookViewId="0"/>
  </sheetViews>
  <sheetFormatPr defaultColWidth="12.54296875" defaultRowHeight="15.5"/>
  <cols>
    <col min="1" max="5" width="12.54296875" style="54"/>
    <col min="6" max="6" width="15.7265625" style="54" customWidth="1"/>
    <col min="7" max="7" width="16.26953125" style="54" bestFit="1" customWidth="1"/>
    <col min="8" max="14" width="12.54296875" style="54"/>
    <col min="15" max="15" width="15.7265625" style="54" customWidth="1"/>
    <col min="16" max="16" width="16.26953125" style="54" bestFit="1" customWidth="1"/>
    <col min="17" max="24" width="12.54296875" style="54"/>
    <col min="25" max="25" width="13.26953125" style="54" bestFit="1" customWidth="1"/>
    <col min="26" max="33" width="12.54296875" style="54"/>
    <col min="34" max="34" width="13.26953125" style="54" bestFit="1" customWidth="1"/>
    <col min="35" max="42" width="12.54296875" style="54"/>
    <col min="43" max="43" width="13.26953125" style="54" bestFit="1" customWidth="1"/>
    <col min="44" max="51" width="12.54296875" style="54"/>
    <col min="52" max="52" width="13.26953125" style="54" bestFit="1" customWidth="1"/>
    <col min="53" max="60" width="12.54296875" style="54"/>
    <col min="61" max="61" width="13.26953125" style="54" bestFit="1" customWidth="1"/>
    <col min="62" max="68" width="12.54296875" style="54"/>
    <col min="69" max="69" width="13.26953125" style="54" bestFit="1" customWidth="1"/>
    <col min="70" max="77" width="12.54296875" style="54"/>
    <col min="78" max="78" width="13.26953125" style="54" bestFit="1" customWidth="1"/>
    <col min="79" max="86" width="12.54296875" style="54"/>
    <col min="87" max="87" width="13.26953125" style="54" bestFit="1" customWidth="1"/>
    <col min="88" max="88" width="12.54296875" style="54"/>
    <col min="89" max="89" width="12" style="54" customWidth="1"/>
    <col min="90" max="95" width="12.54296875" style="54"/>
    <col min="96" max="96" width="13.26953125" style="54" bestFit="1" customWidth="1"/>
    <col min="97" max="104" width="12.54296875" style="54"/>
    <col min="105" max="105" width="13.26953125" style="54" bestFit="1" customWidth="1"/>
    <col min="106" max="113" width="12.54296875" style="54"/>
    <col min="114" max="114" width="13.26953125" style="54" bestFit="1" customWidth="1"/>
    <col min="115" max="16384" width="12.54296875" style="54"/>
  </cols>
  <sheetData>
    <row r="1" spans="1:115">
      <c r="A1" s="487" t="s">
        <v>55</v>
      </c>
      <c r="B1" s="487"/>
      <c r="C1" s="487">
        <f>'Comparison Calculator'!$E$7</f>
        <v>1800000</v>
      </c>
      <c r="D1" s="487"/>
      <c r="E1" s="487" t="s">
        <v>328</v>
      </c>
      <c r="F1" s="488">
        <f>'Comparison Calculator'!$E$12</f>
        <v>0</v>
      </c>
      <c r="G1" s="489"/>
      <c r="H1" s="490">
        <f>'Comparison Calculator'!H24</f>
        <v>499</v>
      </c>
      <c r="I1" s="490"/>
      <c r="J1" s="487" t="s">
        <v>55</v>
      </c>
      <c r="K1" s="487"/>
      <c r="L1" s="487">
        <f>'Comparison Calculator'!$E$7</f>
        <v>1800000</v>
      </c>
      <c r="M1" s="487"/>
      <c r="N1" s="487" t="s">
        <v>328</v>
      </c>
      <c r="O1" s="488">
        <f>'Comparison Calculator'!$E$12</f>
        <v>0</v>
      </c>
      <c r="P1" s="489"/>
      <c r="Q1" s="490">
        <f>'Comparison Calculator'!E24</f>
        <v>468</v>
      </c>
      <c r="S1" s="487" t="s">
        <v>55</v>
      </c>
      <c r="T1" s="487"/>
      <c r="U1" s="487">
        <f>'Comparison Calculator'!$E$7</f>
        <v>1800000</v>
      </c>
      <c r="V1" s="487"/>
      <c r="W1" s="487" t="s">
        <v>328</v>
      </c>
      <c r="X1" s="488">
        <f>'Comparison Calculator'!$E$12</f>
        <v>0</v>
      </c>
      <c r="Y1" s="489"/>
      <c r="Z1" s="490">
        <f>'Comparison Calculator'!$K$24</f>
        <v>499</v>
      </c>
      <c r="AB1" s="487" t="s">
        <v>55</v>
      </c>
      <c r="AC1" s="487"/>
      <c r="AD1" s="487">
        <f>'Comparison Calculator'!$E$7</f>
        <v>1800000</v>
      </c>
      <c r="AE1" s="487"/>
      <c r="AF1" s="487" t="s">
        <v>328</v>
      </c>
      <c r="AG1" s="488">
        <f>'Comparison Calculator'!$E$12</f>
        <v>0</v>
      </c>
      <c r="AH1" s="489"/>
      <c r="AI1" s="490">
        <f>'Comparison Calculator'!$N$24</f>
        <v>499</v>
      </c>
      <c r="AK1" s="487" t="s">
        <v>55</v>
      </c>
      <c r="AL1" s="487"/>
      <c r="AM1" s="487">
        <f>'Comparison Calculator'!$E$7</f>
        <v>1800000</v>
      </c>
      <c r="AN1" s="487"/>
      <c r="AO1" s="487" t="s">
        <v>328</v>
      </c>
      <c r="AP1" s="488">
        <f>'Comparison Calculator'!$E$12</f>
        <v>0</v>
      </c>
      <c r="AQ1" s="489"/>
      <c r="AR1" s="490">
        <v>499</v>
      </c>
      <c r="AT1" s="487" t="s">
        <v>55</v>
      </c>
      <c r="AU1" s="487"/>
      <c r="AV1" s="487">
        <f>'Comparison Calculator'!$E$7</f>
        <v>1800000</v>
      </c>
      <c r="AW1" s="487"/>
      <c r="AX1" s="487" t="s">
        <v>328</v>
      </c>
      <c r="AY1" s="488">
        <f>'Comparison Calculator'!$E$12</f>
        <v>0</v>
      </c>
      <c r="AZ1" s="489"/>
      <c r="BA1" s="490">
        <f>'Comparison Calculator'!T24</f>
        <v>499</v>
      </c>
      <c r="BC1" s="487" t="s">
        <v>55</v>
      </c>
      <c r="BD1" s="487"/>
      <c r="BE1" s="487">
        <f>'Comparison Calculator'!$E$7</f>
        <v>1800000</v>
      </c>
      <c r="BF1" s="487"/>
      <c r="BG1" s="487" t="s">
        <v>328</v>
      </c>
      <c r="BH1" s="488">
        <f>'Comparison Calculator'!$E$12</f>
        <v>0</v>
      </c>
      <c r="BI1" s="489"/>
      <c r="BJ1" s="490">
        <f>'Comparison Calculator'!AC24</f>
        <v>499</v>
      </c>
      <c r="BK1" s="487" t="s">
        <v>55</v>
      </c>
      <c r="BL1" s="487"/>
      <c r="BM1" s="487">
        <f>'Comparison Calculator'!$E$7</f>
        <v>1800000</v>
      </c>
      <c r="BN1" s="487"/>
      <c r="BO1" s="487" t="s">
        <v>328</v>
      </c>
      <c r="BP1" s="488">
        <f>'Comparison Calculator'!$E$12</f>
        <v>0</v>
      </c>
      <c r="BQ1" s="489"/>
      <c r="BR1" s="490">
        <f>'Comparison Calculator'!Z24</f>
        <v>499</v>
      </c>
      <c r="BT1" s="487" t="s">
        <v>55</v>
      </c>
      <c r="BU1" s="487"/>
      <c r="BV1" s="487">
        <f>'Comparison Calculator'!$E$7</f>
        <v>1800000</v>
      </c>
      <c r="BW1" s="487"/>
      <c r="BX1" s="487" t="s">
        <v>328</v>
      </c>
      <c r="BY1" s="488">
        <f>'Comparison Calculator'!$E$12</f>
        <v>0</v>
      </c>
      <c r="BZ1" s="489"/>
      <c r="CA1" s="490">
        <f>'Comparison Calculator'!AC24</f>
        <v>499</v>
      </c>
      <c r="CC1" s="487" t="s">
        <v>55</v>
      </c>
      <c r="CD1" s="487"/>
      <c r="CE1" s="487">
        <f>'Comparison Calculator'!$E$7</f>
        <v>1800000</v>
      </c>
      <c r="CF1" s="487"/>
      <c r="CG1" s="487" t="s">
        <v>328</v>
      </c>
      <c r="CH1" s="488">
        <f>'Comparison Calculator'!$E$12</f>
        <v>0</v>
      </c>
      <c r="CI1" s="489"/>
      <c r="CJ1" s="490">
        <f>'Comparison Calculator'!H43</f>
        <v>468</v>
      </c>
      <c r="CL1" s="487" t="s">
        <v>55</v>
      </c>
      <c r="CM1" s="487"/>
      <c r="CN1" s="487">
        <f>'Comparison Calculator'!$E$7</f>
        <v>1800000</v>
      </c>
      <c r="CO1" s="487"/>
      <c r="CP1" s="487" t="s">
        <v>328</v>
      </c>
      <c r="CQ1" s="488">
        <f>'Comparison Calculator'!$E$12</f>
        <v>0</v>
      </c>
      <c r="CR1" s="489"/>
      <c r="CS1" s="490">
        <f>'Comparison Calculator'!N43</f>
        <v>499</v>
      </c>
      <c r="CU1" s="487" t="s">
        <v>55</v>
      </c>
      <c r="CV1" s="487"/>
      <c r="CW1" s="487">
        <f>'Comparison Calculator'!$E$7</f>
        <v>1800000</v>
      </c>
      <c r="CX1" s="487"/>
      <c r="CY1" s="487" t="s">
        <v>328</v>
      </c>
      <c r="CZ1" s="488">
        <f>'Comparison Calculator'!$E$12</f>
        <v>0</v>
      </c>
      <c r="DA1" s="489"/>
      <c r="DB1" s="490">
        <f>'Comparison Calculator'!$W$43</f>
        <v>499</v>
      </c>
      <c r="DD1" s="487" t="s">
        <v>55</v>
      </c>
      <c r="DE1" s="487"/>
      <c r="DF1" s="487">
        <f>'Comparison Calculator'!$E$7</f>
        <v>1800000</v>
      </c>
      <c r="DG1" s="487"/>
      <c r="DH1" s="487" t="s">
        <v>328</v>
      </c>
      <c r="DI1" s="488">
        <f>'Comparison Calculator'!$E$12</f>
        <v>0</v>
      </c>
      <c r="DJ1" s="489"/>
      <c r="DK1" s="490">
        <f>'Comparison Calculator'!AF43</f>
        <v>499</v>
      </c>
    </row>
    <row r="2" spans="1:115">
      <c r="A2" s="1168" t="s">
        <v>329</v>
      </c>
      <c r="B2" s="1168"/>
      <c r="C2" s="1168"/>
      <c r="D2" s="1168"/>
      <c r="E2" s="1168"/>
      <c r="F2" s="1168"/>
      <c r="G2" s="1168"/>
      <c r="H2" s="1168"/>
      <c r="I2" s="491"/>
      <c r="J2" s="1168" t="s">
        <v>330</v>
      </c>
      <c r="K2" s="1168"/>
      <c r="L2" s="1168"/>
      <c r="M2" s="1168"/>
      <c r="N2" s="1168"/>
      <c r="O2" s="1168"/>
      <c r="P2" s="1168"/>
      <c r="Q2" s="1168"/>
      <c r="S2" s="1168" t="s">
        <v>331</v>
      </c>
      <c r="T2" s="1168"/>
      <c r="U2" s="1168"/>
      <c r="V2" s="1168"/>
      <c r="W2" s="1168"/>
      <c r="X2" s="1168"/>
      <c r="Y2" s="1168"/>
      <c r="Z2" s="1168"/>
      <c r="AB2" s="1168" t="s">
        <v>332</v>
      </c>
      <c r="AC2" s="1168"/>
      <c r="AD2" s="1168"/>
      <c r="AE2" s="1168"/>
      <c r="AF2" s="1168"/>
      <c r="AG2" s="1168"/>
      <c r="AH2" s="1168"/>
      <c r="AI2" s="1168"/>
      <c r="AK2" s="1168" t="s">
        <v>333</v>
      </c>
      <c r="AL2" s="1168"/>
      <c r="AM2" s="1168"/>
      <c r="AN2" s="1168"/>
      <c r="AO2" s="1168"/>
      <c r="AP2" s="1168"/>
      <c r="AQ2" s="1168"/>
      <c r="AR2" s="1168"/>
      <c r="AT2" s="1168" t="s">
        <v>334</v>
      </c>
      <c r="AU2" s="1168"/>
      <c r="AV2" s="1168"/>
      <c r="AW2" s="1168"/>
      <c r="AX2" s="1168"/>
      <c r="AY2" s="1168"/>
      <c r="AZ2" s="1168"/>
      <c r="BA2" s="1168"/>
      <c r="BC2" s="1168" t="s">
        <v>335</v>
      </c>
      <c r="BD2" s="1168"/>
      <c r="BE2" s="1168"/>
      <c r="BF2" s="1168"/>
      <c r="BG2" s="1168"/>
      <c r="BH2" s="1168"/>
      <c r="BI2" s="1168"/>
      <c r="BJ2" s="1168"/>
      <c r="BK2" s="1168" t="s">
        <v>336</v>
      </c>
      <c r="BL2" s="1168"/>
      <c r="BM2" s="1168"/>
      <c r="BN2" s="1168"/>
      <c r="BO2" s="1168"/>
      <c r="BP2" s="1168"/>
      <c r="BQ2" s="1168"/>
      <c r="BR2" s="1168"/>
      <c r="BT2" s="1168" t="s">
        <v>337</v>
      </c>
      <c r="BU2" s="1168"/>
      <c r="BV2" s="1168"/>
      <c r="BW2" s="1168"/>
      <c r="BX2" s="1168"/>
      <c r="BY2" s="1168"/>
      <c r="BZ2" s="1168"/>
      <c r="CA2" s="1168"/>
      <c r="CC2" s="1168" t="s">
        <v>338</v>
      </c>
      <c r="CD2" s="1168"/>
      <c r="CE2" s="1168"/>
      <c r="CF2" s="1168"/>
      <c r="CG2" s="1168"/>
      <c r="CH2" s="1168"/>
      <c r="CI2" s="1168"/>
      <c r="CJ2" s="1168"/>
      <c r="CL2" s="1168" t="s">
        <v>339</v>
      </c>
      <c r="CM2" s="1168"/>
      <c r="CN2" s="1168"/>
      <c r="CO2" s="1168"/>
      <c r="CP2" s="1168"/>
      <c r="CQ2" s="1168"/>
      <c r="CR2" s="1168"/>
      <c r="CS2" s="1168"/>
      <c r="CU2" s="1168" t="s">
        <v>340</v>
      </c>
      <c r="CV2" s="1168"/>
      <c r="CW2" s="1168"/>
      <c r="CX2" s="1168"/>
      <c r="CY2" s="1168"/>
      <c r="CZ2" s="1168"/>
      <c r="DA2" s="1168"/>
      <c r="DB2" s="1168"/>
      <c r="DD2" s="1168" t="s">
        <v>341</v>
      </c>
      <c r="DE2" s="1168"/>
      <c r="DF2" s="1168"/>
      <c r="DG2" s="1168"/>
      <c r="DH2" s="1168"/>
      <c r="DI2" s="1168"/>
      <c r="DJ2" s="1168"/>
      <c r="DK2" s="1168"/>
    </row>
    <row r="3" spans="1:115">
      <c r="A3" s="492"/>
      <c r="B3" s="492"/>
      <c r="C3" s="492"/>
      <c r="D3" s="492"/>
      <c r="E3" s="492"/>
      <c r="F3" s="492"/>
      <c r="G3" s="493" t="s">
        <v>29</v>
      </c>
      <c r="H3" s="493" t="s">
        <v>270</v>
      </c>
      <c r="I3" s="489"/>
      <c r="J3" s="492"/>
      <c r="K3" s="492"/>
      <c r="L3" s="492"/>
      <c r="M3" s="492"/>
      <c r="N3" s="492"/>
      <c r="O3" s="492"/>
      <c r="P3" s="493" t="s">
        <v>29</v>
      </c>
      <c r="Q3" s="493" t="s">
        <v>270</v>
      </c>
      <c r="S3" s="492"/>
      <c r="T3" s="492"/>
      <c r="U3" s="492"/>
      <c r="V3" s="492"/>
      <c r="W3" s="492"/>
      <c r="X3" s="492"/>
      <c r="Y3" s="493" t="s">
        <v>29</v>
      </c>
      <c r="Z3" s="493" t="s">
        <v>270</v>
      </c>
      <c r="AB3" s="492"/>
      <c r="AC3" s="492"/>
      <c r="AD3" s="492"/>
      <c r="AE3" s="492"/>
      <c r="AF3" s="492"/>
      <c r="AG3" s="492"/>
      <c r="AH3" s="493" t="s">
        <v>29</v>
      </c>
      <c r="AI3" s="493" t="s">
        <v>270</v>
      </c>
      <c r="AK3" s="492"/>
      <c r="AL3" s="492"/>
      <c r="AM3" s="492"/>
      <c r="AN3" s="492"/>
      <c r="AO3" s="492"/>
      <c r="AP3" s="492"/>
      <c r="AQ3" s="493" t="s">
        <v>29</v>
      </c>
      <c r="AR3" s="493" t="s">
        <v>270</v>
      </c>
      <c r="AT3" s="492"/>
      <c r="AU3" s="492"/>
      <c r="AV3" s="492"/>
      <c r="AW3" s="492"/>
      <c r="AX3" s="492"/>
      <c r="AY3" s="492"/>
      <c r="AZ3" s="493" t="s">
        <v>29</v>
      </c>
      <c r="BA3" s="493" t="s">
        <v>270</v>
      </c>
      <c r="BC3" s="492"/>
      <c r="BD3" s="492"/>
      <c r="BE3" s="492"/>
      <c r="BF3" s="492"/>
      <c r="BG3" s="492"/>
      <c r="BH3" s="492"/>
      <c r="BI3" s="493" t="s">
        <v>29</v>
      </c>
      <c r="BJ3" s="493" t="s">
        <v>270</v>
      </c>
      <c r="BK3" s="492"/>
      <c r="BL3" s="492"/>
      <c r="BM3" s="492"/>
      <c r="BN3" s="492"/>
      <c r="BO3" s="492"/>
      <c r="BP3" s="492"/>
      <c r="BQ3" s="493" t="s">
        <v>29</v>
      </c>
      <c r="BR3" s="493" t="s">
        <v>270</v>
      </c>
      <c r="BT3" s="492"/>
      <c r="BU3" s="492"/>
      <c r="BV3" s="492"/>
      <c r="BW3" s="492"/>
      <c r="BX3" s="492"/>
      <c r="BY3" s="492"/>
      <c r="BZ3" s="493" t="s">
        <v>29</v>
      </c>
      <c r="CA3" s="493" t="s">
        <v>270</v>
      </c>
      <c r="CC3" s="492"/>
      <c r="CD3" s="492"/>
      <c r="CE3" s="492"/>
      <c r="CF3" s="492"/>
      <c r="CG3" s="492"/>
      <c r="CH3" s="492"/>
      <c r="CI3" s="493" t="s">
        <v>29</v>
      </c>
      <c r="CJ3" s="493" t="s">
        <v>270</v>
      </c>
      <c r="CL3" s="492"/>
      <c r="CM3" s="492"/>
      <c r="CN3" s="492"/>
      <c r="CO3" s="492"/>
      <c r="CP3" s="492"/>
      <c r="CQ3" s="492"/>
      <c r="CR3" s="493" t="s">
        <v>29</v>
      </c>
      <c r="CS3" s="493" t="s">
        <v>270</v>
      </c>
      <c r="CU3" s="492"/>
      <c r="CV3" s="492"/>
      <c r="CW3" s="492"/>
      <c r="CX3" s="492"/>
      <c r="CY3" s="492"/>
      <c r="CZ3" s="492"/>
      <c r="DA3" s="493" t="s">
        <v>29</v>
      </c>
      <c r="DB3" s="493" t="s">
        <v>270</v>
      </c>
      <c r="DD3" s="492"/>
      <c r="DE3" s="492"/>
      <c r="DF3" s="492"/>
      <c r="DG3" s="492"/>
      <c r="DH3" s="492"/>
      <c r="DI3" s="492"/>
      <c r="DJ3" s="493" t="s">
        <v>29</v>
      </c>
      <c r="DK3" s="493" t="s">
        <v>270</v>
      </c>
    </row>
    <row r="4" spans="1:115" ht="43.5">
      <c r="A4" s="494" t="s">
        <v>342</v>
      </c>
      <c r="B4" s="494" t="s">
        <v>343</v>
      </c>
      <c r="C4" s="494" t="s">
        <v>344</v>
      </c>
      <c r="D4" s="494" t="s">
        <v>345</v>
      </c>
      <c r="E4" s="494" t="s">
        <v>180</v>
      </c>
      <c r="F4" s="494" t="s">
        <v>346</v>
      </c>
      <c r="G4" s="495">
        <f>Rates!D12</f>
        <v>4.48E-2</v>
      </c>
      <c r="H4" s="495">
        <f>G4+Rates!B20</f>
        <v>4.7800000000000002E-2</v>
      </c>
      <c r="I4" s="496"/>
      <c r="J4" s="494" t="s">
        <v>342</v>
      </c>
      <c r="K4" s="494" t="s">
        <v>343</v>
      </c>
      <c r="L4" s="494" t="s">
        <v>344</v>
      </c>
      <c r="M4" s="494" t="s">
        <v>345</v>
      </c>
      <c r="N4" s="494" t="s">
        <v>180</v>
      </c>
      <c r="O4" s="494" t="s">
        <v>346</v>
      </c>
      <c r="P4" s="495">
        <f>Rates!L12</f>
        <v>4.48E-2</v>
      </c>
      <c r="Q4" s="495">
        <f>P4+Rates!J20</f>
        <v>4.7800000000000002E-2</v>
      </c>
      <c r="S4" s="494" t="s">
        <v>342</v>
      </c>
      <c r="T4" s="494" t="s">
        <v>343</v>
      </c>
      <c r="U4" s="494" t="s">
        <v>344</v>
      </c>
      <c r="V4" s="494" t="s">
        <v>345</v>
      </c>
      <c r="W4" s="494" t="s">
        <v>180</v>
      </c>
      <c r="X4" s="494" t="s">
        <v>346</v>
      </c>
      <c r="Y4" s="495"/>
      <c r="Z4" s="495"/>
      <c r="AB4" s="494" t="s">
        <v>342</v>
      </c>
      <c r="AC4" s="494" t="s">
        <v>343</v>
      </c>
      <c r="AD4" s="494" t="s">
        <v>344</v>
      </c>
      <c r="AE4" s="494" t="s">
        <v>345</v>
      </c>
      <c r="AF4" s="494" t="s">
        <v>180</v>
      </c>
      <c r="AG4" s="494" t="s">
        <v>346</v>
      </c>
      <c r="AH4" s="495"/>
      <c r="AI4" s="495"/>
      <c r="AK4" s="494" t="s">
        <v>342</v>
      </c>
      <c r="AL4" s="494" t="s">
        <v>343</v>
      </c>
      <c r="AM4" s="494" t="s">
        <v>344</v>
      </c>
      <c r="AN4" s="494" t="s">
        <v>345</v>
      </c>
      <c r="AO4" s="494" t="s">
        <v>180</v>
      </c>
      <c r="AP4" s="494" t="s">
        <v>346</v>
      </c>
      <c r="AQ4" s="495"/>
      <c r="AR4" s="495"/>
      <c r="AT4" s="494" t="s">
        <v>342</v>
      </c>
      <c r="AU4" s="494" t="s">
        <v>343</v>
      </c>
      <c r="AV4" s="494" t="s">
        <v>344</v>
      </c>
      <c r="AW4" s="494" t="s">
        <v>345</v>
      </c>
      <c r="AX4" s="494" t="s">
        <v>180</v>
      </c>
      <c r="AY4" s="494" t="s">
        <v>346</v>
      </c>
      <c r="AZ4" s="495"/>
      <c r="BA4" s="495"/>
      <c r="BC4" s="494" t="s">
        <v>342</v>
      </c>
      <c r="BD4" s="494" t="s">
        <v>343</v>
      </c>
      <c r="BE4" s="494" t="s">
        <v>344</v>
      </c>
      <c r="BF4" s="494" t="s">
        <v>345</v>
      </c>
      <c r="BG4" s="494" t="s">
        <v>180</v>
      </c>
      <c r="BH4" s="494" t="s">
        <v>346</v>
      </c>
      <c r="BI4" s="495"/>
      <c r="BJ4" s="495"/>
      <c r="BK4" s="494" t="s">
        <v>342</v>
      </c>
      <c r="BL4" s="494" t="s">
        <v>343</v>
      </c>
      <c r="BM4" s="494" t="s">
        <v>344</v>
      </c>
      <c r="BN4" s="494" t="s">
        <v>345</v>
      </c>
      <c r="BO4" s="494" t="s">
        <v>180</v>
      </c>
      <c r="BP4" s="494" t="s">
        <v>346</v>
      </c>
      <c r="BQ4" s="495"/>
      <c r="BR4" s="495"/>
      <c r="BT4" s="494" t="s">
        <v>342</v>
      </c>
      <c r="BU4" s="494" t="s">
        <v>343</v>
      </c>
      <c r="BV4" s="494" t="s">
        <v>344</v>
      </c>
      <c r="BW4" s="494" t="s">
        <v>345</v>
      </c>
      <c r="BX4" s="494" t="s">
        <v>180</v>
      </c>
      <c r="BY4" s="494" t="s">
        <v>346</v>
      </c>
      <c r="BZ4" s="495"/>
      <c r="CA4" s="495"/>
      <c r="CC4" s="494" t="s">
        <v>342</v>
      </c>
      <c r="CD4" s="494" t="s">
        <v>343</v>
      </c>
      <c r="CE4" s="494" t="s">
        <v>344</v>
      </c>
      <c r="CF4" s="494" t="s">
        <v>345</v>
      </c>
      <c r="CG4" s="494" t="s">
        <v>180</v>
      </c>
      <c r="CH4" s="494" t="s">
        <v>346</v>
      </c>
      <c r="CI4" s="495"/>
      <c r="CJ4" s="495"/>
      <c r="CL4" s="494" t="s">
        <v>342</v>
      </c>
      <c r="CM4" s="494" t="s">
        <v>343</v>
      </c>
      <c r="CN4" s="494" t="s">
        <v>344</v>
      </c>
      <c r="CO4" s="494" t="s">
        <v>345</v>
      </c>
      <c r="CP4" s="494" t="s">
        <v>180</v>
      </c>
      <c r="CQ4" s="494" t="s">
        <v>346</v>
      </c>
      <c r="CR4" s="495"/>
      <c r="CS4" s="495"/>
      <c r="CU4" s="494" t="s">
        <v>342</v>
      </c>
      <c r="CV4" s="494" t="s">
        <v>343</v>
      </c>
      <c r="CW4" s="494" t="s">
        <v>344</v>
      </c>
      <c r="CX4" s="494" t="s">
        <v>345</v>
      </c>
      <c r="CY4" s="494" t="s">
        <v>180</v>
      </c>
      <c r="CZ4" s="494" t="s">
        <v>346</v>
      </c>
      <c r="DA4" s="495"/>
      <c r="DB4" s="495"/>
      <c r="DD4" s="494" t="s">
        <v>342</v>
      </c>
      <c r="DE4" s="494" t="s">
        <v>343</v>
      </c>
      <c r="DF4" s="494" t="s">
        <v>344</v>
      </c>
      <c r="DG4" s="494" t="s">
        <v>345</v>
      </c>
      <c r="DH4" s="494" t="s">
        <v>180</v>
      </c>
      <c r="DI4" s="494" t="s">
        <v>346</v>
      </c>
      <c r="DJ4" s="495"/>
      <c r="DK4" s="495"/>
    </row>
    <row r="5" spans="1:115">
      <c r="A5" s="492">
        <v>1</v>
      </c>
      <c r="B5" s="492">
        <v>1</v>
      </c>
      <c r="C5" s="497">
        <f>IF(('Comparison Calculator'!$E$11-B5)&gt;=0,0,IFERROR(-PPMT($G$5/12,A5,$F$1*12,$C$1),0))</f>
        <v>0</v>
      </c>
      <c r="D5" s="497">
        <f>IF(('Comparison Calculator'!$G$11-B5)&gt;=0,$C$1*$G$5/12,IFERROR(-IPMT($G$5/12,A5,$F$1*12,$C$1,0),0))</f>
        <v>0</v>
      </c>
      <c r="E5" s="497">
        <f>C5+D5</f>
        <v>0</v>
      </c>
      <c r="F5" s="497">
        <f>$C$1-C5</f>
        <v>1800000</v>
      </c>
      <c r="G5" s="498" t="e">
        <f>Rates!D22</f>
        <v>#N/A</v>
      </c>
      <c r="H5" s="499"/>
      <c r="I5" s="500"/>
      <c r="J5" s="492">
        <v>1</v>
      </c>
      <c r="K5" s="492">
        <v>1</v>
      </c>
      <c r="L5" s="497">
        <f>IF(('Comparison Calculator'!$E$11-K5)&gt;=0,0,IFERROR(-PPMT($P$5/12,J5,$F$1*12,$C$1),0))</f>
        <v>0</v>
      </c>
      <c r="M5" s="497">
        <f>IF(('Comparison Calculator'!$G$11-K5)&gt;=0,$C$1*$P$5/12,IFERROR(-IPMT($P$5/12,J5,$F$1*12,$C$1,0),0))</f>
        <v>0</v>
      </c>
      <c r="N5" s="497">
        <f>L5+M5</f>
        <v>0</v>
      </c>
      <c r="O5" s="497">
        <f>$C$1-L5</f>
        <v>1800000</v>
      </c>
      <c r="P5" s="498" t="e">
        <f>Rates!L22</f>
        <v>#N/A</v>
      </c>
      <c r="Q5" s="499"/>
      <c r="S5" s="492">
        <v>1</v>
      </c>
      <c r="T5" s="492">
        <v>1</v>
      </c>
      <c r="U5" s="497">
        <f>IF(('Comparison Calculator'!$E$11-T5)&gt;=0,0,IFERROR(-PPMT($Y$5/12,S5,$F$1*12,$C$1),0))</f>
        <v>0</v>
      </c>
      <c r="V5" s="497">
        <f>IF(('Comparison Calculator'!$G$11-T5)&gt;=0,$C$1*$Y$5/12,IFERROR(-IPMT($Y$5/12,S5,$F$1*12,$C$1,0),0))</f>
        <v>0</v>
      </c>
      <c r="W5" s="497">
        <f>U5+V5</f>
        <v>0</v>
      </c>
      <c r="X5" s="497">
        <f>$C$1-U5</f>
        <v>1800000</v>
      </c>
      <c r="Y5" s="498" t="e">
        <f>Rates!$E$43</f>
        <v>#N/A</v>
      </c>
      <c r="Z5" s="499"/>
      <c r="AB5" s="492">
        <v>1</v>
      </c>
      <c r="AC5" s="492">
        <v>1</v>
      </c>
      <c r="AD5" s="497">
        <f>IF(('Comparison Calculator'!$E$11-AC5)&gt;=0,0,IFERROR(-PPMT($AH$5/12,AB5,$F$1*12,$C$1),0))</f>
        <v>0</v>
      </c>
      <c r="AE5" s="497">
        <f>IF(('Comparison Calculator'!$G$11-AC5)&gt;=0,$C$1*$AH$5/12,IFERROR(-IPMT($AH$5/12,AB5,$F$1*12,$C$1,0),0))</f>
        <v>0</v>
      </c>
      <c r="AF5" s="497">
        <f>AD5+AE5</f>
        <v>0</v>
      </c>
      <c r="AG5" s="497">
        <f>$C$1-AD5</f>
        <v>1800000</v>
      </c>
      <c r="AH5" s="498" t="e">
        <f>Rates!$M$43</f>
        <v>#N/A</v>
      </c>
      <c r="AI5" s="499"/>
      <c r="AK5" s="492">
        <v>1</v>
      </c>
      <c r="AL5" s="492">
        <v>1</v>
      </c>
      <c r="AM5" s="497">
        <f>IF(('Comparison Calculator'!$E$11-AL5)&gt;=0,0,IFERROR(-PPMT($AQ$5/12,AK5,$F$1*12,$C$1),0))</f>
        <v>0</v>
      </c>
      <c r="AN5" s="497">
        <f>IF(('Comparison Calculator'!$G$11-AL5)&gt;=0,$C$1*$AQ$5/12,IFERROR(-IPMT($AQ$5/12,AK5,$F$1*12,$C$1,0),0))</f>
        <v>0</v>
      </c>
      <c r="AO5" s="497">
        <f>AM5+AN5</f>
        <v>0</v>
      </c>
      <c r="AP5" s="497">
        <f>$C$1-AM5</f>
        <v>1800000</v>
      </c>
      <c r="AQ5" s="498">
        <f>Rates!$C$65</f>
        <v>5.3600000000000002E-2</v>
      </c>
      <c r="AR5" s="499"/>
      <c r="AT5" s="492">
        <v>1</v>
      </c>
      <c r="AU5" s="492">
        <v>1</v>
      </c>
      <c r="AV5" s="497">
        <f>IF(('Comparison Calculator'!$E$11-AU5)&gt;=0,0,IFERROR(-PPMT($AZ$5/12,AT5,$F$1*12,$C$1),0))</f>
        <v>0</v>
      </c>
      <c r="AW5" s="497">
        <f>IF(('Comparison Calculator'!$G$11-AU5)&gt;=0,$C$1*$AZ$5/12,IFERROR(-IPMT($AZ$5/12,AT5,$F$1*12,$C$1,0),0))</f>
        <v>0</v>
      </c>
      <c r="AX5" s="497">
        <f>AV5+AW5</f>
        <v>0</v>
      </c>
      <c r="AY5" s="497">
        <f>$C$1-AV5</f>
        <v>1800000</v>
      </c>
      <c r="AZ5" s="498" t="e">
        <f>Rates!$L$65</f>
        <v>#N/A</v>
      </c>
      <c r="BA5" s="499"/>
      <c r="BB5" s="778"/>
      <c r="BC5" s="492">
        <v>1</v>
      </c>
      <c r="BD5" s="492">
        <v>1</v>
      </c>
      <c r="BE5" s="497">
        <f>IF(('Comparison Calculator'!$E$11-BD5)&gt;=0,0,IFERROR(-PPMT($BI$5/12,BC5,$F$1*12,$C$1),0))</f>
        <v>0</v>
      </c>
      <c r="BF5" s="497">
        <f>IF(('Comparison Calculator'!$G$11-BD5)&gt;=0,$C$1*$BI$5/12,IFERROR(-IPMT($BI$5/12,BC5,$F$1*12,$C$1,0),0))</f>
        <v>0</v>
      </c>
      <c r="BG5" s="497">
        <f>BE5+BF5</f>
        <v>0</v>
      </c>
      <c r="BH5" s="497">
        <f>$C$1-BE5</f>
        <v>1800000</v>
      </c>
      <c r="BI5" s="498">
        <f>'Comparison Calculator'!N12</f>
        <v>4.9799999999999997E-2</v>
      </c>
      <c r="BJ5" s="499"/>
      <c r="BK5" s="492">
        <v>1</v>
      </c>
      <c r="BL5" s="492">
        <v>1</v>
      </c>
      <c r="BM5" s="497">
        <f>IF(('Comparison Calculator'!$E$11-BL5)&gt;=0,0,IFERROR(-PPMT($BQ$5/12,BK5,$F$1*12,$C$1),0))</f>
        <v>0</v>
      </c>
      <c r="BN5" s="497">
        <f>IF(('Comparison Calculator'!$G$11-BL5)&gt;=0,$C$1*$BQ$5/12,IFERROR(-IPMT($BQ$5/12,BK5,$F$1*12,$C$1,0),0))</f>
        <v>0</v>
      </c>
      <c r="BO5" s="497">
        <f>BM5+BN5</f>
        <v>0</v>
      </c>
      <c r="BP5" s="497">
        <f>$C$1-BM5</f>
        <v>1800000</v>
      </c>
      <c r="BQ5" s="498">
        <f>Rates!$C$85</f>
        <v>6.4799999999999996E-2</v>
      </c>
      <c r="BR5" s="499"/>
      <c r="BT5" s="492">
        <v>1</v>
      </c>
      <c r="BU5" s="492">
        <v>1</v>
      </c>
      <c r="BV5" s="497">
        <f>IF(('Comparison Calculator'!$E$11-BU5)&gt;=0,0,IFERROR(-PPMT($BZ$5/12,BT5,$F$1*12,$C$1),0))</f>
        <v>0</v>
      </c>
      <c r="BW5" s="497">
        <f>IF(('Comparison Calculator'!$G$11-BU5)&gt;=0,$C$1*$BZ$5/12,IFERROR(-IPMT($BZ$5/12,BT5,$F$1*12,$C$1,0),0))</f>
        <v>0</v>
      </c>
      <c r="BX5" s="497">
        <f>BV5+BW5</f>
        <v>0</v>
      </c>
      <c r="BY5" s="497">
        <f>$C$1-BV5</f>
        <v>1800000</v>
      </c>
      <c r="BZ5" s="498">
        <f>Rates!$K$85</f>
        <v>6.4799999999999996E-2</v>
      </c>
      <c r="CA5" s="499"/>
      <c r="CC5" s="492">
        <v>1</v>
      </c>
      <c r="CD5" s="492">
        <v>1</v>
      </c>
      <c r="CE5" s="497">
        <f>IF(('Comparison Calculator'!$E$11-CD5)&gt;=0,0,IFERROR(-PPMT($CI$5/12,CC5,$F$1*12,$C$1),0))</f>
        <v>0</v>
      </c>
      <c r="CF5" s="497">
        <f>IF(('Comparison Calculator'!$G$11-CD5)&gt;=0,$C$1*$CI$5/12,IFERROR(-IPMT($CI$5/12,CC5,$F$1*12,$C$1,0),0))</f>
        <v>0</v>
      </c>
      <c r="CG5" s="497">
        <f>CE5+CF5</f>
        <v>0</v>
      </c>
      <c r="CH5" s="497">
        <f>$C$1-CE5</f>
        <v>1800000</v>
      </c>
      <c r="CI5" s="498" t="e">
        <f>Rates!$C$104</f>
        <v>#N/A</v>
      </c>
      <c r="CJ5" s="499"/>
      <c r="CL5" s="492">
        <v>1</v>
      </c>
      <c r="CM5" s="492">
        <v>1</v>
      </c>
      <c r="CN5" s="497">
        <f>IF(('Comparison Calculator'!$E$11-CM5)&gt;=0,0,IFERROR(-PPMT($CR$5/12,CL5,$F$1*12,$C$1),0))</f>
        <v>0</v>
      </c>
      <c r="CO5" s="497">
        <f>IF(('Comparison Calculator'!$G$11-CM5)&gt;=0,$C$1*$CR$5/12,IFERROR(-IPMT($CR$5/12,CL5,$F$1*12,$C$1,0),0))</f>
        <v>0</v>
      </c>
      <c r="CP5" s="497">
        <f>CN5+CO5</f>
        <v>0</v>
      </c>
      <c r="CQ5" s="497">
        <f>$C$1-CN5</f>
        <v>1800000</v>
      </c>
      <c r="CR5" s="498" t="e">
        <f>Rates!$B$125</f>
        <v>#N/A</v>
      </c>
      <c r="CS5" s="499"/>
      <c r="CU5" s="492">
        <v>1</v>
      </c>
      <c r="CV5" s="492">
        <v>1</v>
      </c>
      <c r="CW5" s="497">
        <f>IF(('Comparison Calculator'!$E$11-CV5)&gt;=0,0,IFERROR(-PPMT($DA$5/12,CU5,$F$1*12,$C$1),0))</f>
        <v>0</v>
      </c>
      <c r="CX5" s="497">
        <f>IF(('Comparison Calculator'!$G$11-CV5)&gt;=0,$C$1*$DA$5/12,IFERROR(-IPMT($DA$5/12,CU5,$F$1*12,$C$1,0),0))</f>
        <v>0</v>
      </c>
      <c r="CY5" s="497">
        <f>CW5+CX5</f>
        <v>0</v>
      </c>
      <c r="CZ5" s="497">
        <f>$C$1-CW5</f>
        <v>1800000</v>
      </c>
      <c r="DA5" s="498" t="e">
        <f>Rates!$C$144</f>
        <v>#N/A</v>
      </c>
      <c r="DB5" s="499"/>
      <c r="DD5" s="492">
        <v>1</v>
      </c>
      <c r="DE5" s="492">
        <v>1</v>
      </c>
      <c r="DF5" s="497">
        <f>IF(('Comparison Calculator'!$E$11-DE5)&gt;=0,0,IFERROR(-PPMT($DJ$5/12,DD5,$F$1*12,$C$1),0))</f>
        <v>0</v>
      </c>
      <c r="DG5" s="497">
        <f>IF(('Comparison Calculator'!$G$11-DE5)&gt;=0,$C$1*$DJ$5/12,IFERROR(-IPMT($DJ$5/12,DD5,$F$1*12,$C$1,0),0))</f>
        <v>0</v>
      </c>
      <c r="DH5" s="497">
        <f>DF5+DG5</f>
        <v>0</v>
      </c>
      <c r="DI5" s="497">
        <f>$C$1-DF5</f>
        <v>1800000</v>
      </c>
      <c r="DJ5" s="498" t="e">
        <f>Rates!$C$164</f>
        <v>#N/A</v>
      </c>
      <c r="DK5" s="499"/>
    </row>
    <row r="6" spans="1:115">
      <c r="A6" s="492">
        <v>2</v>
      </c>
      <c r="B6" s="492">
        <v>1</v>
      </c>
      <c r="C6" s="497">
        <f>IF(('Comparison Calculator'!$E$11-B6)&gt;=0,0,IFERROR(-PPMT($G$5/12,A6,$F$1*12,$C$1),0))</f>
        <v>0</v>
      </c>
      <c r="D6" s="497">
        <f>IF(('Comparison Calculator'!$G$11-B6)&gt;=0,$C$1*$G$5/12,IFERROR(-IPMT($G$5/12,A6,$F$1*12,$C$1,0),0))</f>
        <v>0</v>
      </c>
      <c r="E6" s="497">
        <f t="shared" ref="E6:E69" si="0">C6+D6</f>
        <v>0</v>
      </c>
      <c r="F6" s="497">
        <f>F5-C6</f>
        <v>1800000</v>
      </c>
      <c r="G6" s="493"/>
      <c r="H6" s="493"/>
      <c r="I6" s="489"/>
      <c r="J6" s="492">
        <v>2</v>
      </c>
      <c r="K6" s="492">
        <v>1</v>
      </c>
      <c r="L6" s="497">
        <f>IF(('Comparison Calculator'!$E$11-K6)&gt;=0,0,IFERROR(-PPMT($P$5/12,J6,$F$1*12,$C$1),0))</f>
        <v>0</v>
      </c>
      <c r="M6" s="497">
        <f>IF(('Comparison Calculator'!$G$11-K6)&gt;=0,$C$1*$P$5/12,IFERROR(-IPMT($P$5/12,J6,$F$1*12,$C$1,0),0))</f>
        <v>0</v>
      </c>
      <c r="N6" s="497">
        <f t="shared" ref="N6:N69" si="1">L6+M6</f>
        <v>0</v>
      </c>
      <c r="O6" s="497">
        <f>O5-L6</f>
        <v>1800000</v>
      </c>
      <c r="P6" s="493"/>
      <c r="Q6" s="493"/>
      <c r="S6" s="492">
        <v>2</v>
      </c>
      <c r="T6" s="492">
        <v>1</v>
      </c>
      <c r="U6" s="497">
        <f>IF(('Comparison Calculator'!$E$11-T6)&gt;=0,0,IFERROR(-PPMT($Y$5/12,S6,$F$1*12,$C$1),0))</f>
        <v>0</v>
      </c>
      <c r="V6" s="497">
        <f>IF(('Comparison Calculator'!$G$11-T6)&gt;=0,$C$1*$Y$5/12,IFERROR(-IPMT($Y$5/12,S6,$F$1*12,$C$1,0),0))</f>
        <v>0</v>
      </c>
      <c r="W6" s="497">
        <f t="shared" ref="W6:W69" si="2">U6+V6</f>
        <v>0</v>
      </c>
      <c r="X6" s="497">
        <f>X5-U6</f>
        <v>1800000</v>
      </c>
      <c r="Y6" s="493"/>
      <c r="Z6" s="493"/>
      <c r="AB6" s="492">
        <v>2</v>
      </c>
      <c r="AC6" s="492">
        <v>1</v>
      </c>
      <c r="AD6" s="497">
        <f>IF(('Comparison Calculator'!$E$11-AC6)&gt;=0,0,IFERROR(-PPMT($AH$5/12,AB6,$F$1*12,$C$1),0))</f>
        <v>0</v>
      </c>
      <c r="AE6" s="497">
        <f>IF(('Comparison Calculator'!$G$11-AC6)&gt;=0,$C$1*$AH$5/12,IFERROR(-IPMT($AH$5/12,AB6,$F$1*12,$C$1,0),0))</f>
        <v>0</v>
      </c>
      <c r="AF6" s="497">
        <f t="shared" ref="AF6:AF69" si="3">AD6+AE6</f>
        <v>0</v>
      </c>
      <c r="AG6" s="497">
        <f>AG5-AD6</f>
        <v>1800000</v>
      </c>
      <c r="AH6" s="493"/>
      <c r="AI6" s="493"/>
      <c r="AK6" s="492">
        <v>2</v>
      </c>
      <c r="AL6" s="492">
        <v>1</v>
      </c>
      <c r="AM6" s="497">
        <f>IF(('Comparison Calculator'!$E$11-AL6)&gt;=0,0,IFERROR(-PPMT($AQ$5/12,AK6,$F$1*12,$C$1),0))</f>
        <v>0</v>
      </c>
      <c r="AN6" s="497">
        <f>IF(('Comparison Calculator'!$G$11-AL6)&gt;=0,$C$1*$AQ$5/12,IFERROR(-IPMT($AQ$5/12,AK6,$F$1*12,$C$1,0),0))</f>
        <v>0</v>
      </c>
      <c r="AO6" s="497">
        <f t="shared" ref="AO6:AO69" si="4">AM6+AN6</f>
        <v>0</v>
      </c>
      <c r="AP6" s="497">
        <f>AP5-AM6</f>
        <v>1800000</v>
      </c>
      <c r="AQ6" s="493"/>
      <c r="AR6" s="493"/>
      <c r="AT6" s="492">
        <v>2</v>
      </c>
      <c r="AU6" s="492">
        <v>1</v>
      </c>
      <c r="AV6" s="497">
        <f>IF(('Comparison Calculator'!$E$11-AU6)&gt;=0,0,IFERROR(-PPMT($AZ$5/12,AT6,$F$1*12,$C$1),0))</f>
        <v>0</v>
      </c>
      <c r="AW6" s="497">
        <f>IF(('Comparison Calculator'!$G$11-AU6)&gt;=0,$C$1*$AZ$5/12,IFERROR(-IPMT($AZ$5/12,AT6,$F$1*12,$C$1,0),0))</f>
        <v>0</v>
      </c>
      <c r="AX6" s="497">
        <f t="shared" ref="AX6:AX69" si="5">AV6+AW6</f>
        <v>0</v>
      </c>
      <c r="AY6" s="497">
        <f>AY5-AV6</f>
        <v>1800000</v>
      </c>
      <c r="AZ6" s="493"/>
      <c r="BA6" s="493"/>
      <c r="BC6" s="492">
        <v>2</v>
      </c>
      <c r="BD6" s="492">
        <v>1</v>
      </c>
      <c r="BE6" s="497">
        <f>IF(('Comparison Calculator'!$E$11-BD6)&gt;=0,0,IFERROR(-PPMT($BI$5/12,BC6,$F$1*12,$C$1),0))</f>
        <v>0</v>
      </c>
      <c r="BF6" s="497">
        <f>IF(('Comparison Calculator'!$G$11-BD6)&gt;=0,$C$1*$BI$5/12,IFERROR(-IPMT($BI$5/12,BC6,$F$1*12,$C$1,0),0))</f>
        <v>0</v>
      </c>
      <c r="BG6" s="497">
        <f t="shared" ref="BG6:BG69" si="6">BE6+BF6</f>
        <v>0</v>
      </c>
      <c r="BH6" s="497">
        <f>BH5-BE6</f>
        <v>1800000</v>
      </c>
      <c r="BI6" s="493"/>
      <c r="BJ6" s="493"/>
      <c r="BK6" s="492">
        <v>2</v>
      </c>
      <c r="BL6" s="492">
        <v>1</v>
      </c>
      <c r="BM6" s="497">
        <f>IF(('Comparison Calculator'!$E$11-BL6)&gt;=0,0,IFERROR(-PPMT($BQ$5/12,BK6,$F$1*12,$C$1),0))</f>
        <v>0</v>
      </c>
      <c r="BN6" s="497">
        <f>IF(('Comparison Calculator'!$G$11-BL6)&gt;=0,$C$1*$BQ$5/12,IFERROR(-IPMT($BQ$5/12,BK6,$F$1*12,$C$1,0),0))</f>
        <v>0</v>
      </c>
      <c r="BO6" s="497">
        <f t="shared" ref="BO6:BO69" si="7">BM6+BN6</f>
        <v>0</v>
      </c>
      <c r="BP6" s="497">
        <f>BP5-BM6</f>
        <v>1800000</v>
      </c>
      <c r="BQ6" s="493"/>
      <c r="BR6" s="493"/>
      <c r="BT6" s="492">
        <v>2</v>
      </c>
      <c r="BU6" s="492">
        <v>1</v>
      </c>
      <c r="BV6" s="497">
        <f>IF(('Comparison Calculator'!$E$11-BU6)&gt;=0,0,IFERROR(-PPMT($BZ$5/12,BT6,$F$1*12,$C$1),0))</f>
        <v>0</v>
      </c>
      <c r="BW6" s="497">
        <f>IF(('Comparison Calculator'!$G$11-BU6)&gt;=0,$C$1*$BZ$5/12,IFERROR(-IPMT($BZ$5/12,BT6,$F$1*12,$C$1,0),0))</f>
        <v>0</v>
      </c>
      <c r="BX6" s="497">
        <f t="shared" ref="BX6:BX69" si="8">BV6+BW6</f>
        <v>0</v>
      </c>
      <c r="BY6" s="497">
        <f>BY5-BV6</f>
        <v>1800000</v>
      </c>
      <c r="BZ6" s="493"/>
      <c r="CA6" s="493"/>
      <c r="CC6" s="492">
        <v>2</v>
      </c>
      <c r="CD6" s="492">
        <v>1</v>
      </c>
      <c r="CE6" s="497">
        <f>IF(('Comparison Calculator'!$E$11-CD6)&gt;=0,0,IFERROR(-PPMT($CI$5/12,CC6,$F$1*12,$C$1),0))</f>
        <v>0</v>
      </c>
      <c r="CF6" s="497">
        <f>IF(('Comparison Calculator'!$G$11-CD6)&gt;=0,$C$1*$CI$5/12,IFERROR(-IPMT($CI$5/12,CC6,$F$1*12,$C$1,0),0))</f>
        <v>0</v>
      </c>
      <c r="CG6" s="497">
        <f t="shared" ref="CG6:CG69" si="9">CE6+CF6</f>
        <v>0</v>
      </c>
      <c r="CH6" s="497">
        <f>CH5-CE6</f>
        <v>1800000</v>
      </c>
      <c r="CI6" s="493"/>
      <c r="CJ6" s="493"/>
      <c r="CL6" s="492">
        <v>2</v>
      </c>
      <c r="CM6" s="492">
        <v>1</v>
      </c>
      <c r="CN6" s="497">
        <f>IF(('Comparison Calculator'!$E$11-CM6)&gt;=0,0,IFERROR(-PPMT($CR$5/12,CL6,$F$1*12,$C$1),0))</f>
        <v>0</v>
      </c>
      <c r="CO6" s="497">
        <f>IF(('Comparison Calculator'!$G$11-CM6)&gt;=0,$C$1*$CR$5/12,IFERROR(-IPMT($CR$5/12,CL6,$F$1*12,$C$1,0),0))</f>
        <v>0</v>
      </c>
      <c r="CP6" s="497">
        <f t="shared" ref="CP6:CP69" si="10">CN6+CO6</f>
        <v>0</v>
      </c>
      <c r="CQ6" s="497">
        <f>CQ5-CN6</f>
        <v>1800000</v>
      </c>
      <c r="CR6" s="493"/>
      <c r="CS6" s="493"/>
      <c r="CU6" s="492">
        <v>2</v>
      </c>
      <c r="CV6" s="492">
        <v>1</v>
      </c>
      <c r="CW6" s="497">
        <f>IF(('Comparison Calculator'!$E$11-CV6)&gt;=0,0,IFERROR(-PPMT($DA$5/12,CU6,$F$1*12,$C$1),0))</f>
        <v>0</v>
      </c>
      <c r="CX6" s="497">
        <f>IF(('Comparison Calculator'!$G$11-CV6)&gt;=0,$C$1*$DA$5/12,IFERROR(-IPMT($DA$5/12,CU6,$F$1*12,$C$1,0),0))</f>
        <v>0</v>
      </c>
      <c r="CY6" s="497">
        <f t="shared" ref="CY6:CY69" si="11">CW6+CX6</f>
        <v>0</v>
      </c>
      <c r="CZ6" s="497">
        <f>CZ5-CW6</f>
        <v>1800000</v>
      </c>
      <c r="DA6" s="493"/>
      <c r="DB6" s="493"/>
      <c r="DD6" s="492">
        <v>2</v>
      </c>
      <c r="DE6" s="492">
        <v>1</v>
      </c>
      <c r="DF6" s="497">
        <f>IF(('Comparison Calculator'!$E$11-DE6)&gt;=0,0,IFERROR(-PPMT($DJ$5/12,DD6,$F$1*12,$C$1),0))</f>
        <v>0</v>
      </c>
      <c r="DG6" s="497">
        <f>IF(('Comparison Calculator'!$G$11-DE6)&gt;=0,$C$1*$DJ$5/12,IFERROR(-IPMT($DJ$5/12,DD6,$F$1*12,$C$1,0),0))</f>
        <v>0</v>
      </c>
      <c r="DH6" s="497">
        <f t="shared" ref="DH6:DH69" si="12">DF6+DG6</f>
        <v>0</v>
      </c>
      <c r="DI6" s="497">
        <f>DI5-DF6</f>
        <v>1800000</v>
      </c>
      <c r="DJ6" s="493"/>
      <c r="DK6" s="493"/>
    </row>
    <row r="7" spans="1:115">
      <c r="A7" s="492">
        <v>3</v>
      </c>
      <c r="B7" s="492">
        <v>1</v>
      </c>
      <c r="C7" s="497">
        <f>IF(('Comparison Calculator'!$E$11-B7)&gt;=0,0,IFERROR(-PPMT($G$5/12,A7,$F$1*12,$C$1),0))</f>
        <v>0</v>
      </c>
      <c r="D7" s="497">
        <f>IF(('Comparison Calculator'!$G$11-B7)&gt;=0,$C$1*$G$5/12,IFERROR(-IPMT($G$5/12,A7,$F$1*12,$C$1,0),0))</f>
        <v>0</v>
      </c>
      <c r="E7" s="497">
        <f t="shared" si="0"/>
        <v>0</v>
      </c>
      <c r="F7" s="497">
        <f t="shared" ref="F7:F70" si="13">F6-C7</f>
        <v>1800000</v>
      </c>
      <c r="G7" s="493"/>
      <c r="H7" s="493"/>
      <c r="I7" s="489"/>
      <c r="J7" s="492">
        <v>3</v>
      </c>
      <c r="K7" s="492">
        <v>1</v>
      </c>
      <c r="L7" s="497">
        <f>IF(('Comparison Calculator'!$E$11-K7)&gt;=0,0,IFERROR(-PPMT($P$5/12,J7,$F$1*12,$C$1),0))</f>
        <v>0</v>
      </c>
      <c r="M7" s="497">
        <f>IF(('Comparison Calculator'!$G$11-K7)&gt;=0,$C$1*$P$5/12,IFERROR(-IPMT($P$5/12,J7,$F$1*12,$C$1,0),0))</f>
        <v>0</v>
      </c>
      <c r="N7" s="497">
        <f t="shared" si="1"/>
        <v>0</v>
      </c>
      <c r="O7" s="497">
        <f t="shared" ref="O7:O23" si="14">O6-L7</f>
        <v>1800000</v>
      </c>
      <c r="P7" s="493"/>
      <c r="Q7" s="493"/>
      <c r="S7" s="492">
        <v>3</v>
      </c>
      <c r="T7" s="492">
        <v>1</v>
      </c>
      <c r="U7" s="497">
        <f>IF(('Comparison Calculator'!$E$11-T7)&gt;=0,0,IFERROR(-PPMT($Y$5/12,S7,$F$1*12,$C$1),0))</f>
        <v>0</v>
      </c>
      <c r="V7" s="497">
        <f>IF(('Comparison Calculator'!$G$11-T7)&gt;=0,$C$1*$Y$5/12,IFERROR(-IPMT($Y$5/12,S7,$F$1*12,$C$1,0),0))</f>
        <v>0</v>
      </c>
      <c r="W7" s="497">
        <f t="shared" si="2"/>
        <v>0</v>
      </c>
      <c r="X7" s="497">
        <f t="shared" ref="X7:X23" si="15">X6-U7</f>
        <v>1800000</v>
      </c>
      <c r="Y7" s="493"/>
      <c r="Z7" s="493"/>
      <c r="AB7" s="492">
        <v>3</v>
      </c>
      <c r="AC7" s="492">
        <v>1</v>
      </c>
      <c r="AD7" s="497">
        <f>IF(('Comparison Calculator'!$E$11-AC7)&gt;=0,0,IFERROR(-PPMT($AH$5/12,AB7,$F$1*12,$C$1),0))</f>
        <v>0</v>
      </c>
      <c r="AE7" s="497">
        <f>IF(('Comparison Calculator'!$G$11-AC7)&gt;=0,$C$1*$AH$5/12,IFERROR(-IPMT($AH$5/12,AB7,$F$1*12,$C$1,0),0))</f>
        <v>0</v>
      </c>
      <c r="AF7" s="497">
        <f t="shared" si="3"/>
        <v>0</v>
      </c>
      <c r="AG7" s="497">
        <f t="shared" ref="AG7:AG23" si="16">AG6-AD7</f>
        <v>1800000</v>
      </c>
      <c r="AH7" s="493"/>
      <c r="AI7" s="493"/>
      <c r="AK7" s="492">
        <v>3</v>
      </c>
      <c r="AL7" s="492">
        <v>1</v>
      </c>
      <c r="AM7" s="497">
        <f>IF(('Comparison Calculator'!$E$11-AL7)&gt;=0,0,IFERROR(-PPMT($AQ$5/12,AK7,$F$1*12,$C$1),0))</f>
        <v>0</v>
      </c>
      <c r="AN7" s="497">
        <f>IF(('Comparison Calculator'!$G$11-AL7)&gt;=0,$C$1*$AQ$5/12,IFERROR(-IPMT($AQ$5/12,AK7,$F$1*12,$C$1,0),0))</f>
        <v>0</v>
      </c>
      <c r="AO7" s="497">
        <f t="shared" si="4"/>
        <v>0</v>
      </c>
      <c r="AP7" s="497">
        <f t="shared" ref="AP7:AP23" si="17">AP6-AM7</f>
        <v>1800000</v>
      </c>
      <c r="AQ7" s="493"/>
      <c r="AR7" s="493"/>
      <c r="AT7" s="492">
        <v>3</v>
      </c>
      <c r="AU7" s="492">
        <v>1</v>
      </c>
      <c r="AV7" s="497">
        <f>IF(('Comparison Calculator'!$E$11-AU7)&gt;=0,0,IFERROR(-PPMT($AZ$5/12,AT7,$F$1*12,$C$1),0))</f>
        <v>0</v>
      </c>
      <c r="AW7" s="497">
        <f>IF(('Comparison Calculator'!$G$11-AU7)&gt;=0,$C$1*$AZ$5/12,IFERROR(-IPMT($AZ$5/12,AT7,$F$1*12,$C$1,0),0))</f>
        <v>0</v>
      </c>
      <c r="AX7" s="497">
        <f t="shared" si="5"/>
        <v>0</v>
      </c>
      <c r="AY7" s="497">
        <f t="shared" ref="AY7:AY23" si="18">AY6-AV7</f>
        <v>1800000</v>
      </c>
      <c r="AZ7" s="493"/>
      <c r="BA7" s="493"/>
      <c r="BC7" s="492">
        <v>3</v>
      </c>
      <c r="BD7" s="492">
        <v>1</v>
      </c>
      <c r="BE7" s="497">
        <f>IF(('Comparison Calculator'!$E$11-BD7)&gt;=0,0,IFERROR(-PPMT($BI$5/12,BC7,$F$1*12,$C$1),0))</f>
        <v>0</v>
      </c>
      <c r="BF7" s="497">
        <f>IF(('Comparison Calculator'!$G$11-BD7)&gt;=0,$C$1*$BI$5/12,IFERROR(-IPMT($BI$5/12,BC7,$F$1*12,$C$1,0),0))</f>
        <v>0</v>
      </c>
      <c r="BG7" s="497">
        <f t="shared" si="6"/>
        <v>0</v>
      </c>
      <c r="BH7" s="497">
        <f t="shared" ref="BH7:BH23" si="19">BH6-BE7</f>
        <v>1800000</v>
      </c>
      <c r="BI7" s="493"/>
      <c r="BJ7" s="493"/>
      <c r="BK7" s="492">
        <v>3</v>
      </c>
      <c r="BL7" s="492">
        <v>1</v>
      </c>
      <c r="BM7" s="497">
        <f>IF(('Comparison Calculator'!$E$11-BL7)&gt;=0,0,IFERROR(-PPMT($BQ$5/12,BK7,$F$1*12,$C$1),0))</f>
        <v>0</v>
      </c>
      <c r="BN7" s="497">
        <f>IF(('Comparison Calculator'!$G$11-BL7)&gt;=0,$C$1*$BQ$5/12,IFERROR(-IPMT($BQ$5/12,BK7,$F$1*12,$C$1,0),0))</f>
        <v>0</v>
      </c>
      <c r="BO7" s="497">
        <f t="shared" si="7"/>
        <v>0</v>
      </c>
      <c r="BP7" s="497">
        <f t="shared" ref="BP7:BP23" si="20">BP6-BM7</f>
        <v>1800000</v>
      </c>
      <c r="BQ7" s="493"/>
      <c r="BR7" s="493"/>
      <c r="BT7" s="492">
        <v>3</v>
      </c>
      <c r="BU7" s="492">
        <v>1</v>
      </c>
      <c r="BV7" s="497">
        <f>IF(('Comparison Calculator'!$E$11-BU7)&gt;=0,0,IFERROR(-PPMT($BZ$5/12,BT7,$F$1*12,$C$1),0))</f>
        <v>0</v>
      </c>
      <c r="BW7" s="497">
        <f>IF(('Comparison Calculator'!$G$11-BU7)&gt;=0,$C$1*$BZ$5/12,IFERROR(-IPMT($BZ$5/12,BT7,$F$1*12,$C$1,0),0))</f>
        <v>0</v>
      </c>
      <c r="BX7" s="497">
        <f t="shared" si="8"/>
        <v>0</v>
      </c>
      <c r="BY7" s="497">
        <f t="shared" ref="BY7:BY23" si="21">BY6-BV7</f>
        <v>1800000</v>
      </c>
      <c r="BZ7" s="493"/>
      <c r="CA7" s="493"/>
      <c r="CC7" s="492">
        <v>3</v>
      </c>
      <c r="CD7" s="492">
        <v>1</v>
      </c>
      <c r="CE7" s="497">
        <f>IF(('Comparison Calculator'!$E$11-CD7)&gt;=0,0,IFERROR(-PPMT($CI$5/12,CC7,$F$1*12,$C$1),0))</f>
        <v>0</v>
      </c>
      <c r="CF7" s="497">
        <f>IF(('Comparison Calculator'!$G$11-CD7)&gt;=0,$C$1*$CI$5/12,IFERROR(-IPMT($CI$5/12,CC7,$F$1*12,$C$1,0),0))</f>
        <v>0</v>
      </c>
      <c r="CG7" s="497">
        <f t="shared" si="9"/>
        <v>0</v>
      </c>
      <c r="CH7" s="497">
        <f t="shared" ref="CH7:CH23" si="22">CH6-CE7</f>
        <v>1800000</v>
      </c>
      <c r="CI7" s="493"/>
      <c r="CJ7" s="493"/>
      <c r="CL7" s="492">
        <v>3</v>
      </c>
      <c r="CM7" s="492">
        <v>1</v>
      </c>
      <c r="CN7" s="497">
        <f>IF(('Comparison Calculator'!$E$11-CM7)&gt;=0,0,IFERROR(-PPMT($CR$5/12,CL7,$F$1*12,$C$1),0))</f>
        <v>0</v>
      </c>
      <c r="CO7" s="497">
        <f>IF(('Comparison Calculator'!$G$11-CM7)&gt;=0,$C$1*$CR$5/12,IFERROR(-IPMT($CR$5/12,CL7,$F$1*12,$C$1,0),0))</f>
        <v>0</v>
      </c>
      <c r="CP7" s="497">
        <f t="shared" si="10"/>
        <v>0</v>
      </c>
      <c r="CQ7" s="497">
        <f t="shared" ref="CQ7:CQ23" si="23">CQ6-CN7</f>
        <v>1800000</v>
      </c>
      <c r="CR7" s="493"/>
      <c r="CS7" s="493"/>
      <c r="CU7" s="492">
        <v>3</v>
      </c>
      <c r="CV7" s="492">
        <v>1</v>
      </c>
      <c r="CW7" s="497">
        <f>IF(('Comparison Calculator'!$E$11-CV7)&gt;=0,0,IFERROR(-PPMT($DA$5/12,CU7,$F$1*12,$C$1),0))</f>
        <v>0</v>
      </c>
      <c r="CX7" s="497">
        <f>IF(('Comparison Calculator'!$G$11-CV7)&gt;=0,$C$1*$DA$5/12,IFERROR(-IPMT($DA$5/12,CU7,$F$1*12,$C$1,0),0))</f>
        <v>0</v>
      </c>
      <c r="CY7" s="497">
        <f t="shared" si="11"/>
        <v>0</v>
      </c>
      <c r="CZ7" s="497">
        <f t="shared" ref="CZ7:CZ23" si="24">CZ6-CW7</f>
        <v>1800000</v>
      </c>
      <c r="DA7" s="493"/>
      <c r="DB7" s="493"/>
      <c r="DD7" s="492">
        <v>3</v>
      </c>
      <c r="DE7" s="492">
        <v>1</v>
      </c>
      <c r="DF7" s="497">
        <f>IF(('Comparison Calculator'!$E$11-DE7)&gt;=0,0,IFERROR(-PPMT($DJ$5/12,DD7,$F$1*12,$C$1),0))</f>
        <v>0</v>
      </c>
      <c r="DG7" s="497">
        <f>IF(('Comparison Calculator'!$G$11-DE7)&gt;=0,$C$1*$DJ$5/12,IFERROR(-IPMT($DJ$5/12,DD7,$F$1*12,$C$1,0),0))</f>
        <v>0</v>
      </c>
      <c r="DH7" s="497">
        <f t="shared" si="12"/>
        <v>0</v>
      </c>
      <c r="DI7" s="497">
        <f t="shared" ref="DI7:DI23" si="25">DI6-DF7</f>
        <v>1800000</v>
      </c>
      <c r="DJ7" s="493"/>
      <c r="DK7" s="493"/>
    </row>
    <row r="8" spans="1:115">
      <c r="A8" s="492">
        <v>4</v>
      </c>
      <c r="B8" s="492">
        <v>1</v>
      </c>
      <c r="C8" s="497">
        <f>IF(('Comparison Calculator'!$E$11-B8)&gt;=0,0,IFERROR(-PPMT($G$5/12,A8,$F$1*12,$C$1),0))</f>
        <v>0</v>
      </c>
      <c r="D8" s="497">
        <f>IF(('Comparison Calculator'!$G$11-B8)&gt;=0,$C$1*$G$5/12,IFERROR(-IPMT($G$5/12,A8,$F$1*12,$C$1,0),0))</f>
        <v>0</v>
      </c>
      <c r="E8" s="497">
        <f t="shared" si="0"/>
        <v>0</v>
      </c>
      <c r="F8" s="497">
        <f t="shared" si="13"/>
        <v>1800000</v>
      </c>
      <c r="G8" s="493"/>
      <c r="H8" s="493"/>
      <c r="I8" s="489"/>
      <c r="J8" s="492">
        <v>4</v>
      </c>
      <c r="K8" s="492">
        <v>1</v>
      </c>
      <c r="L8" s="497">
        <f>IF(('Comparison Calculator'!$E$11-K8)&gt;=0,0,IFERROR(-PPMT($P$5/12,J8,$F$1*12,$C$1),0))</f>
        <v>0</v>
      </c>
      <c r="M8" s="497">
        <f>IF(('Comparison Calculator'!$G$11-K8)&gt;=0,$C$1*$P$5/12,IFERROR(-IPMT($P$5/12,J8,$F$1*12,$C$1,0),0))</f>
        <v>0</v>
      </c>
      <c r="N8" s="497">
        <f t="shared" si="1"/>
        <v>0</v>
      </c>
      <c r="O8" s="497">
        <f t="shared" si="14"/>
        <v>1800000</v>
      </c>
      <c r="P8" s="493"/>
      <c r="Q8" s="493"/>
      <c r="S8" s="492">
        <v>4</v>
      </c>
      <c r="T8" s="492">
        <v>1</v>
      </c>
      <c r="U8" s="497">
        <f>IF(('Comparison Calculator'!$E$11-T8)&gt;=0,0,IFERROR(-PPMT($Y$5/12,S8,$F$1*12,$C$1),0))</f>
        <v>0</v>
      </c>
      <c r="V8" s="497">
        <f>IF(('Comparison Calculator'!$G$11-T8)&gt;=0,$C$1*$Y$5/12,IFERROR(-IPMT($Y$5/12,S8,$F$1*12,$C$1,0),0))</f>
        <v>0</v>
      </c>
      <c r="W8" s="497">
        <f t="shared" si="2"/>
        <v>0</v>
      </c>
      <c r="X8" s="497">
        <f t="shared" si="15"/>
        <v>1800000</v>
      </c>
      <c r="Y8" s="493"/>
      <c r="Z8" s="493"/>
      <c r="AB8" s="492">
        <v>4</v>
      </c>
      <c r="AC8" s="492">
        <v>1</v>
      </c>
      <c r="AD8" s="497">
        <f>IF(('Comparison Calculator'!$E$11-AC8)&gt;=0,0,IFERROR(-PPMT($AH$5/12,AB8,$F$1*12,$C$1),0))</f>
        <v>0</v>
      </c>
      <c r="AE8" s="497">
        <f>IF(('Comparison Calculator'!$G$11-AC8)&gt;=0,$C$1*$AH$5/12,IFERROR(-IPMT($AH$5/12,AB8,$F$1*12,$C$1,0),0))</f>
        <v>0</v>
      </c>
      <c r="AF8" s="497">
        <f t="shared" si="3"/>
        <v>0</v>
      </c>
      <c r="AG8" s="497">
        <f t="shared" si="16"/>
        <v>1800000</v>
      </c>
      <c r="AH8" s="493"/>
      <c r="AI8" s="493"/>
      <c r="AK8" s="492">
        <v>4</v>
      </c>
      <c r="AL8" s="492">
        <v>1</v>
      </c>
      <c r="AM8" s="497">
        <f>IF(('Comparison Calculator'!$E$11-AL8)&gt;=0,0,IFERROR(-PPMT($AQ$5/12,AK8,$F$1*12,$C$1),0))</f>
        <v>0</v>
      </c>
      <c r="AN8" s="497">
        <f>IF(('Comparison Calculator'!$G$11-AL8)&gt;=0,$C$1*$AQ$5/12,IFERROR(-IPMT($AQ$5/12,AK8,$F$1*12,$C$1,0),0))</f>
        <v>0</v>
      </c>
      <c r="AO8" s="497">
        <f t="shared" si="4"/>
        <v>0</v>
      </c>
      <c r="AP8" s="497">
        <f t="shared" si="17"/>
        <v>1800000</v>
      </c>
      <c r="AQ8" s="493"/>
      <c r="AR8" s="493"/>
      <c r="AT8" s="492">
        <v>4</v>
      </c>
      <c r="AU8" s="492">
        <v>1</v>
      </c>
      <c r="AV8" s="497">
        <f>IF(('Comparison Calculator'!$E$11-AU8)&gt;=0,0,IFERROR(-PPMT($AZ$5/12,AT8,$F$1*12,$C$1),0))</f>
        <v>0</v>
      </c>
      <c r="AW8" s="497">
        <f>IF(('Comparison Calculator'!$G$11-AU8)&gt;=0,$C$1*$AZ$5/12,IFERROR(-IPMT($AZ$5/12,AT8,$F$1*12,$C$1,0),0))</f>
        <v>0</v>
      </c>
      <c r="AX8" s="497">
        <f t="shared" si="5"/>
        <v>0</v>
      </c>
      <c r="AY8" s="497">
        <f t="shared" si="18"/>
        <v>1800000</v>
      </c>
      <c r="AZ8" s="493"/>
      <c r="BA8" s="493"/>
      <c r="BC8" s="492">
        <v>4</v>
      </c>
      <c r="BD8" s="492">
        <v>1</v>
      </c>
      <c r="BE8" s="497">
        <f>IF(('Comparison Calculator'!$E$11-BD8)&gt;=0,0,IFERROR(-PPMT($BI$5/12,BC8,$F$1*12,$C$1),0))</f>
        <v>0</v>
      </c>
      <c r="BF8" s="497">
        <f>IF(('Comparison Calculator'!$G$11-BD8)&gt;=0,$C$1*$BI$5/12,IFERROR(-IPMT($BI$5/12,BC8,$F$1*12,$C$1,0),0))</f>
        <v>0</v>
      </c>
      <c r="BG8" s="497">
        <f t="shared" si="6"/>
        <v>0</v>
      </c>
      <c r="BH8" s="497">
        <f t="shared" si="19"/>
        <v>1800000</v>
      </c>
      <c r="BI8" s="493"/>
      <c r="BJ8" s="493"/>
      <c r="BK8" s="492">
        <v>4</v>
      </c>
      <c r="BL8" s="492">
        <v>1</v>
      </c>
      <c r="BM8" s="497">
        <f>IF(('Comparison Calculator'!$E$11-BL8)&gt;=0,0,IFERROR(-PPMT($BQ$5/12,BK8,$F$1*12,$C$1),0))</f>
        <v>0</v>
      </c>
      <c r="BN8" s="497">
        <f>IF(('Comparison Calculator'!$G$11-BL8)&gt;=0,$C$1*$BQ$5/12,IFERROR(-IPMT($BQ$5/12,BK8,$F$1*12,$C$1,0),0))</f>
        <v>0</v>
      </c>
      <c r="BO8" s="497">
        <f t="shared" si="7"/>
        <v>0</v>
      </c>
      <c r="BP8" s="497">
        <f t="shared" si="20"/>
        <v>1800000</v>
      </c>
      <c r="BQ8" s="493"/>
      <c r="BR8" s="493"/>
      <c r="BT8" s="492">
        <v>4</v>
      </c>
      <c r="BU8" s="492">
        <v>1</v>
      </c>
      <c r="BV8" s="497">
        <f>IF(('Comparison Calculator'!$E$11-BU8)&gt;=0,0,IFERROR(-PPMT($BZ$5/12,BT8,$F$1*12,$C$1),0))</f>
        <v>0</v>
      </c>
      <c r="BW8" s="497">
        <f>IF(('Comparison Calculator'!$G$11-BU8)&gt;=0,$C$1*$BZ$5/12,IFERROR(-IPMT($BZ$5/12,BT8,$F$1*12,$C$1,0),0))</f>
        <v>0</v>
      </c>
      <c r="BX8" s="497">
        <f t="shared" si="8"/>
        <v>0</v>
      </c>
      <c r="BY8" s="497">
        <f t="shared" si="21"/>
        <v>1800000</v>
      </c>
      <c r="BZ8" s="493"/>
      <c r="CA8" s="493"/>
      <c r="CC8" s="492">
        <v>4</v>
      </c>
      <c r="CD8" s="492">
        <v>1</v>
      </c>
      <c r="CE8" s="497">
        <f>IF(('Comparison Calculator'!$E$11-CD8)&gt;=0,0,IFERROR(-PPMT($CI$5/12,CC8,$F$1*12,$C$1),0))</f>
        <v>0</v>
      </c>
      <c r="CF8" s="497">
        <f>IF(('Comparison Calculator'!$G$11-CD8)&gt;=0,$C$1*$CI$5/12,IFERROR(-IPMT($CI$5/12,CC8,$F$1*12,$C$1,0),0))</f>
        <v>0</v>
      </c>
      <c r="CG8" s="497">
        <f t="shared" si="9"/>
        <v>0</v>
      </c>
      <c r="CH8" s="497">
        <f t="shared" si="22"/>
        <v>1800000</v>
      </c>
      <c r="CI8" s="493"/>
      <c r="CJ8" s="493"/>
      <c r="CL8" s="492">
        <v>4</v>
      </c>
      <c r="CM8" s="492">
        <v>1</v>
      </c>
      <c r="CN8" s="497">
        <f>IF(('Comparison Calculator'!$E$11-CM8)&gt;=0,0,IFERROR(-PPMT($CR$5/12,CL8,$F$1*12,$C$1),0))</f>
        <v>0</v>
      </c>
      <c r="CO8" s="497">
        <f>IF(('Comparison Calculator'!$G$11-CM8)&gt;=0,$C$1*$CR$5/12,IFERROR(-IPMT($CR$5/12,CL8,$F$1*12,$C$1,0),0))</f>
        <v>0</v>
      </c>
      <c r="CP8" s="497">
        <f t="shared" si="10"/>
        <v>0</v>
      </c>
      <c r="CQ8" s="497">
        <f t="shared" si="23"/>
        <v>1800000</v>
      </c>
      <c r="CR8" s="493"/>
      <c r="CS8" s="493"/>
      <c r="CU8" s="492">
        <v>4</v>
      </c>
      <c r="CV8" s="492">
        <v>1</v>
      </c>
      <c r="CW8" s="497">
        <f>IF(('Comparison Calculator'!$E$11-CV8)&gt;=0,0,IFERROR(-PPMT($DA$5/12,CU8,$F$1*12,$C$1),0))</f>
        <v>0</v>
      </c>
      <c r="CX8" s="497">
        <f>IF(('Comparison Calculator'!$G$11-CV8)&gt;=0,$C$1*$DA$5/12,IFERROR(-IPMT($DA$5/12,CU8,$F$1*12,$C$1,0),0))</f>
        <v>0</v>
      </c>
      <c r="CY8" s="497">
        <f t="shared" si="11"/>
        <v>0</v>
      </c>
      <c r="CZ8" s="497">
        <f t="shared" si="24"/>
        <v>1800000</v>
      </c>
      <c r="DA8" s="493"/>
      <c r="DB8" s="493"/>
      <c r="DD8" s="492">
        <v>4</v>
      </c>
      <c r="DE8" s="492">
        <v>1</v>
      </c>
      <c r="DF8" s="497">
        <f>IF(('Comparison Calculator'!$E$11-DE8)&gt;=0,0,IFERROR(-PPMT($DJ$5/12,DD8,$F$1*12,$C$1),0))</f>
        <v>0</v>
      </c>
      <c r="DG8" s="497">
        <f>IF(('Comparison Calculator'!$G$11-DE8)&gt;=0,$C$1*$DJ$5/12,IFERROR(-IPMT($DJ$5/12,DD8,$F$1*12,$C$1,0),0))</f>
        <v>0</v>
      </c>
      <c r="DH8" s="497">
        <f t="shared" si="12"/>
        <v>0</v>
      </c>
      <c r="DI8" s="497">
        <f t="shared" si="25"/>
        <v>1800000</v>
      </c>
      <c r="DJ8" s="493"/>
      <c r="DK8" s="493"/>
    </row>
    <row r="9" spans="1:115">
      <c r="A9" s="492">
        <v>5</v>
      </c>
      <c r="B9" s="492">
        <v>1</v>
      </c>
      <c r="C9" s="497">
        <f>IF(('Comparison Calculator'!$E$11-B9)&gt;=0,0,IFERROR(-PPMT($G$5/12,A9,$F$1*12,$C$1),0))</f>
        <v>0</v>
      </c>
      <c r="D9" s="497">
        <f>IF(('Comparison Calculator'!$G$11-B9)&gt;=0,$C$1*$G$5/12,IFERROR(-IPMT($G$5/12,A9,$F$1*12,$C$1,0),0))</f>
        <v>0</v>
      </c>
      <c r="E9" s="497">
        <f t="shared" si="0"/>
        <v>0</v>
      </c>
      <c r="F9" s="497">
        <f t="shared" si="13"/>
        <v>1800000</v>
      </c>
      <c r="G9" s="493"/>
      <c r="H9" s="493"/>
      <c r="I9" s="489"/>
      <c r="J9" s="492">
        <v>5</v>
      </c>
      <c r="K9" s="492">
        <v>1</v>
      </c>
      <c r="L9" s="497">
        <f>IF(('Comparison Calculator'!$E$11-K9)&gt;=0,0,IFERROR(-PPMT($P$5/12,J9,$F$1*12,$C$1),0))</f>
        <v>0</v>
      </c>
      <c r="M9" s="497">
        <f>IF(('Comparison Calculator'!$G$11-K9)&gt;=0,$C$1*$P$5/12,IFERROR(-IPMT($P$5/12,J9,$F$1*12,$C$1,0),0))</f>
        <v>0</v>
      </c>
      <c r="N9" s="497">
        <f t="shared" si="1"/>
        <v>0</v>
      </c>
      <c r="O9" s="497">
        <f t="shared" si="14"/>
        <v>1800000</v>
      </c>
      <c r="P9" s="493"/>
      <c r="Q9" s="493"/>
      <c r="S9" s="492">
        <v>5</v>
      </c>
      <c r="T9" s="492">
        <v>1</v>
      </c>
      <c r="U9" s="497">
        <f>IF(('Comparison Calculator'!$E$11-T9)&gt;=0,0,IFERROR(-PPMT($Y$5/12,S9,$F$1*12,$C$1),0))</f>
        <v>0</v>
      </c>
      <c r="V9" s="497">
        <f>IF(('Comparison Calculator'!$G$11-T9)&gt;=0,$C$1*$Y$5/12,IFERROR(-IPMT($Y$5/12,S9,$F$1*12,$C$1,0),0))</f>
        <v>0</v>
      </c>
      <c r="W9" s="497">
        <f t="shared" si="2"/>
        <v>0</v>
      </c>
      <c r="X9" s="497">
        <f t="shared" si="15"/>
        <v>1800000</v>
      </c>
      <c r="Y9" s="493"/>
      <c r="Z9" s="493"/>
      <c r="AB9" s="492">
        <v>5</v>
      </c>
      <c r="AC9" s="492">
        <v>1</v>
      </c>
      <c r="AD9" s="497">
        <f>IF(('Comparison Calculator'!$E$11-AC9)&gt;=0,0,IFERROR(-PPMT($AH$5/12,AB9,$F$1*12,$C$1),0))</f>
        <v>0</v>
      </c>
      <c r="AE9" s="497">
        <f>IF(('Comparison Calculator'!$G$11-AC9)&gt;=0,$C$1*$AH$5/12,IFERROR(-IPMT($AH$5/12,AB9,$F$1*12,$C$1,0),0))</f>
        <v>0</v>
      </c>
      <c r="AF9" s="497">
        <f t="shared" si="3"/>
        <v>0</v>
      </c>
      <c r="AG9" s="497">
        <f t="shared" si="16"/>
        <v>1800000</v>
      </c>
      <c r="AH9" s="493"/>
      <c r="AI9" s="493"/>
      <c r="AK9" s="492">
        <v>5</v>
      </c>
      <c r="AL9" s="492">
        <v>1</v>
      </c>
      <c r="AM9" s="497">
        <f>IF(('Comparison Calculator'!$E$11-AL9)&gt;=0,0,IFERROR(-PPMT($AQ$5/12,AK9,$F$1*12,$C$1),0))</f>
        <v>0</v>
      </c>
      <c r="AN9" s="497">
        <f>IF(('Comparison Calculator'!$G$11-AL9)&gt;=0,$C$1*$AQ$5/12,IFERROR(-IPMT($AQ$5/12,AK9,$F$1*12,$C$1,0),0))</f>
        <v>0</v>
      </c>
      <c r="AO9" s="497">
        <f t="shared" si="4"/>
        <v>0</v>
      </c>
      <c r="AP9" s="497">
        <f t="shared" si="17"/>
        <v>1800000</v>
      </c>
      <c r="AQ9" s="493"/>
      <c r="AR9" s="493"/>
      <c r="AT9" s="492">
        <v>5</v>
      </c>
      <c r="AU9" s="492">
        <v>1</v>
      </c>
      <c r="AV9" s="497">
        <f>IF(('Comparison Calculator'!$E$11-AU9)&gt;=0,0,IFERROR(-PPMT($AZ$5/12,AT9,$F$1*12,$C$1),0))</f>
        <v>0</v>
      </c>
      <c r="AW9" s="497">
        <f>IF(('Comparison Calculator'!$G$11-AU9)&gt;=0,$C$1*$AZ$5/12,IFERROR(-IPMT($AZ$5/12,AT9,$F$1*12,$C$1,0),0))</f>
        <v>0</v>
      </c>
      <c r="AX9" s="497">
        <f t="shared" si="5"/>
        <v>0</v>
      </c>
      <c r="AY9" s="497">
        <f t="shared" si="18"/>
        <v>1800000</v>
      </c>
      <c r="AZ9" s="493"/>
      <c r="BA9" s="493"/>
      <c r="BC9" s="492">
        <v>5</v>
      </c>
      <c r="BD9" s="492">
        <v>1</v>
      </c>
      <c r="BE9" s="497">
        <f>IF(('Comparison Calculator'!$E$11-BD9)&gt;=0,0,IFERROR(-PPMT($BI$5/12,BC9,$F$1*12,$C$1),0))</f>
        <v>0</v>
      </c>
      <c r="BF9" s="497">
        <f>IF(('Comparison Calculator'!$G$11-BD9)&gt;=0,$C$1*$BI$5/12,IFERROR(-IPMT($BI$5/12,BC9,$F$1*12,$C$1,0),0))</f>
        <v>0</v>
      </c>
      <c r="BG9" s="497">
        <f t="shared" si="6"/>
        <v>0</v>
      </c>
      <c r="BH9" s="497">
        <f t="shared" si="19"/>
        <v>1800000</v>
      </c>
      <c r="BI9" s="493"/>
      <c r="BJ9" s="493"/>
      <c r="BK9" s="492">
        <v>5</v>
      </c>
      <c r="BL9" s="492">
        <v>1</v>
      </c>
      <c r="BM9" s="497">
        <f>IF(('Comparison Calculator'!$E$11-BL9)&gt;=0,0,IFERROR(-PPMT($BQ$5/12,BK9,$F$1*12,$C$1),0))</f>
        <v>0</v>
      </c>
      <c r="BN9" s="497">
        <f>IF(('Comparison Calculator'!$G$11-BL9)&gt;=0,$C$1*$BQ$5/12,IFERROR(-IPMT($BQ$5/12,BK9,$F$1*12,$C$1,0),0))</f>
        <v>0</v>
      </c>
      <c r="BO9" s="497">
        <f t="shared" si="7"/>
        <v>0</v>
      </c>
      <c r="BP9" s="497">
        <f t="shared" si="20"/>
        <v>1800000</v>
      </c>
      <c r="BQ9" s="493"/>
      <c r="BR9" s="493"/>
      <c r="BT9" s="492">
        <v>5</v>
      </c>
      <c r="BU9" s="492">
        <v>1</v>
      </c>
      <c r="BV9" s="497">
        <f>IF(('Comparison Calculator'!$E$11-BU9)&gt;=0,0,IFERROR(-PPMT($BZ$5/12,BT9,$F$1*12,$C$1),0))</f>
        <v>0</v>
      </c>
      <c r="BW9" s="497">
        <f>IF(('Comparison Calculator'!$G$11-BU9)&gt;=0,$C$1*$BZ$5/12,IFERROR(-IPMT($BZ$5/12,BT9,$F$1*12,$C$1,0),0))</f>
        <v>0</v>
      </c>
      <c r="BX9" s="497">
        <f t="shared" si="8"/>
        <v>0</v>
      </c>
      <c r="BY9" s="497">
        <f t="shared" si="21"/>
        <v>1800000</v>
      </c>
      <c r="BZ9" s="493"/>
      <c r="CA9" s="493"/>
      <c r="CC9" s="492">
        <v>5</v>
      </c>
      <c r="CD9" s="492">
        <v>1</v>
      </c>
      <c r="CE9" s="497">
        <f>IF(('Comparison Calculator'!$E$11-CD9)&gt;=0,0,IFERROR(-PPMT($CI$5/12,CC9,$F$1*12,$C$1),0))</f>
        <v>0</v>
      </c>
      <c r="CF9" s="497">
        <f>IF(('Comparison Calculator'!$G$11-CD9)&gt;=0,$C$1*$CI$5/12,IFERROR(-IPMT($CI$5/12,CC9,$F$1*12,$C$1,0),0))</f>
        <v>0</v>
      </c>
      <c r="CG9" s="497">
        <f t="shared" si="9"/>
        <v>0</v>
      </c>
      <c r="CH9" s="497">
        <f t="shared" si="22"/>
        <v>1800000</v>
      </c>
      <c r="CI9" s="493"/>
      <c r="CJ9" s="493"/>
      <c r="CL9" s="492">
        <v>5</v>
      </c>
      <c r="CM9" s="492">
        <v>1</v>
      </c>
      <c r="CN9" s="497">
        <f>IF(('Comparison Calculator'!$E$11-CM9)&gt;=0,0,IFERROR(-PPMT($CR$5/12,CL9,$F$1*12,$C$1),0))</f>
        <v>0</v>
      </c>
      <c r="CO9" s="497">
        <f>IF(('Comparison Calculator'!$G$11-CM9)&gt;=0,$C$1*$CR$5/12,IFERROR(-IPMT($CR$5/12,CL9,$F$1*12,$C$1,0),0))</f>
        <v>0</v>
      </c>
      <c r="CP9" s="497">
        <f t="shared" si="10"/>
        <v>0</v>
      </c>
      <c r="CQ9" s="497">
        <f t="shared" si="23"/>
        <v>1800000</v>
      </c>
      <c r="CR9" s="493"/>
      <c r="CS9" s="493"/>
      <c r="CU9" s="492">
        <v>5</v>
      </c>
      <c r="CV9" s="492">
        <v>1</v>
      </c>
      <c r="CW9" s="497">
        <f>IF(('Comparison Calculator'!$E$11-CV9)&gt;=0,0,IFERROR(-PPMT($DA$5/12,CU9,$F$1*12,$C$1),0))</f>
        <v>0</v>
      </c>
      <c r="CX9" s="497">
        <f>IF(('Comparison Calculator'!$G$11-CV9)&gt;=0,$C$1*$DA$5/12,IFERROR(-IPMT($DA$5/12,CU9,$F$1*12,$C$1,0),0))</f>
        <v>0</v>
      </c>
      <c r="CY9" s="497">
        <f t="shared" si="11"/>
        <v>0</v>
      </c>
      <c r="CZ9" s="497">
        <f t="shared" si="24"/>
        <v>1800000</v>
      </c>
      <c r="DA9" s="493"/>
      <c r="DB9" s="493"/>
      <c r="DD9" s="492">
        <v>5</v>
      </c>
      <c r="DE9" s="492">
        <v>1</v>
      </c>
      <c r="DF9" s="497">
        <f>IF(('Comparison Calculator'!$E$11-DE9)&gt;=0,0,IFERROR(-PPMT($DJ$5/12,DD9,$F$1*12,$C$1),0))</f>
        <v>0</v>
      </c>
      <c r="DG9" s="497">
        <f>IF(('Comparison Calculator'!$G$11-DE9)&gt;=0,$C$1*$DJ$5/12,IFERROR(-IPMT($DJ$5/12,DD9,$F$1*12,$C$1,0),0))</f>
        <v>0</v>
      </c>
      <c r="DH9" s="497">
        <f t="shared" si="12"/>
        <v>0</v>
      </c>
      <c r="DI9" s="497">
        <f t="shared" si="25"/>
        <v>1800000</v>
      </c>
      <c r="DJ9" s="493"/>
      <c r="DK9" s="493"/>
    </row>
    <row r="10" spans="1:115">
      <c r="A10" s="492">
        <v>6</v>
      </c>
      <c r="B10" s="492">
        <v>1</v>
      </c>
      <c r="C10" s="497">
        <f>IF(('Comparison Calculator'!$E$11-B10)&gt;=0,0,IFERROR(-PPMT($G$5/12,A10,$F$1*12,$C$1),0))</f>
        <v>0</v>
      </c>
      <c r="D10" s="497">
        <f>IF(('Comparison Calculator'!$G$11-B10)&gt;=0,$C$1*$G$5/12,IFERROR(-IPMT($G$5/12,A10,$F$1*12,$C$1,0),0))</f>
        <v>0</v>
      </c>
      <c r="E10" s="497">
        <f t="shared" si="0"/>
        <v>0</v>
      </c>
      <c r="F10" s="497">
        <f t="shared" si="13"/>
        <v>1800000</v>
      </c>
      <c r="G10" s="493"/>
      <c r="H10" s="493"/>
      <c r="I10" s="489"/>
      <c r="J10" s="492">
        <v>6</v>
      </c>
      <c r="K10" s="492">
        <v>1</v>
      </c>
      <c r="L10" s="497">
        <f>IF(('Comparison Calculator'!$E$11-K10)&gt;=0,0,IFERROR(-PPMT($P$5/12,J10,$F$1*12,$C$1),0))</f>
        <v>0</v>
      </c>
      <c r="M10" s="497">
        <f>IF(('Comparison Calculator'!$G$11-K10)&gt;=0,$C$1*$P$5/12,IFERROR(-IPMT($P$5/12,J10,$F$1*12,$C$1,0),0))</f>
        <v>0</v>
      </c>
      <c r="N10" s="497">
        <f t="shared" si="1"/>
        <v>0</v>
      </c>
      <c r="O10" s="497">
        <f t="shared" si="14"/>
        <v>1800000</v>
      </c>
      <c r="P10" s="493"/>
      <c r="Q10" s="493"/>
      <c r="S10" s="492">
        <v>6</v>
      </c>
      <c r="T10" s="492">
        <v>1</v>
      </c>
      <c r="U10" s="497">
        <f>IF(('Comparison Calculator'!$E$11-T10)&gt;=0,0,IFERROR(-PPMT($Y$5/12,S10,$F$1*12,$C$1),0))</f>
        <v>0</v>
      </c>
      <c r="V10" s="497">
        <f>IF(('Comparison Calculator'!$G$11-T10)&gt;=0,$C$1*$Y$5/12,IFERROR(-IPMT($Y$5/12,S10,$F$1*12,$C$1,0),0))</f>
        <v>0</v>
      </c>
      <c r="W10" s="497">
        <f t="shared" si="2"/>
        <v>0</v>
      </c>
      <c r="X10" s="497">
        <f t="shared" si="15"/>
        <v>1800000</v>
      </c>
      <c r="Y10" s="493"/>
      <c r="Z10" s="493"/>
      <c r="AB10" s="492">
        <v>6</v>
      </c>
      <c r="AC10" s="492">
        <v>1</v>
      </c>
      <c r="AD10" s="497">
        <f>IF(('Comparison Calculator'!$E$11-AC10)&gt;=0,0,IFERROR(-PPMT($AH$5/12,AB10,$F$1*12,$C$1),0))</f>
        <v>0</v>
      </c>
      <c r="AE10" s="497">
        <f>IF(('Comparison Calculator'!$G$11-AC10)&gt;=0,$C$1*$AH$5/12,IFERROR(-IPMT($AH$5/12,AB10,$F$1*12,$C$1,0),0))</f>
        <v>0</v>
      </c>
      <c r="AF10" s="497">
        <f t="shared" si="3"/>
        <v>0</v>
      </c>
      <c r="AG10" s="497">
        <f t="shared" si="16"/>
        <v>1800000</v>
      </c>
      <c r="AH10" s="493"/>
      <c r="AI10" s="493"/>
      <c r="AK10" s="492">
        <v>6</v>
      </c>
      <c r="AL10" s="492">
        <v>1</v>
      </c>
      <c r="AM10" s="497">
        <f>IF(('Comparison Calculator'!$E$11-AL10)&gt;=0,0,IFERROR(-PPMT($AQ$5/12,AK10,$F$1*12,$C$1),0))</f>
        <v>0</v>
      </c>
      <c r="AN10" s="497">
        <f>IF(('Comparison Calculator'!$G$11-AL10)&gt;=0,$C$1*$AQ$5/12,IFERROR(-IPMT($AQ$5/12,AK10,$F$1*12,$C$1,0),0))</f>
        <v>0</v>
      </c>
      <c r="AO10" s="497">
        <f t="shared" si="4"/>
        <v>0</v>
      </c>
      <c r="AP10" s="497">
        <f t="shared" si="17"/>
        <v>1800000</v>
      </c>
      <c r="AQ10" s="493"/>
      <c r="AR10" s="493"/>
      <c r="AT10" s="492">
        <v>6</v>
      </c>
      <c r="AU10" s="492">
        <v>1</v>
      </c>
      <c r="AV10" s="497">
        <f>IF(('Comparison Calculator'!$E$11-AU10)&gt;=0,0,IFERROR(-PPMT($AZ$5/12,AT10,$F$1*12,$C$1),0))</f>
        <v>0</v>
      </c>
      <c r="AW10" s="497">
        <f>IF(('Comparison Calculator'!$G$11-AU10)&gt;=0,$C$1*$AZ$5/12,IFERROR(-IPMT($AZ$5/12,AT10,$F$1*12,$C$1,0),0))</f>
        <v>0</v>
      </c>
      <c r="AX10" s="497">
        <f t="shared" si="5"/>
        <v>0</v>
      </c>
      <c r="AY10" s="497">
        <f t="shared" si="18"/>
        <v>1800000</v>
      </c>
      <c r="AZ10" s="493"/>
      <c r="BA10" s="493"/>
      <c r="BC10" s="492">
        <v>6</v>
      </c>
      <c r="BD10" s="492">
        <v>1</v>
      </c>
      <c r="BE10" s="497">
        <f>IF(('Comparison Calculator'!$E$11-BD10)&gt;=0,0,IFERROR(-PPMT($BI$5/12,BC10,$F$1*12,$C$1),0))</f>
        <v>0</v>
      </c>
      <c r="BF10" s="497">
        <f>IF(('Comparison Calculator'!$G$11-BD10)&gt;=0,$C$1*$BI$5/12,IFERROR(-IPMT($BI$5/12,BC10,$F$1*12,$C$1,0),0))</f>
        <v>0</v>
      </c>
      <c r="BG10" s="497">
        <f t="shared" si="6"/>
        <v>0</v>
      </c>
      <c r="BH10" s="497">
        <f t="shared" si="19"/>
        <v>1800000</v>
      </c>
      <c r="BI10" s="493"/>
      <c r="BJ10" s="493"/>
      <c r="BK10" s="492">
        <v>6</v>
      </c>
      <c r="BL10" s="492">
        <v>1</v>
      </c>
      <c r="BM10" s="497">
        <f>IF(('Comparison Calculator'!$E$11-BL10)&gt;=0,0,IFERROR(-PPMT($BQ$5/12,BK10,$F$1*12,$C$1),0))</f>
        <v>0</v>
      </c>
      <c r="BN10" s="497">
        <f>IF(('Comparison Calculator'!$G$11-BL10)&gt;=0,$C$1*$BQ$5/12,IFERROR(-IPMT($BQ$5/12,BK10,$F$1*12,$C$1,0),0))</f>
        <v>0</v>
      </c>
      <c r="BO10" s="497">
        <f t="shared" si="7"/>
        <v>0</v>
      </c>
      <c r="BP10" s="497">
        <f t="shared" si="20"/>
        <v>1800000</v>
      </c>
      <c r="BQ10" s="493"/>
      <c r="BR10" s="493"/>
      <c r="BT10" s="492">
        <v>6</v>
      </c>
      <c r="BU10" s="492">
        <v>1</v>
      </c>
      <c r="BV10" s="497">
        <f>IF(('Comparison Calculator'!$E$11-BU10)&gt;=0,0,IFERROR(-PPMT($BZ$5/12,BT10,$F$1*12,$C$1),0))</f>
        <v>0</v>
      </c>
      <c r="BW10" s="497">
        <f>IF(('Comparison Calculator'!$G$11-BU10)&gt;=0,$C$1*$BZ$5/12,IFERROR(-IPMT($BZ$5/12,BT10,$F$1*12,$C$1,0),0))</f>
        <v>0</v>
      </c>
      <c r="BX10" s="497">
        <f t="shared" si="8"/>
        <v>0</v>
      </c>
      <c r="BY10" s="497">
        <f t="shared" si="21"/>
        <v>1800000</v>
      </c>
      <c r="BZ10" s="493"/>
      <c r="CA10" s="493"/>
      <c r="CC10" s="492">
        <v>6</v>
      </c>
      <c r="CD10" s="492">
        <v>1</v>
      </c>
      <c r="CE10" s="497">
        <f>IF(('Comparison Calculator'!$E$11-CD10)&gt;=0,0,IFERROR(-PPMT($CI$5/12,CC10,$F$1*12,$C$1),0))</f>
        <v>0</v>
      </c>
      <c r="CF10" s="497">
        <f>IF(('Comparison Calculator'!$G$11-CD10)&gt;=0,$C$1*$CI$5/12,IFERROR(-IPMT($CI$5/12,CC10,$F$1*12,$C$1,0),0))</f>
        <v>0</v>
      </c>
      <c r="CG10" s="497">
        <f t="shared" si="9"/>
        <v>0</v>
      </c>
      <c r="CH10" s="497">
        <f t="shared" si="22"/>
        <v>1800000</v>
      </c>
      <c r="CI10" s="493"/>
      <c r="CJ10" s="493"/>
      <c r="CL10" s="492">
        <v>6</v>
      </c>
      <c r="CM10" s="492">
        <v>1</v>
      </c>
      <c r="CN10" s="497">
        <f>IF(('Comparison Calculator'!$E$11-CM10)&gt;=0,0,IFERROR(-PPMT($CR$5/12,CL10,$F$1*12,$C$1),0))</f>
        <v>0</v>
      </c>
      <c r="CO10" s="497">
        <f>IF(('Comparison Calculator'!$G$11-CM10)&gt;=0,$C$1*$CR$5/12,IFERROR(-IPMT($CR$5/12,CL10,$F$1*12,$C$1,0),0))</f>
        <v>0</v>
      </c>
      <c r="CP10" s="497">
        <f t="shared" si="10"/>
        <v>0</v>
      </c>
      <c r="CQ10" s="497">
        <f t="shared" si="23"/>
        <v>1800000</v>
      </c>
      <c r="CR10" s="493"/>
      <c r="CS10" s="493"/>
      <c r="CU10" s="492">
        <v>6</v>
      </c>
      <c r="CV10" s="492">
        <v>1</v>
      </c>
      <c r="CW10" s="497">
        <f>IF(('Comparison Calculator'!$E$11-CV10)&gt;=0,0,IFERROR(-PPMT($DA$5/12,CU10,$F$1*12,$C$1),0))</f>
        <v>0</v>
      </c>
      <c r="CX10" s="497">
        <f>IF(('Comparison Calculator'!$G$11-CV10)&gt;=0,$C$1*$DA$5/12,IFERROR(-IPMT($DA$5/12,CU10,$F$1*12,$C$1,0),0))</f>
        <v>0</v>
      </c>
      <c r="CY10" s="497">
        <f t="shared" si="11"/>
        <v>0</v>
      </c>
      <c r="CZ10" s="497">
        <f t="shared" si="24"/>
        <v>1800000</v>
      </c>
      <c r="DA10" s="493"/>
      <c r="DB10" s="493"/>
      <c r="DD10" s="492">
        <v>6</v>
      </c>
      <c r="DE10" s="492">
        <v>1</v>
      </c>
      <c r="DF10" s="497">
        <f>IF(('Comparison Calculator'!$E$11-DE10)&gt;=0,0,IFERROR(-PPMT($DJ$5/12,DD10,$F$1*12,$C$1),0))</f>
        <v>0</v>
      </c>
      <c r="DG10" s="497">
        <f>IF(('Comparison Calculator'!$G$11-DE10)&gt;=0,$C$1*$DJ$5/12,IFERROR(-IPMT($DJ$5/12,DD10,$F$1*12,$C$1,0),0))</f>
        <v>0</v>
      </c>
      <c r="DH10" s="497">
        <f t="shared" si="12"/>
        <v>0</v>
      </c>
      <c r="DI10" s="497">
        <f t="shared" si="25"/>
        <v>1800000</v>
      </c>
      <c r="DJ10" s="493"/>
      <c r="DK10" s="493"/>
    </row>
    <row r="11" spans="1:115">
      <c r="A11" s="492">
        <v>7</v>
      </c>
      <c r="B11" s="492">
        <v>1</v>
      </c>
      <c r="C11" s="497">
        <f>IF(('Comparison Calculator'!$E$11-B11)&gt;=0,0,IFERROR(-PPMT($G$5/12,A11,$F$1*12,$C$1),0))</f>
        <v>0</v>
      </c>
      <c r="D11" s="497">
        <f>IF(('Comparison Calculator'!$G$11-B11)&gt;=0,$C$1*$G$5/12,IFERROR(-IPMT($G$5/12,A11,$F$1*12,$C$1,0),0))</f>
        <v>0</v>
      </c>
      <c r="E11" s="497">
        <f t="shared" si="0"/>
        <v>0</v>
      </c>
      <c r="F11" s="497">
        <f t="shared" si="13"/>
        <v>1800000</v>
      </c>
      <c r="G11" s="493"/>
      <c r="H11" s="493"/>
      <c r="I11" s="489"/>
      <c r="J11" s="492">
        <v>7</v>
      </c>
      <c r="K11" s="492">
        <v>1</v>
      </c>
      <c r="L11" s="497">
        <f>IF(('Comparison Calculator'!$E$11-K11)&gt;=0,0,IFERROR(-PPMT($P$5/12,J11,$F$1*12,$C$1),0))</f>
        <v>0</v>
      </c>
      <c r="M11" s="497">
        <f>IF(('Comparison Calculator'!$G$11-K11)&gt;=0,$C$1*$P$5/12,IFERROR(-IPMT($P$5/12,J11,$F$1*12,$C$1,0),0))</f>
        <v>0</v>
      </c>
      <c r="N11" s="497">
        <f t="shared" si="1"/>
        <v>0</v>
      </c>
      <c r="O11" s="497">
        <f t="shared" si="14"/>
        <v>1800000</v>
      </c>
      <c r="P11" s="493"/>
      <c r="Q11" s="493"/>
      <c r="S11" s="492">
        <v>7</v>
      </c>
      <c r="T11" s="492">
        <v>1</v>
      </c>
      <c r="U11" s="497">
        <f>IF(('Comparison Calculator'!$E$11-T11)&gt;=0,0,IFERROR(-PPMT($Y$5/12,S11,$F$1*12,$C$1),0))</f>
        <v>0</v>
      </c>
      <c r="V11" s="497">
        <f>IF(('Comparison Calculator'!$G$11-T11)&gt;=0,$C$1*$Y$5/12,IFERROR(-IPMT($Y$5/12,S11,$F$1*12,$C$1,0),0))</f>
        <v>0</v>
      </c>
      <c r="W11" s="497">
        <f t="shared" si="2"/>
        <v>0</v>
      </c>
      <c r="X11" s="497">
        <f t="shared" si="15"/>
        <v>1800000</v>
      </c>
      <c r="Y11" s="493"/>
      <c r="Z11" s="493"/>
      <c r="AB11" s="492">
        <v>7</v>
      </c>
      <c r="AC11" s="492">
        <v>1</v>
      </c>
      <c r="AD11" s="497">
        <f>IF(('Comparison Calculator'!$E$11-AC11)&gt;=0,0,IFERROR(-PPMT($AH$5/12,AB11,$F$1*12,$C$1),0))</f>
        <v>0</v>
      </c>
      <c r="AE11" s="497">
        <f>IF(('Comparison Calculator'!$G$11-AC11)&gt;=0,$C$1*$AH$5/12,IFERROR(-IPMT($AH$5/12,AB11,$F$1*12,$C$1,0),0))</f>
        <v>0</v>
      </c>
      <c r="AF11" s="497">
        <f t="shared" si="3"/>
        <v>0</v>
      </c>
      <c r="AG11" s="497">
        <f t="shared" si="16"/>
        <v>1800000</v>
      </c>
      <c r="AH11" s="493"/>
      <c r="AI11" s="493"/>
      <c r="AK11" s="492">
        <v>7</v>
      </c>
      <c r="AL11" s="492">
        <v>1</v>
      </c>
      <c r="AM11" s="497">
        <f>IF(('Comparison Calculator'!$E$11-AL11)&gt;=0,0,IFERROR(-PPMT($AQ$5/12,AK11,$F$1*12,$C$1),0))</f>
        <v>0</v>
      </c>
      <c r="AN11" s="497">
        <f>IF(('Comparison Calculator'!$G$11-AL11)&gt;=0,$C$1*$AQ$5/12,IFERROR(-IPMT($AQ$5/12,AK11,$F$1*12,$C$1,0),0))</f>
        <v>0</v>
      </c>
      <c r="AO11" s="497">
        <f t="shared" si="4"/>
        <v>0</v>
      </c>
      <c r="AP11" s="497">
        <f t="shared" si="17"/>
        <v>1800000</v>
      </c>
      <c r="AQ11" s="493"/>
      <c r="AR11" s="493"/>
      <c r="AT11" s="492">
        <v>7</v>
      </c>
      <c r="AU11" s="492">
        <v>1</v>
      </c>
      <c r="AV11" s="497">
        <f>IF(('Comparison Calculator'!$E$11-AU11)&gt;=0,0,IFERROR(-PPMT($AZ$5/12,AT11,$F$1*12,$C$1),0))</f>
        <v>0</v>
      </c>
      <c r="AW11" s="497">
        <f>IF(('Comparison Calculator'!$G$11-AU11)&gt;=0,$C$1*$AZ$5/12,IFERROR(-IPMT($AZ$5/12,AT11,$F$1*12,$C$1,0),0))</f>
        <v>0</v>
      </c>
      <c r="AX11" s="497">
        <f t="shared" si="5"/>
        <v>0</v>
      </c>
      <c r="AY11" s="497">
        <f t="shared" si="18"/>
        <v>1800000</v>
      </c>
      <c r="AZ11" s="493"/>
      <c r="BA11" s="493"/>
      <c r="BC11" s="492">
        <v>7</v>
      </c>
      <c r="BD11" s="492">
        <v>1</v>
      </c>
      <c r="BE11" s="497">
        <f>IF(('Comparison Calculator'!$E$11-BD11)&gt;=0,0,IFERROR(-PPMT($BI$5/12,BC11,$F$1*12,$C$1),0))</f>
        <v>0</v>
      </c>
      <c r="BF11" s="497">
        <f>IF(('Comparison Calculator'!$G$11-BD11)&gt;=0,$C$1*$BI$5/12,IFERROR(-IPMT($BI$5/12,BC11,$F$1*12,$C$1,0),0))</f>
        <v>0</v>
      </c>
      <c r="BG11" s="497">
        <f t="shared" si="6"/>
        <v>0</v>
      </c>
      <c r="BH11" s="497">
        <f t="shared" si="19"/>
        <v>1800000</v>
      </c>
      <c r="BI11" s="493"/>
      <c r="BJ11" s="493"/>
      <c r="BK11" s="492">
        <v>7</v>
      </c>
      <c r="BL11" s="492">
        <v>1</v>
      </c>
      <c r="BM11" s="497">
        <f>IF(('Comparison Calculator'!$E$11-BL11)&gt;=0,0,IFERROR(-PPMT($BQ$5/12,BK11,$F$1*12,$C$1),0))</f>
        <v>0</v>
      </c>
      <c r="BN11" s="497">
        <f>IF(('Comparison Calculator'!$G$11-BL11)&gt;=0,$C$1*$BQ$5/12,IFERROR(-IPMT($BQ$5/12,BK11,$F$1*12,$C$1,0),0))</f>
        <v>0</v>
      </c>
      <c r="BO11" s="497">
        <f t="shared" si="7"/>
        <v>0</v>
      </c>
      <c r="BP11" s="497">
        <f t="shared" si="20"/>
        <v>1800000</v>
      </c>
      <c r="BQ11" s="493"/>
      <c r="BR11" s="493"/>
      <c r="BT11" s="492">
        <v>7</v>
      </c>
      <c r="BU11" s="492">
        <v>1</v>
      </c>
      <c r="BV11" s="497">
        <f>IF(('Comparison Calculator'!$E$11-BU11)&gt;=0,0,IFERROR(-PPMT($BZ$5/12,BT11,$F$1*12,$C$1),0))</f>
        <v>0</v>
      </c>
      <c r="BW11" s="497">
        <f>IF(('Comparison Calculator'!$G$11-BU11)&gt;=0,$C$1*$BZ$5/12,IFERROR(-IPMT($BZ$5/12,BT11,$F$1*12,$C$1,0),0))</f>
        <v>0</v>
      </c>
      <c r="BX11" s="497">
        <f t="shared" si="8"/>
        <v>0</v>
      </c>
      <c r="BY11" s="497">
        <f t="shared" si="21"/>
        <v>1800000</v>
      </c>
      <c r="BZ11" s="493"/>
      <c r="CA11" s="493"/>
      <c r="CC11" s="492">
        <v>7</v>
      </c>
      <c r="CD11" s="492">
        <v>1</v>
      </c>
      <c r="CE11" s="497">
        <f>IF(('Comparison Calculator'!$E$11-CD11)&gt;=0,0,IFERROR(-PPMT($CI$5/12,CC11,$F$1*12,$C$1),0))</f>
        <v>0</v>
      </c>
      <c r="CF11" s="497">
        <f>IF(('Comparison Calculator'!$G$11-CD11)&gt;=0,$C$1*$CI$5/12,IFERROR(-IPMT($CI$5/12,CC11,$F$1*12,$C$1,0),0))</f>
        <v>0</v>
      </c>
      <c r="CG11" s="497">
        <f t="shared" si="9"/>
        <v>0</v>
      </c>
      <c r="CH11" s="497">
        <f t="shared" si="22"/>
        <v>1800000</v>
      </c>
      <c r="CI11" s="493"/>
      <c r="CJ11" s="493"/>
      <c r="CL11" s="492">
        <v>7</v>
      </c>
      <c r="CM11" s="492">
        <v>1</v>
      </c>
      <c r="CN11" s="497">
        <f>IF(('Comparison Calculator'!$E$11-CM11)&gt;=0,0,IFERROR(-PPMT($CR$5/12,CL11,$F$1*12,$C$1),0))</f>
        <v>0</v>
      </c>
      <c r="CO11" s="497">
        <f>IF(('Comparison Calculator'!$G$11-CM11)&gt;=0,$C$1*$CR$5/12,IFERROR(-IPMT($CR$5/12,CL11,$F$1*12,$C$1,0),0))</f>
        <v>0</v>
      </c>
      <c r="CP11" s="497">
        <f t="shared" si="10"/>
        <v>0</v>
      </c>
      <c r="CQ11" s="497">
        <f t="shared" si="23"/>
        <v>1800000</v>
      </c>
      <c r="CR11" s="493"/>
      <c r="CS11" s="493"/>
      <c r="CU11" s="492">
        <v>7</v>
      </c>
      <c r="CV11" s="492">
        <v>1</v>
      </c>
      <c r="CW11" s="497">
        <f>IF(('Comparison Calculator'!$E$11-CV11)&gt;=0,0,IFERROR(-PPMT($DA$5/12,CU11,$F$1*12,$C$1),0))</f>
        <v>0</v>
      </c>
      <c r="CX11" s="497">
        <f>IF(('Comparison Calculator'!$G$11-CV11)&gt;=0,$C$1*$DA$5/12,IFERROR(-IPMT($DA$5/12,CU11,$F$1*12,$C$1,0),0))</f>
        <v>0</v>
      </c>
      <c r="CY11" s="497">
        <f t="shared" si="11"/>
        <v>0</v>
      </c>
      <c r="CZ11" s="497">
        <f t="shared" si="24"/>
        <v>1800000</v>
      </c>
      <c r="DA11" s="493"/>
      <c r="DB11" s="493"/>
      <c r="DD11" s="492">
        <v>7</v>
      </c>
      <c r="DE11" s="492">
        <v>1</v>
      </c>
      <c r="DF11" s="497">
        <f>IF(('Comparison Calculator'!$E$11-DE11)&gt;=0,0,IFERROR(-PPMT($DJ$5/12,DD11,$F$1*12,$C$1),0))</f>
        <v>0</v>
      </c>
      <c r="DG11" s="497">
        <f>IF(('Comparison Calculator'!$G$11-DE11)&gt;=0,$C$1*$DJ$5/12,IFERROR(-IPMT($DJ$5/12,DD11,$F$1*12,$C$1,0),0))</f>
        <v>0</v>
      </c>
      <c r="DH11" s="497">
        <f t="shared" si="12"/>
        <v>0</v>
      </c>
      <c r="DI11" s="497">
        <f t="shared" si="25"/>
        <v>1800000</v>
      </c>
      <c r="DJ11" s="493"/>
      <c r="DK11" s="493"/>
    </row>
    <row r="12" spans="1:115">
      <c r="A12" s="492">
        <v>8</v>
      </c>
      <c r="B12" s="492">
        <v>1</v>
      </c>
      <c r="C12" s="497">
        <f>IF(('Comparison Calculator'!$E$11-B12)&gt;=0,0,IFERROR(-PPMT($G$5/12,A12,$F$1*12,$C$1),0))</f>
        <v>0</v>
      </c>
      <c r="D12" s="497">
        <f>IF(('Comparison Calculator'!$G$11-B12)&gt;=0,$C$1*$G$5/12,IFERROR(-IPMT($G$5/12,A12,$F$1*12,$C$1,0),0))</f>
        <v>0</v>
      </c>
      <c r="E12" s="497">
        <f t="shared" si="0"/>
        <v>0</v>
      </c>
      <c r="F12" s="497">
        <f t="shared" si="13"/>
        <v>1800000</v>
      </c>
      <c r="G12" s="493"/>
      <c r="H12" s="493"/>
      <c r="I12" s="489"/>
      <c r="J12" s="492">
        <v>8</v>
      </c>
      <c r="K12" s="492">
        <v>1</v>
      </c>
      <c r="L12" s="497">
        <f>IF(('Comparison Calculator'!$E$11-K12)&gt;=0,0,IFERROR(-PPMT($P$5/12,J12,$F$1*12,$C$1),0))</f>
        <v>0</v>
      </c>
      <c r="M12" s="497">
        <f>IF(('Comparison Calculator'!$G$11-K12)&gt;=0,$C$1*$P$5/12,IFERROR(-IPMT($P$5/12,J12,$F$1*12,$C$1,0),0))</f>
        <v>0</v>
      </c>
      <c r="N12" s="497">
        <f t="shared" si="1"/>
        <v>0</v>
      </c>
      <c r="O12" s="497">
        <f t="shared" si="14"/>
        <v>1800000</v>
      </c>
      <c r="P12" s="493"/>
      <c r="Q12" s="493"/>
      <c r="S12" s="492">
        <v>8</v>
      </c>
      <c r="T12" s="492">
        <v>1</v>
      </c>
      <c r="U12" s="497">
        <f>IF(('Comparison Calculator'!$E$11-T12)&gt;=0,0,IFERROR(-PPMT($Y$5/12,S12,$F$1*12,$C$1),0))</f>
        <v>0</v>
      </c>
      <c r="V12" s="497">
        <f>IF(('Comparison Calculator'!$G$11-T12)&gt;=0,$C$1*$Y$5/12,IFERROR(-IPMT($Y$5/12,S12,$F$1*12,$C$1,0),0))</f>
        <v>0</v>
      </c>
      <c r="W12" s="497">
        <f t="shared" si="2"/>
        <v>0</v>
      </c>
      <c r="X12" s="497">
        <f t="shared" si="15"/>
        <v>1800000</v>
      </c>
      <c r="Y12" s="493"/>
      <c r="Z12" s="493"/>
      <c r="AB12" s="492">
        <v>8</v>
      </c>
      <c r="AC12" s="492">
        <v>1</v>
      </c>
      <c r="AD12" s="497">
        <f>IF(('Comparison Calculator'!$E$11-AC12)&gt;=0,0,IFERROR(-PPMT($AH$5/12,AB12,$F$1*12,$C$1),0))</f>
        <v>0</v>
      </c>
      <c r="AE12" s="497">
        <f>IF(('Comparison Calculator'!$G$11-AC12)&gt;=0,$C$1*$AH$5/12,IFERROR(-IPMT($AH$5/12,AB12,$F$1*12,$C$1,0),0))</f>
        <v>0</v>
      </c>
      <c r="AF12" s="497">
        <f t="shared" si="3"/>
        <v>0</v>
      </c>
      <c r="AG12" s="497">
        <f t="shared" si="16"/>
        <v>1800000</v>
      </c>
      <c r="AH12" s="493"/>
      <c r="AI12" s="493"/>
      <c r="AK12" s="492">
        <v>8</v>
      </c>
      <c r="AL12" s="492">
        <v>1</v>
      </c>
      <c r="AM12" s="497">
        <f>IF(('Comparison Calculator'!$E$11-AL12)&gt;=0,0,IFERROR(-PPMT($AQ$5/12,AK12,$F$1*12,$C$1),0))</f>
        <v>0</v>
      </c>
      <c r="AN12" s="497">
        <f>IF(('Comparison Calculator'!$G$11-AL12)&gt;=0,$C$1*$AQ$5/12,IFERROR(-IPMT($AQ$5/12,AK12,$F$1*12,$C$1,0),0))</f>
        <v>0</v>
      </c>
      <c r="AO12" s="497">
        <f t="shared" si="4"/>
        <v>0</v>
      </c>
      <c r="AP12" s="497">
        <f t="shared" si="17"/>
        <v>1800000</v>
      </c>
      <c r="AQ12" s="493"/>
      <c r="AR12" s="493"/>
      <c r="AT12" s="492">
        <v>8</v>
      </c>
      <c r="AU12" s="492">
        <v>1</v>
      </c>
      <c r="AV12" s="497">
        <f>IF(('Comparison Calculator'!$E$11-AU12)&gt;=0,0,IFERROR(-PPMT($AZ$5/12,AT12,$F$1*12,$C$1),0))</f>
        <v>0</v>
      </c>
      <c r="AW12" s="497">
        <f>IF(('Comparison Calculator'!$G$11-AU12)&gt;=0,$C$1*$AZ$5/12,IFERROR(-IPMT($AZ$5/12,AT12,$F$1*12,$C$1,0),0))</f>
        <v>0</v>
      </c>
      <c r="AX12" s="497">
        <f t="shared" si="5"/>
        <v>0</v>
      </c>
      <c r="AY12" s="497">
        <f t="shared" si="18"/>
        <v>1800000</v>
      </c>
      <c r="AZ12" s="493"/>
      <c r="BA12" s="493"/>
      <c r="BC12" s="492">
        <v>8</v>
      </c>
      <c r="BD12" s="492">
        <v>1</v>
      </c>
      <c r="BE12" s="497">
        <f>IF(('Comparison Calculator'!$E$11-BD12)&gt;=0,0,IFERROR(-PPMT($BI$5/12,BC12,$F$1*12,$C$1),0))</f>
        <v>0</v>
      </c>
      <c r="BF12" s="497">
        <f>IF(('Comparison Calculator'!$G$11-BD12)&gt;=0,$C$1*$BI$5/12,IFERROR(-IPMT($BI$5/12,BC12,$F$1*12,$C$1,0),0))</f>
        <v>0</v>
      </c>
      <c r="BG12" s="497">
        <f t="shared" si="6"/>
        <v>0</v>
      </c>
      <c r="BH12" s="497">
        <f t="shared" si="19"/>
        <v>1800000</v>
      </c>
      <c r="BI12" s="493"/>
      <c r="BJ12" s="493"/>
      <c r="BK12" s="492">
        <v>8</v>
      </c>
      <c r="BL12" s="492">
        <v>1</v>
      </c>
      <c r="BM12" s="497">
        <f>IF(('Comparison Calculator'!$E$11-BL12)&gt;=0,0,IFERROR(-PPMT($BQ$5/12,BK12,$F$1*12,$C$1),0))</f>
        <v>0</v>
      </c>
      <c r="BN12" s="497">
        <f>IF(('Comparison Calculator'!$G$11-BL12)&gt;=0,$C$1*$BQ$5/12,IFERROR(-IPMT($BQ$5/12,BK12,$F$1*12,$C$1,0),0))</f>
        <v>0</v>
      </c>
      <c r="BO12" s="497">
        <f t="shared" si="7"/>
        <v>0</v>
      </c>
      <c r="BP12" s="497">
        <f t="shared" si="20"/>
        <v>1800000</v>
      </c>
      <c r="BQ12" s="493"/>
      <c r="BR12" s="493"/>
      <c r="BT12" s="492">
        <v>8</v>
      </c>
      <c r="BU12" s="492">
        <v>1</v>
      </c>
      <c r="BV12" s="497">
        <f>IF(('Comparison Calculator'!$E$11-BU12)&gt;=0,0,IFERROR(-PPMT($BZ$5/12,BT12,$F$1*12,$C$1),0))</f>
        <v>0</v>
      </c>
      <c r="BW12" s="497">
        <f>IF(('Comparison Calculator'!$G$11-BU12)&gt;=0,$C$1*$BZ$5/12,IFERROR(-IPMT($BZ$5/12,BT12,$F$1*12,$C$1,0),0))</f>
        <v>0</v>
      </c>
      <c r="BX12" s="497">
        <f t="shared" si="8"/>
        <v>0</v>
      </c>
      <c r="BY12" s="497">
        <f t="shared" si="21"/>
        <v>1800000</v>
      </c>
      <c r="BZ12" s="493"/>
      <c r="CA12" s="493"/>
      <c r="CC12" s="492">
        <v>8</v>
      </c>
      <c r="CD12" s="492">
        <v>1</v>
      </c>
      <c r="CE12" s="497">
        <f>IF(('Comparison Calculator'!$E$11-CD12)&gt;=0,0,IFERROR(-PPMT($CI$5/12,CC12,$F$1*12,$C$1),0))</f>
        <v>0</v>
      </c>
      <c r="CF12" s="497">
        <f>IF(('Comparison Calculator'!$G$11-CD12)&gt;=0,$C$1*$CI$5/12,IFERROR(-IPMT($CI$5/12,CC12,$F$1*12,$C$1,0),0))</f>
        <v>0</v>
      </c>
      <c r="CG12" s="497">
        <f t="shared" si="9"/>
        <v>0</v>
      </c>
      <c r="CH12" s="497">
        <f t="shared" si="22"/>
        <v>1800000</v>
      </c>
      <c r="CI12" s="493"/>
      <c r="CJ12" s="493"/>
      <c r="CL12" s="492">
        <v>8</v>
      </c>
      <c r="CM12" s="492">
        <v>1</v>
      </c>
      <c r="CN12" s="497">
        <f>IF(('Comparison Calculator'!$E$11-CM12)&gt;=0,0,IFERROR(-PPMT($CR$5/12,CL12,$F$1*12,$C$1),0))</f>
        <v>0</v>
      </c>
      <c r="CO12" s="497">
        <f>IF(('Comparison Calculator'!$G$11-CM12)&gt;=0,$C$1*$CR$5/12,IFERROR(-IPMT($CR$5/12,CL12,$F$1*12,$C$1,0),0))</f>
        <v>0</v>
      </c>
      <c r="CP12" s="497">
        <f t="shared" si="10"/>
        <v>0</v>
      </c>
      <c r="CQ12" s="497">
        <f t="shared" si="23"/>
        <v>1800000</v>
      </c>
      <c r="CR12" s="493"/>
      <c r="CS12" s="493"/>
      <c r="CU12" s="492">
        <v>8</v>
      </c>
      <c r="CV12" s="492">
        <v>1</v>
      </c>
      <c r="CW12" s="497">
        <f>IF(('Comparison Calculator'!$E$11-CV12)&gt;=0,0,IFERROR(-PPMT($DA$5/12,CU12,$F$1*12,$C$1),0))</f>
        <v>0</v>
      </c>
      <c r="CX12" s="497">
        <f>IF(('Comparison Calculator'!$G$11-CV12)&gt;=0,$C$1*$DA$5/12,IFERROR(-IPMT($DA$5/12,CU12,$F$1*12,$C$1,0),0))</f>
        <v>0</v>
      </c>
      <c r="CY12" s="497">
        <f t="shared" si="11"/>
        <v>0</v>
      </c>
      <c r="CZ12" s="497">
        <f t="shared" si="24"/>
        <v>1800000</v>
      </c>
      <c r="DA12" s="493"/>
      <c r="DB12" s="493"/>
      <c r="DD12" s="492">
        <v>8</v>
      </c>
      <c r="DE12" s="492">
        <v>1</v>
      </c>
      <c r="DF12" s="497">
        <f>IF(('Comparison Calculator'!$E$11-DE12)&gt;=0,0,IFERROR(-PPMT($DJ$5/12,DD12,$F$1*12,$C$1),0))</f>
        <v>0</v>
      </c>
      <c r="DG12" s="497">
        <f>IF(('Comparison Calculator'!$G$11-DE12)&gt;=0,$C$1*$DJ$5/12,IFERROR(-IPMT($DJ$5/12,DD12,$F$1*12,$C$1,0),0))</f>
        <v>0</v>
      </c>
      <c r="DH12" s="497">
        <f t="shared" si="12"/>
        <v>0</v>
      </c>
      <c r="DI12" s="497">
        <f t="shared" si="25"/>
        <v>1800000</v>
      </c>
      <c r="DJ12" s="493"/>
      <c r="DK12" s="493"/>
    </row>
    <row r="13" spans="1:115">
      <c r="A13" s="492">
        <v>9</v>
      </c>
      <c r="B13" s="492">
        <v>1</v>
      </c>
      <c r="C13" s="497">
        <f>IF(('Comparison Calculator'!$E$11-B13)&gt;=0,0,IFERROR(-PPMT($G$5/12,A13,$F$1*12,$C$1),0))</f>
        <v>0</v>
      </c>
      <c r="D13" s="497">
        <f>IF(('Comparison Calculator'!$G$11-B13)&gt;=0,$C$1*$G$5/12,IFERROR(-IPMT($G$5/12,A13,$F$1*12,$C$1,0),0))</f>
        <v>0</v>
      </c>
      <c r="E13" s="497">
        <f t="shared" si="0"/>
        <v>0</v>
      </c>
      <c r="F13" s="497">
        <f t="shared" si="13"/>
        <v>1800000</v>
      </c>
      <c r="G13" s="493"/>
      <c r="H13" s="493"/>
      <c r="I13" s="489"/>
      <c r="J13" s="492">
        <v>9</v>
      </c>
      <c r="K13" s="492">
        <v>1</v>
      </c>
      <c r="L13" s="497">
        <f>IF(('Comparison Calculator'!$E$11-K13)&gt;=0,0,IFERROR(-PPMT($P$5/12,J13,$F$1*12,$C$1),0))</f>
        <v>0</v>
      </c>
      <c r="M13" s="497">
        <f>IF(('Comparison Calculator'!$G$11-K13)&gt;=0,$C$1*$P$5/12,IFERROR(-IPMT($P$5/12,J13,$F$1*12,$C$1,0),0))</f>
        <v>0</v>
      </c>
      <c r="N13" s="497">
        <f t="shared" si="1"/>
        <v>0</v>
      </c>
      <c r="O13" s="497">
        <f t="shared" si="14"/>
        <v>1800000</v>
      </c>
      <c r="P13" s="493"/>
      <c r="Q13" s="493"/>
      <c r="S13" s="492">
        <v>9</v>
      </c>
      <c r="T13" s="492">
        <v>1</v>
      </c>
      <c r="U13" s="497">
        <f>IF(('Comparison Calculator'!$E$11-T13)&gt;=0,0,IFERROR(-PPMT($Y$5/12,S13,$F$1*12,$C$1),0))</f>
        <v>0</v>
      </c>
      <c r="V13" s="497">
        <f>IF(('Comparison Calculator'!$G$11-T13)&gt;=0,$C$1*$Y$5/12,IFERROR(-IPMT($Y$5/12,S13,$F$1*12,$C$1,0),0))</f>
        <v>0</v>
      </c>
      <c r="W13" s="497">
        <f t="shared" si="2"/>
        <v>0</v>
      </c>
      <c r="X13" s="497">
        <f t="shared" si="15"/>
        <v>1800000</v>
      </c>
      <c r="Y13" s="493"/>
      <c r="Z13" s="493"/>
      <c r="AB13" s="492">
        <v>9</v>
      </c>
      <c r="AC13" s="492">
        <v>1</v>
      </c>
      <c r="AD13" s="497">
        <f>IF(('Comparison Calculator'!$E$11-AC13)&gt;=0,0,IFERROR(-PPMT($AH$5/12,AB13,$F$1*12,$C$1),0))</f>
        <v>0</v>
      </c>
      <c r="AE13" s="497">
        <f>IF(('Comparison Calculator'!$G$11-AC13)&gt;=0,$C$1*$AH$5/12,IFERROR(-IPMT($AH$5/12,AB13,$F$1*12,$C$1,0),0))</f>
        <v>0</v>
      </c>
      <c r="AF13" s="497">
        <f t="shared" si="3"/>
        <v>0</v>
      </c>
      <c r="AG13" s="497">
        <f t="shared" si="16"/>
        <v>1800000</v>
      </c>
      <c r="AH13" s="493"/>
      <c r="AI13" s="493"/>
      <c r="AK13" s="492">
        <v>9</v>
      </c>
      <c r="AL13" s="492">
        <v>1</v>
      </c>
      <c r="AM13" s="497">
        <f>IF(('Comparison Calculator'!$E$11-AL13)&gt;=0,0,IFERROR(-PPMT($AQ$5/12,AK13,$F$1*12,$C$1),0))</f>
        <v>0</v>
      </c>
      <c r="AN13" s="497">
        <f>IF(('Comparison Calculator'!$G$11-AL13)&gt;=0,$C$1*$AQ$5/12,IFERROR(-IPMT($AQ$5/12,AK13,$F$1*12,$C$1,0),0))</f>
        <v>0</v>
      </c>
      <c r="AO13" s="497">
        <f t="shared" si="4"/>
        <v>0</v>
      </c>
      <c r="AP13" s="497">
        <f t="shared" si="17"/>
        <v>1800000</v>
      </c>
      <c r="AQ13" s="493"/>
      <c r="AR13" s="493"/>
      <c r="AT13" s="492">
        <v>9</v>
      </c>
      <c r="AU13" s="492">
        <v>1</v>
      </c>
      <c r="AV13" s="497">
        <f>IF(('Comparison Calculator'!$E$11-AU13)&gt;=0,0,IFERROR(-PPMT($AZ$5/12,AT13,$F$1*12,$C$1),0))</f>
        <v>0</v>
      </c>
      <c r="AW13" s="497">
        <f>IF(('Comparison Calculator'!$G$11-AU13)&gt;=0,$C$1*$AZ$5/12,IFERROR(-IPMT($AZ$5/12,AT13,$F$1*12,$C$1,0),0))</f>
        <v>0</v>
      </c>
      <c r="AX13" s="497">
        <f t="shared" si="5"/>
        <v>0</v>
      </c>
      <c r="AY13" s="497">
        <f t="shared" si="18"/>
        <v>1800000</v>
      </c>
      <c r="AZ13" s="493"/>
      <c r="BA13" s="493"/>
      <c r="BC13" s="492">
        <v>9</v>
      </c>
      <c r="BD13" s="492">
        <v>1</v>
      </c>
      <c r="BE13" s="497">
        <f>IF(('Comparison Calculator'!$E$11-BD13)&gt;=0,0,IFERROR(-PPMT($BI$5/12,BC13,$F$1*12,$C$1),0))</f>
        <v>0</v>
      </c>
      <c r="BF13" s="497">
        <f>IF(('Comparison Calculator'!$G$11-BD13)&gt;=0,$C$1*$BI$5/12,IFERROR(-IPMT($BI$5/12,BC13,$F$1*12,$C$1,0),0))</f>
        <v>0</v>
      </c>
      <c r="BG13" s="497">
        <f t="shared" si="6"/>
        <v>0</v>
      </c>
      <c r="BH13" s="497">
        <f t="shared" si="19"/>
        <v>1800000</v>
      </c>
      <c r="BI13" s="493"/>
      <c r="BJ13" s="493"/>
      <c r="BK13" s="492">
        <v>9</v>
      </c>
      <c r="BL13" s="492">
        <v>1</v>
      </c>
      <c r="BM13" s="497">
        <f>IF(('Comparison Calculator'!$E$11-BL13)&gt;=0,0,IFERROR(-PPMT($BQ$5/12,BK13,$F$1*12,$C$1),0))</f>
        <v>0</v>
      </c>
      <c r="BN13" s="497">
        <f>IF(('Comparison Calculator'!$G$11-BL13)&gt;=0,$C$1*$BQ$5/12,IFERROR(-IPMT($BQ$5/12,BK13,$F$1*12,$C$1,0),0))</f>
        <v>0</v>
      </c>
      <c r="BO13" s="497">
        <f t="shared" si="7"/>
        <v>0</v>
      </c>
      <c r="BP13" s="497">
        <f t="shared" si="20"/>
        <v>1800000</v>
      </c>
      <c r="BQ13" s="493"/>
      <c r="BR13" s="493"/>
      <c r="BT13" s="492">
        <v>9</v>
      </c>
      <c r="BU13" s="492">
        <v>1</v>
      </c>
      <c r="BV13" s="497">
        <f>IF(('Comparison Calculator'!$E$11-BU13)&gt;=0,0,IFERROR(-PPMT($BZ$5/12,BT13,$F$1*12,$C$1),0))</f>
        <v>0</v>
      </c>
      <c r="BW13" s="497">
        <f>IF(('Comparison Calculator'!$G$11-BU13)&gt;=0,$C$1*$BZ$5/12,IFERROR(-IPMT($BZ$5/12,BT13,$F$1*12,$C$1,0),0))</f>
        <v>0</v>
      </c>
      <c r="BX13" s="497">
        <f t="shared" si="8"/>
        <v>0</v>
      </c>
      <c r="BY13" s="497">
        <f t="shared" si="21"/>
        <v>1800000</v>
      </c>
      <c r="BZ13" s="493"/>
      <c r="CA13" s="493"/>
      <c r="CC13" s="492">
        <v>9</v>
      </c>
      <c r="CD13" s="492">
        <v>1</v>
      </c>
      <c r="CE13" s="497">
        <f>IF(('Comparison Calculator'!$E$11-CD13)&gt;=0,0,IFERROR(-PPMT($CI$5/12,CC13,$F$1*12,$C$1),0))</f>
        <v>0</v>
      </c>
      <c r="CF13" s="497">
        <f>IF(('Comparison Calculator'!$G$11-CD13)&gt;=0,$C$1*$CI$5/12,IFERROR(-IPMT($CI$5/12,CC13,$F$1*12,$C$1,0),0))</f>
        <v>0</v>
      </c>
      <c r="CG13" s="497">
        <f t="shared" si="9"/>
        <v>0</v>
      </c>
      <c r="CH13" s="497">
        <f t="shared" si="22"/>
        <v>1800000</v>
      </c>
      <c r="CI13" s="493"/>
      <c r="CJ13" s="493"/>
      <c r="CL13" s="492">
        <v>9</v>
      </c>
      <c r="CM13" s="492">
        <v>1</v>
      </c>
      <c r="CN13" s="497">
        <f>IF(('Comparison Calculator'!$E$11-CM13)&gt;=0,0,IFERROR(-PPMT($CR$5/12,CL13,$F$1*12,$C$1),0))</f>
        <v>0</v>
      </c>
      <c r="CO13" s="497">
        <f>IF(('Comparison Calculator'!$G$11-CM13)&gt;=0,$C$1*$CR$5/12,IFERROR(-IPMT($CR$5/12,CL13,$F$1*12,$C$1,0),0))</f>
        <v>0</v>
      </c>
      <c r="CP13" s="497">
        <f t="shared" si="10"/>
        <v>0</v>
      </c>
      <c r="CQ13" s="497">
        <f t="shared" si="23"/>
        <v>1800000</v>
      </c>
      <c r="CR13" s="493"/>
      <c r="CS13" s="493"/>
      <c r="CU13" s="492">
        <v>9</v>
      </c>
      <c r="CV13" s="492">
        <v>1</v>
      </c>
      <c r="CW13" s="497">
        <f>IF(('Comparison Calculator'!$E$11-CV13)&gt;=0,0,IFERROR(-PPMT($DA$5/12,CU13,$F$1*12,$C$1),0))</f>
        <v>0</v>
      </c>
      <c r="CX13" s="497">
        <f>IF(('Comparison Calculator'!$G$11-CV13)&gt;=0,$C$1*$DA$5/12,IFERROR(-IPMT($DA$5/12,CU13,$F$1*12,$C$1,0),0))</f>
        <v>0</v>
      </c>
      <c r="CY13" s="497">
        <f t="shared" si="11"/>
        <v>0</v>
      </c>
      <c r="CZ13" s="497">
        <f t="shared" si="24"/>
        <v>1800000</v>
      </c>
      <c r="DA13" s="493"/>
      <c r="DB13" s="493"/>
      <c r="DD13" s="492">
        <v>9</v>
      </c>
      <c r="DE13" s="492">
        <v>1</v>
      </c>
      <c r="DF13" s="497">
        <f>IF(('Comparison Calculator'!$E$11-DE13)&gt;=0,0,IFERROR(-PPMT($DJ$5/12,DD13,$F$1*12,$C$1),0))</f>
        <v>0</v>
      </c>
      <c r="DG13" s="497">
        <f>IF(('Comparison Calculator'!$G$11-DE13)&gt;=0,$C$1*$DJ$5/12,IFERROR(-IPMT($DJ$5/12,DD13,$F$1*12,$C$1,0),0))</f>
        <v>0</v>
      </c>
      <c r="DH13" s="497">
        <f t="shared" si="12"/>
        <v>0</v>
      </c>
      <c r="DI13" s="497">
        <f t="shared" si="25"/>
        <v>1800000</v>
      </c>
      <c r="DJ13" s="493"/>
      <c r="DK13" s="493"/>
    </row>
    <row r="14" spans="1:115">
      <c r="A14" s="492">
        <v>10</v>
      </c>
      <c r="B14" s="492">
        <v>1</v>
      </c>
      <c r="C14" s="497">
        <f>IF(('Comparison Calculator'!$E$11-B14)&gt;=0,0,IFERROR(-PPMT($G$5/12,A14,$F$1*12,$C$1),0))</f>
        <v>0</v>
      </c>
      <c r="D14" s="497">
        <f>IF(('Comparison Calculator'!$G$11-B14)&gt;=0,$C$1*$G$5/12,IFERROR(-IPMT($G$5/12,A14,$F$1*12,$C$1,0),0))</f>
        <v>0</v>
      </c>
      <c r="E14" s="497">
        <f t="shared" si="0"/>
        <v>0</v>
      </c>
      <c r="F14" s="497">
        <f t="shared" si="13"/>
        <v>1800000</v>
      </c>
      <c r="G14" s="493"/>
      <c r="H14" s="493"/>
      <c r="I14" s="489"/>
      <c r="J14" s="492">
        <v>10</v>
      </c>
      <c r="K14" s="492">
        <v>1</v>
      </c>
      <c r="L14" s="497">
        <f>IF(('Comparison Calculator'!$E$11-K14)&gt;=0,0,IFERROR(-PPMT($P$5/12,J14,$F$1*12,$C$1),0))</f>
        <v>0</v>
      </c>
      <c r="M14" s="497">
        <f>IF(('Comparison Calculator'!$G$11-K14)&gt;=0,$C$1*$P$5/12,IFERROR(-IPMT($P$5/12,J14,$F$1*12,$C$1,0),0))</f>
        <v>0</v>
      </c>
      <c r="N14" s="497">
        <f t="shared" si="1"/>
        <v>0</v>
      </c>
      <c r="O14" s="497">
        <f t="shared" si="14"/>
        <v>1800000</v>
      </c>
      <c r="P14" s="493"/>
      <c r="Q14" s="493"/>
      <c r="S14" s="492">
        <v>10</v>
      </c>
      <c r="T14" s="492">
        <v>1</v>
      </c>
      <c r="U14" s="497">
        <f>IF(('Comparison Calculator'!$E$11-T14)&gt;=0,0,IFERROR(-PPMT($Y$5/12,S14,$F$1*12,$C$1),0))</f>
        <v>0</v>
      </c>
      <c r="V14" s="497">
        <f>IF(('Comparison Calculator'!$G$11-T14)&gt;=0,$C$1*$Y$5/12,IFERROR(-IPMT($Y$5/12,S14,$F$1*12,$C$1,0),0))</f>
        <v>0</v>
      </c>
      <c r="W14" s="497">
        <f t="shared" si="2"/>
        <v>0</v>
      </c>
      <c r="X14" s="497">
        <f t="shared" si="15"/>
        <v>1800000</v>
      </c>
      <c r="Y14" s="493"/>
      <c r="Z14" s="493"/>
      <c r="AB14" s="492">
        <v>10</v>
      </c>
      <c r="AC14" s="492">
        <v>1</v>
      </c>
      <c r="AD14" s="497">
        <f>IF(('Comparison Calculator'!$E$11-AC14)&gt;=0,0,IFERROR(-PPMT($AH$5/12,AB14,$F$1*12,$C$1),0))</f>
        <v>0</v>
      </c>
      <c r="AE14" s="497">
        <f>IF(('Comparison Calculator'!$G$11-AC14)&gt;=0,$C$1*$AH$5/12,IFERROR(-IPMT($AH$5/12,AB14,$F$1*12,$C$1,0),0))</f>
        <v>0</v>
      </c>
      <c r="AF14" s="497">
        <f t="shared" si="3"/>
        <v>0</v>
      </c>
      <c r="AG14" s="497">
        <f t="shared" si="16"/>
        <v>1800000</v>
      </c>
      <c r="AH14" s="493"/>
      <c r="AI14" s="493"/>
      <c r="AK14" s="492">
        <v>10</v>
      </c>
      <c r="AL14" s="492">
        <v>1</v>
      </c>
      <c r="AM14" s="497">
        <f>IF(('Comparison Calculator'!$E$11-AL14)&gt;=0,0,IFERROR(-PPMT($AQ$5/12,AK14,$F$1*12,$C$1),0))</f>
        <v>0</v>
      </c>
      <c r="AN14" s="497">
        <f>IF(('Comparison Calculator'!$G$11-AL14)&gt;=0,$C$1*$AQ$5/12,IFERROR(-IPMT($AQ$5/12,AK14,$F$1*12,$C$1,0),0))</f>
        <v>0</v>
      </c>
      <c r="AO14" s="497">
        <f t="shared" si="4"/>
        <v>0</v>
      </c>
      <c r="AP14" s="497">
        <f t="shared" si="17"/>
        <v>1800000</v>
      </c>
      <c r="AQ14" s="493"/>
      <c r="AR14" s="493"/>
      <c r="AT14" s="492">
        <v>10</v>
      </c>
      <c r="AU14" s="492">
        <v>1</v>
      </c>
      <c r="AV14" s="497">
        <f>IF(('Comparison Calculator'!$E$11-AU14)&gt;=0,0,IFERROR(-PPMT($AZ$5/12,AT14,$F$1*12,$C$1),0))</f>
        <v>0</v>
      </c>
      <c r="AW14" s="497">
        <f>IF(('Comparison Calculator'!$G$11-AU14)&gt;=0,$C$1*$AZ$5/12,IFERROR(-IPMT($AZ$5/12,AT14,$F$1*12,$C$1,0),0))</f>
        <v>0</v>
      </c>
      <c r="AX14" s="497">
        <f t="shared" si="5"/>
        <v>0</v>
      </c>
      <c r="AY14" s="497">
        <f t="shared" si="18"/>
        <v>1800000</v>
      </c>
      <c r="AZ14" s="493"/>
      <c r="BA14" s="493"/>
      <c r="BC14" s="492">
        <v>10</v>
      </c>
      <c r="BD14" s="492">
        <v>1</v>
      </c>
      <c r="BE14" s="497">
        <f>IF(('Comparison Calculator'!$E$11-BD14)&gt;=0,0,IFERROR(-PPMT($BI$5/12,BC14,$F$1*12,$C$1),0))</f>
        <v>0</v>
      </c>
      <c r="BF14" s="497">
        <f>IF(('Comparison Calculator'!$G$11-BD14)&gt;=0,$C$1*$BI$5/12,IFERROR(-IPMT($BI$5/12,BC14,$F$1*12,$C$1,0),0))</f>
        <v>0</v>
      </c>
      <c r="BG14" s="497">
        <f t="shared" si="6"/>
        <v>0</v>
      </c>
      <c r="BH14" s="497">
        <f t="shared" si="19"/>
        <v>1800000</v>
      </c>
      <c r="BI14" s="493"/>
      <c r="BJ14" s="493"/>
      <c r="BK14" s="492">
        <v>10</v>
      </c>
      <c r="BL14" s="492">
        <v>1</v>
      </c>
      <c r="BM14" s="497">
        <f>IF(('Comparison Calculator'!$E$11-BL14)&gt;=0,0,IFERROR(-PPMT($BQ$5/12,BK14,$F$1*12,$C$1),0))</f>
        <v>0</v>
      </c>
      <c r="BN14" s="497">
        <f>IF(('Comparison Calculator'!$G$11-BL14)&gt;=0,$C$1*$BQ$5/12,IFERROR(-IPMT($BQ$5/12,BK14,$F$1*12,$C$1,0),0))</f>
        <v>0</v>
      </c>
      <c r="BO14" s="497">
        <f t="shared" si="7"/>
        <v>0</v>
      </c>
      <c r="BP14" s="497">
        <f t="shared" si="20"/>
        <v>1800000</v>
      </c>
      <c r="BQ14" s="493"/>
      <c r="BR14" s="493"/>
      <c r="BT14" s="492">
        <v>10</v>
      </c>
      <c r="BU14" s="492">
        <v>1</v>
      </c>
      <c r="BV14" s="497">
        <f>IF(('Comparison Calculator'!$E$11-BU14)&gt;=0,0,IFERROR(-PPMT($BZ$5/12,BT14,$F$1*12,$C$1),0))</f>
        <v>0</v>
      </c>
      <c r="BW14" s="497">
        <f>IF(('Comparison Calculator'!$G$11-BU14)&gt;=0,$C$1*$BZ$5/12,IFERROR(-IPMT($BZ$5/12,BT14,$F$1*12,$C$1,0),0))</f>
        <v>0</v>
      </c>
      <c r="BX14" s="497">
        <f t="shared" si="8"/>
        <v>0</v>
      </c>
      <c r="BY14" s="497">
        <f t="shared" si="21"/>
        <v>1800000</v>
      </c>
      <c r="BZ14" s="493"/>
      <c r="CA14" s="493"/>
      <c r="CC14" s="492">
        <v>10</v>
      </c>
      <c r="CD14" s="492">
        <v>1</v>
      </c>
      <c r="CE14" s="497">
        <f>IF(('Comparison Calculator'!$E$11-CD14)&gt;=0,0,IFERROR(-PPMT($CI$5/12,CC14,$F$1*12,$C$1),0))</f>
        <v>0</v>
      </c>
      <c r="CF14" s="497">
        <f>IF(('Comparison Calculator'!$G$11-CD14)&gt;=0,$C$1*$CI$5/12,IFERROR(-IPMT($CI$5/12,CC14,$F$1*12,$C$1,0),0))</f>
        <v>0</v>
      </c>
      <c r="CG14" s="497">
        <f t="shared" si="9"/>
        <v>0</v>
      </c>
      <c r="CH14" s="497">
        <f t="shared" si="22"/>
        <v>1800000</v>
      </c>
      <c r="CI14" s="493"/>
      <c r="CJ14" s="493"/>
      <c r="CL14" s="492">
        <v>10</v>
      </c>
      <c r="CM14" s="492">
        <v>1</v>
      </c>
      <c r="CN14" s="497">
        <f>IF(('Comparison Calculator'!$E$11-CM14)&gt;=0,0,IFERROR(-PPMT($CR$5/12,CL14,$F$1*12,$C$1),0))</f>
        <v>0</v>
      </c>
      <c r="CO14" s="497">
        <f>IF(('Comparison Calculator'!$G$11-CM14)&gt;=0,$C$1*$CR$5/12,IFERROR(-IPMT($CR$5/12,CL14,$F$1*12,$C$1,0),0))</f>
        <v>0</v>
      </c>
      <c r="CP14" s="497">
        <f t="shared" si="10"/>
        <v>0</v>
      </c>
      <c r="CQ14" s="497">
        <f t="shared" si="23"/>
        <v>1800000</v>
      </c>
      <c r="CR14" s="493"/>
      <c r="CS14" s="493"/>
      <c r="CU14" s="492">
        <v>10</v>
      </c>
      <c r="CV14" s="492">
        <v>1</v>
      </c>
      <c r="CW14" s="497">
        <f>IF(('Comparison Calculator'!$E$11-CV14)&gt;=0,0,IFERROR(-PPMT($DA$5/12,CU14,$F$1*12,$C$1),0))</f>
        <v>0</v>
      </c>
      <c r="CX14" s="497">
        <f>IF(('Comparison Calculator'!$G$11-CV14)&gt;=0,$C$1*$DA$5/12,IFERROR(-IPMT($DA$5/12,CU14,$F$1*12,$C$1,0),0))</f>
        <v>0</v>
      </c>
      <c r="CY14" s="497">
        <f t="shared" si="11"/>
        <v>0</v>
      </c>
      <c r="CZ14" s="497">
        <f t="shared" si="24"/>
        <v>1800000</v>
      </c>
      <c r="DA14" s="493"/>
      <c r="DB14" s="493"/>
      <c r="DD14" s="492">
        <v>10</v>
      </c>
      <c r="DE14" s="492">
        <v>1</v>
      </c>
      <c r="DF14" s="497">
        <f>IF(('Comparison Calculator'!$E$11-DE14)&gt;=0,0,IFERROR(-PPMT($DJ$5/12,DD14,$F$1*12,$C$1),0))</f>
        <v>0</v>
      </c>
      <c r="DG14" s="497">
        <f>IF(('Comparison Calculator'!$G$11-DE14)&gt;=0,$C$1*$DJ$5/12,IFERROR(-IPMT($DJ$5/12,DD14,$F$1*12,$C$1,0),0))</f>
        <v>0</v>
      </c>
      <c r="DH14" s="497">
        <f t="shared" si="12"/>
        <v>0</v>
      </c>
      <c r="DI14" s="497">
        <f t="shared" si="25"/>
        <v>1800000</v>
      </c>
      <c r="DJ14" s="493"/>
      <c r="DK14" s="493"/>
    </row>
    <row r="15" spans="1:115">
      <c r="A15" s="492">
        <v>11</v>
      </c>
      <c r="B15" s="492">
        <v>1</v>
      </c>
      <c r="C15" s="497">
        <f>IF(('Comparison Calculator'!$E$11-B15)&gt;=0,0,IFERROR(-PPMT($G$5/12,A15,$F$1*12,$C$1),0))</f>
        <v>0</v>
      </c>
      <c r="D15" s="497">
        <f>IF(('Comparison Calculator'!$G$11-B15)&gt;=0,$C$1*$G$5/12,IFERROR(-IPMT($G$5/12,A15,$F$1*12,$C$1,0),0))</f>
        <v>0</v>
      </c>
      <c r="E15" s="497">
        <f t="shared" si="0"/>
        <v>0</v>
      </c>
      <c r="F15" s="497">
        <f t="shared" si="13"/>
        <v>1800000</v>
      </c>
      <c r="G15" s="493"/>
      <c r="H15" s="493"/>
      <c r="I15" s="489"/>
      <c r="J15" s="492">
        <v>11</v>
      </c>
      <c r="K15" s="492">
        <v>1</v>
      </c>
      <c r="L15" s="497">
        <f>IF(('Comparison Calculator'!$E$11-K15)&gt;=0,0,IFERROR(-PPMT($P$5/12,J15,$F$1*12,$C$1),0))</f>
        <v>0</v>
      </c>
      <c r="M15" s="497">
        <f>IF(('Comparison Calculator'!$G$11-K15)&gt;=0,$C$1*$P$5/12,IFERROR(-IPMT($P$5/12,J15,$F$1*12,$C$1,0),0))</f>
        <v>0</v>
      </c>
      <c r="N15" s="497">
        <f t="shared" si="1"/>
        <v>0</v>
      </c>
      <c r="O15" s="497">
        <f t="shared" si="14"/>
        <v>1800000</v>
      </c>
      <c r="P15" s="493"/>
      <c r="Q15" s="493"/>
      <c r="S15" s="492">
        <v>11</v>
      </c>
      <c r="T15" s="492">
        <v>1</v>
      </c>
      <c r="U15" s="497">
        <f>IF(('Comparison Calculator'!$E$11-T15)&gt;=0,0,IFERROR(-PPMT($Y$5/12,S15,$F$1*12,$C$1),0))</f>
        <v>0</v>
      </c>
      <c r="V15" s="497">
        <f>IF(('Comparison Calculator'!$G$11-T15)&gt;=0,$C$1*$Y$5/12,IFERROR(-IPMT($Y$5/12,S15,$F$1*12,$C$1,0),0))</f>
        <v>0</v>
      </c>
      <c r="W15" s="497">
        <f t="shared" si="2"/>
        <v>0</v>
      </c>
      <c r="X15" s="497">
        <f t="shared" si="15"/>
        <v>1800000</v>
      </c>
      <c r="Y15" s="493"/>
      <c r="Z15" s="493"/>
      <c r="AB15" s="492">
        <v>11</v>
      </c>
      <c r="AC15" s="492">
        <v>1</v>
      </c>
      <c r="AD15" s="497">
        <f>IF(('Comparison Calculator'!$E$11-AC15)&gt;=0,0,IFERROR(-PPMT($AH$5/12,AB15,$F$1*12,$C$1),0))</f>
        <v>0</v>
      </c>
      <c r="AE15" s="497">
        <f>IF(('Comparison Calculator'!$G$11-AC15)&gt;=0,$C$1*$AH$5/12,IFERROR(-IPMT($AH$5/12,AB15,$F$1*12,$C$1,0),0))</f>
        <v>0</v>
      </c>
      <c r="AF15" s="497">
        <f t="shared" si="3"/>
        <v>0</v>
      </c>
      <c r="AG15" s="497">
        <f t="shared" si="16"/>
        <v>1800000</v>
      </c>
      <c r="AH15" s="493"/>
      <c r="AI15" s="493"/>
      <c r="AK15" s="492">
        <v>11</v>
      </c>
      <c r="AL15" s="492">
        <v>1</v>
      </c>
      <c r="AM15" s="497">
        <f>IF(('Comparison Calculator'!$E$11-AL15)&gt;=0,0,IFERROR(-PPMT($AQ$5/12,AK15,$F$1*12,$C$1),0))</f>
        <v>0</v>
      </c>
      <c r="AN15" s="497">
        <f>IF(('Comparison Calculator'!$G$11-AL15)&gt;=0,$C$1*$AQ$5/12,IFERROR(-IPMT($AQ$5/12,AK15,$F$1*12,$C$1,0),0))</f>
        <v>0</v>
      </c>
      <c r="AO15" s="497">
        <f t="shared" si="4"/>
        <v>0</v>
      </c>
      <c r="AP15" s="497">
        <f t="shared" si="17"/>
        <v>1800000</v>
      </c>
      <c r="AQ15" s="493"/>
      <c r="AR15" s="493"/>
      <c r="AT15" s="492">
        <v>11</v>
      </c>
      <c r="AU15" s="492">
        <v>1</v>
      </c>
      <c r="AV15" s="497">
        <f>IF(('Comparison Calculator'!$E$11-AU15)&gt;=0,0,IFERROR(-PPMT($AZ$5/12,AT15,$F$1*12,$C$1),0))</f>
        <v>0</v>
      </c>
      <c r="AW15" s="497">
        <f>IF(('Comparison Calculator'!$G$11-AU15)&gt;=0,$C$1*$AZ$5/12,IFERROR(-IPMT($AZ$5/12,AT15,$F$1*12,$C$1,0),0))</f>
        <v>0</v>
      </c>
      <c r="AX15" s="497">
        <f t="shared" si="5"/>
        <v>0</v>
      </c>
      <c r="AY15" s="497">
        <f t="shared" si="18"/>
        <v>1800000</v>
      </c>
      <c r="AZ15" s="493"/>
      <c r="BA15" s="493"/>
      <c r="BC15" s="492">
        <v>11</v>
      </c>
      <c r="BD15" s="492">
        <v>1</v>
      </c>
      <c r="BE15" s="497">
        <f>IF(('Comparison Calculator'!$E$11-BD15)&gt;=0,0,IFERROR(-PPMT($BI$5/12,BC15,$F$1*12,$C$1),0))</f>
        <v>0</v>
      </c>
      <c r="BF15" s="497">
        <f>IF(('Comparison Calculator'!$G$11-BD15)&gt;=0,$C$1*$BI$5/12,IFERROR(-IPMT($BI$5/12,BC15,$F$1*12,$C$1,0),0))</f>
        <v>0</v>
      </c>
      <c r="BG15" s="497">
        <f t="shared" si="6"/>
        <v>0</v>
      </c>
      <c r="BH15" s="497">
        <f t="shared" si="19"/>
        <v>1800000</v>
      </c>
      <c r="BI15" s="493"/>
      <c r="BJ15" s="493"/>
      <c r="BK15" s="492">
        <v>11</v>
      </c>
      <c r="BL15" s="492">
        <v>1</v>
      </c>
      <c r="BM15" s="497">
        <f>IF(('Comparison Calculator'!$E$11-BL15)&gt;=0,0,IFERROR(-PPMT($BQ$5/12,BK15,$F$1*12,$C$1),0))</f>
        <v>0</v>
      </c>
      <c r="BN15" s="497">
        <f>IF(('Comparison Calculator'!$G$11-BL15)&gt;=0,$C$1*$BQ$5/12,IFERROR(-IPMT($BQ$5/12,BK15,$F$1*12,$C$1,0),0))</f>
        <v>0</v>
      </c>
      <c r="BO15" s="497">
        <f t="shared" si="7"/>
        <v>0</v>
      </c>
      <c r="BP15" s="497">
        <f t="shared" si="20"/>
        <v>1800000</v>
      </c>
      <c r="BQ15" s="493"/>
      <c r="BR15" s="493"/>
      <c r="BT15" s="492">
        <v>11</v>
      </c>
      <c r="BU15" s="492">
        <v>1</v>
      </c>
      <c r="BV15" s="497">
        <f>IF(('Comparison Calculator'!$E$11-BU15)&gt;=0,0,IFERROR(-PPMT($BZ$5/12,BT15,$F$1*12,$C$1),0))</f>
        <v>0</v>
      </c>
      <c r="BW15" s="497">
        <f>IF(('Comparison Calculator'!$G$11-BU15)&gt;=0,$C$1*$BZ$5/12,IFERROR(-IPMT($BZ$5/12,BT15,$F$1*12,$C$1,0),0))</f>
        <v>0</v>
      </c>
      <c r="BX15" s="497">
        <f t="shared" si="8"/>
        <v>0</v>
      </c>
      <c r="BY15" s="497">
        <f t="shared" si="21"/>
        <v>1800000</v>
      </c>
      <c r="BZ15" s="493"/>
      <c r="CA15" s="493"/>
      <c r="CC15" s="492">
        <v>11</v>
      </c>
      <c r="CD15" s="492">
        <v>1</v>
      </c>
      <c r="CE15" s="497">
        <f>IF(('Comparison Calculator'!$E$11-CD15)&gt;=0,0,IFERROR(-PPMT($CI$5/12,CC15,$F$1*12,$C$1),0))</f>
        <v>0</v>
      </c>
      <c r="CF15" s="497">
        <f>IF(('Comparison Calculator'!$G$11-CD15)&gt;=0,$C$1*$CI$5/12,IFERROR(-IPMT($CI$5/12,CC15,$F$1*12,$C$1,0),0))</f>
        <v>0</v>
      </c>
      <c r="CG15" s="497">
        <f t="shared" si="9"/>
        <v>0</v>
      </c>
      <c r="CH15" s="497">
        <f t="shared" si="22"/>
        <v>1800000</v>
      </c>
      <c r="CI15" s="493"/>
      <c r="CJ15" s="493"/>
      <c r="CL15" s="492">
        <v>11</v>
      </c>
      <c r="CM15" s="492">
        <v>1</v>
      </c>
      <c r="CN15" s="497">
        <f>IF(('Comparison Calculator'!$E$11-CM15)&gt;=0,0,IFERROR(-PPMT($CR$5/12,CL15,$F$1*12,$C$1),0))</f>
        <v>0</v>
      </c>
      <c r="CO15" s="497">
        <f>IF(('Comparison Calculator'!$G$11-CM15)&gt;=0,$C$1*$CR$5/12,IFERROR(-IPMT($CR$5/12,CL15,$F$1*12,$C$1,0),0))</f>
        <v>0</v>
      </c>
      <c r="CP15" s="497">
        <f t="shared" si="10"/>
        <v>0</v>
      </c>
      <c r="CQ15" s="497">
        <f t="shared" si="23"/>
        <v>1800000</v>
      </c>
      <c r="CR15" s="493"/>
      <c r="CS15" s="493"/>
      <c r="CU15" s="492">
        <v>11</v>
      </c>
      <c r="CV15" s="492">
        <v>1</v>
      </c>
      <c r="CW15" s="497">
        <f>IF(('Comparison Calculator'!$E$11-CV15)&gt;=0,0,IFERROR(-PPMT($DA$5/12,CU15,$F$1*12,$C$1),0))</f>
        <v>0</v>
      </c>
      <c r="CX15" s="497">
        <f>IF(('Comparison Calculator'!$G$11-CV15)&gt;=0,$C$1*$DA$5/12,IFERROR(-IPMT($DA$5/12,CU15,$F$1*12,$C$1,0),0))</f>
        <v>0</v>
      </c>
      <c r="CY15" s="497">
        <f t="shared" si="11"/>
        <v>0</v>
      </c>
      <c r="CZ15" s="497">
        <f t="shared" si="24"/>
        <v>1800000</v>
      </c>
      <c r="DA15" s="493"/>
      <c r="DB15" s="493"/>
      <c r="DD15" s="492">
        <v>11</v>
      </c>
      <c r="DE15" s="492">
        <v>1</v>
      </c>
      <c r="DF15" s="497">
        <f>IF(('Comparison Calculator'!$E$11-DE15)&gt;=0,0,IFERROR(-PPMT($DJ$5/12,DD15,$F$1*12,$C$1),0))</f>
        <v>0</v>
      </c>
      <c r="DG15" s="497">
        <f>IF(('Comparison Calculator'!$G$11-DE15)&gt;=0,$C$1*$DJ$5/12,IFERROR(-IPMT($DJ$5/12,DD15,$F$1*12,$C$1,0),0))</f>
        <v>0</v>
      </c>
      <c r="DH15" s="497">
        <f t="shared" si="12"/>
        <v>0</v>
      </c>
      <c r="DI15" s="497">
        <f t="shared" si="25"/>
        <v>1800000</v>
      </c>
      <c r="DJ15" s="493"/>
      <c r="DK15" s="493"/>
    </row>
    <row r="16" spans="1:115">
      <c r="A16" s="492">
        <v>12</v>
      </c>
      <c r="B16" s="492">
        <v>1</v>
      </c>
      <c r="C16" s="497">
        <f>IF(('Comparison Calculator'!$E$11-B16)&gt;=0,0,IFERROR(-PPMT($G$5/12,A16,$F$1*12,$C$1),0))</f>
        <v>0</v>
      </c>
      <c r="D16" s="497">
        <f>IF(('Comparison Calculator'!$G$11-B16)&gt;=0,$C$1*$G$5/12,IFERROR(-IPMT($G$5/12,A16,$F$1*12,$C$1,0),0))</f>
        <v>0</v>
      </c>
      <c r="E16" s="497">
        <f t="shared" si="0"/>
        <v>0</v>
      </c>
      <c r="F16" s="497">
        <f t="shared" si="13"/>
        <v>1800000</v>
      </c>
      <c r="G16" s="501">
        <f>SUM(E5:E16)+H1</f>
        <v>499</v>
      </c>
      <c r="H16" s="493"/>
      <c r="I16" s="489"/>
      <c r="J16" s="492">
        <v>12</v>
      </c>
      <c r="K16" s="492">
        <v>1</v>
      </c>
      <c r="L16" s="497">
        <f>IF(('Comparison Calculator'!$E$11-K16)&gt;=0,0,IFERROR(-PPMT($P$5/12,J16,$F$1*12,$C$1),0))</f>
        <v>0</v>
      </c>
      <c r="M16" s="497">
        <f>IF(('Comparison Calculator'!$G$11-K16)&gt;=0,$C$1*$P$5/12,IFERROR(-IPMT($P$5/12,J16,$F$1*12,$C$1,0),0))</f>
        <v>0</v>
      </c>
      <c r="N16" s="497">
        <f t="shared" si="1"/>
        <v>0</v>
      </c>
      <c r="O16" s="497">
        <f t="shared" si="14"/>
        <v>1800000</v>
      </c>
      <c r="P16" s="501">
        <f>SUM(N5:N16)+Q1</f>
        <v>468</v>
      </c>
      <c r="Q16" s="493"/>
      <c r="S16" s="492">
        <v>12</v>
      </c>
      <c r="T16" s="492">
        <v>1</v>
      </c>
      <c r="U16" s="497">
        <f>IF(('Comparison Calculator'!$E$11-T16)&gt;=0,0,IFERROR(-PPMT($Y$5/12,S16,$F$1*12,$C$1),0))</f>
        <v>0</v>
      </c>
      <c r="V16" s="497">
        <f>IF(('Comparison Calculator'!$G$11-T16)&gt;=0,$C$1*$Y$5/12,IFERROR(-IPMT($Y$5/12,S16,$F$1*12,$C$1,0),0))</f>
        <v>0</v>
      </c>
      <c r="W16" s="497">
        <f t="shared" si="2"/>
        <v>0</v>
      </c>
      <c r="X16" s="497">
        <f t="shared" si="15"/>
        <v>1800000</v>
      </c>
      <c r="Y16" s="501">
        <f>SUM(W5:W16)+$Z$1</f>
        <v>499</v>
      </c>
      <c r="Z16" s="493"/>
      <c r="AB16" s="492">
        <v>12</v>
      </c>
      <c r="AC16" s="492">
        <v>1</v>
      </c>
      <c r="AD16" s="497">
        <f>IF(('Comparison Calculator'!$E$11-AC16)&gt;=0,0,IFERROR(-PPMT($AH$5/12,AB16,$F$1*12,$C$1),0))</f>
        <v>0</v>
      </c>
      <c r="AE16" s="497">
        <f>IF(('Comparison Calculator'!$G$11-AC16)&gt;=0,$C$1*$AH$5/12,IFERROR(-IPMT($AH$5/12,AB16,$F$1*12,$C$1,0),0))</f>
        <v>0</v>
      </c>
      <c r="AF16" s="497">
        <f t="shared" si="3"/>
        <v>0</v>
      </c>
      <c r="AG16" s="497">
        <f t="shared" si="16"/>
        <v>1800000</v>
      </c>
      <c r="AH16" s="501">
        <f>SUM(AF5:AF16)+$AI$1</f>
        <v>499</v>
      </c>
      <c r="AI16" s="493"/>
      <c r="AK16" s="492">
        <v>12</v>
      </c>
      <c r="AL16" s="492">
        <v>1</v>
      </c>
      <c r="AM16" s="497">
        <f>IF(('Comparison Calculator'!$E$11-AL16)&gt;=0,0,IFERROR(-PPMT($AQ$5/12,AK16,$F$1*12,$C$1),0))</f>
        <v>0</v>
      </c>
      <c r="AN16" s="497">
        <f>IF(('Comparison Calculator'!$G$11-AL16)&gt;=0,$C$1*$AQ$5/12,IFERROR(-IPMT($AQ$5/12,AK16,$F$1*12,$C$1,0),0))</f>
        <v>0</v>
      </c>
      <c r="AO16" s="497">
        <f t="shared" si="4"/>
        <v>0</v>
      </c>
      <c r="AP16" s="497">
        <f t="shared" si="17"/>
        <v>1800000</v>
      </c>
      <c r="AQ16" s="501">
        <f>SUM(AO5:AO16)+$AR$1</f>
        <v>499</v>
      </c>
      <c r="AR16" s="493"/>
      <c r="AT16" s="492">
        <v>12</v>
      </c>
      <c r="AU16" s="492">
        <v>1</v>
      </c>
      <c r="AV16" s="497">
        <f>IF(('Comparison Calculator'!$E$11-AU16)&gt;=0,0,IFERROR(-PPMT($AZ$5/12,AT16,$F$1*12,$C$1),0))</f>
        <v>0</v>
      </c>
      <c r="AW16" s="497">
        <f>IF(('Comparison Calculator'!$G$11-AU16)&gt;=0,$C$1*$AZ$5/12,IFERROR(-IPMT($AZ$5/12,AT16,$F$1*12,$C$1,0),0))</f>
        <v>0</v>
      </c>
      <c r="AX16" s="497">
        <f t="shared" si="5"/>
        <v>0</v>
      </c>
      <c r="AY16" s="497">
        <f t="shared" si="18"/>
        <v>1800000</v>
      </c>
      <c r="AZ16" s="501">
        <f>SUM(AX5:AX16)+$BA$1</f>
        <v>499</v>
      </c>
      <c r="BA16" s="493"/>
      <c r="BC16" s="492">
        <v>12</v>
      </c>
      <c r="BD16" s="492">
        <v>1</v>
      </c>
      <c r="BE16" s="497">
        <f>IF(('Comparison Calculator'!$E$11-BD16)&gt;=0,0,IFERROR(-PPMT($BI$5/12,BC16,$F$1*12,$C$1),0))</f>
        <v>0</v>
      </c>
      <c r="BF16" s="497">
        <f>IF(('Comparison Calculator'!$G$11-BD16)&gt;=0,$C$1*$BI$5/12,IFERROR(-IPMT($BI$5/12,BC16,$F$1*12,$C$1,0),0))</f>
        <v>0</v>
      </c>
      <c r="BG16" s="497">
        <f t="shared" si="6"/>
        <v>0</v>
      </c>
      <c r="BH16" s="497">
        <f t="shared" si="19"/>
        <v>1800000</v>
      </c>
      <c r="BI16" s="501">
        <f>SUM(BG5:BG16)+$BA$1</f>
        <v>499</v>
      </c>
      <c r="BJ16" s="493"/>
      <c r="BK16" s="492">
        <v>12</v>
      </c>
      <c r="BL16" s="492">
        <v>1</v>
      </c>
      <c r="BM16" s="497">
        <f>IF(('Comparison Calculator'!$E$11-BL16)&gt;=0,0,IFERROR(-PPMT($BQ$5/12,BK16,$F$1*12,$C$1),0))</f>
        <v>0</v>
      </c>
      <c r="BN16" s="497">
        <f>IF(('Comparison Calculator'!$G$11-BL16)&gt;=0,$C$1*$BQ$5/12,IFERROR(-IPMT($BQ$5/12,BK16,$F$1*12,$C$1,0),0))</f>
        <v>0</v>
      </c>
      <c r="BO16" s="497">
        <f t="shared" si="7"/>
        <v>0</v>
      </c>
      <c r="BP16" s="497">
        <f t="shared" si="20"/>
        <v>1800000</v>
      </c>
      <c r="BQ16" s="501">
        <f>SUM(BO5:BO16)+$BR$1</f>
        <v>499</v>
      </c>
      <c r="BR16" s="493"/>
      <c r="BT16" s="492">
        <v>12</v>
      </c>
      <c r="BU16" s="492">
        <v>1</v>
      </c>
      <c r="BV16" s="497">
        <f>IF(('Comparison Calculator'!$E$11-BU16)&gt;=0,0,IFERROR(-PPMT($BZ$5/12,BT16,$F$1*12,$C$1),0))</f>
        <v>0</v>
      </c>
      <c r="BW16" s="497">
        <f>IF(('Comparison Calculator'!$G$11-BU16)&gt;=0,$C$1*$BZ$5/12,IFERROR(-IPMT($BZ$5/12,BT16,$F$1*12,$C$1,0),0))</f>
        <v>0</v>
      </c>
      <c r="BX16" s="497">
        <f t="shared" si="8"/>
        <v>0</v>
      </c>
      <c r="BY16" s="497">
        <f t="shared" si="21"/>
        <v>1800000</v>
      </c>
      <c r="BZ16" s="501">
        <f>SUM(BX5:BX16)+$CA$1</f>
        <v>499</v>
      </c>
      <c r="CA16" s="493"/>
      <c r="CC16" s="492">
        <v>12</v>
      </c>
      <c r="CD16" s="492">
        <v>1</v>
      </c>
      <c r="CE16" s="497">
        <f>IF(('Comparison Calculator'!$E$11-CD16)&gt;=0,0,IFERROR(-PPMT($CI$5/12,CC16,$F$1*12,$C$1),0))</f>
        <v>0</v>
      </c>
      <c r="CF16" s="497">
        <f>IF(('Comparison Calculator'!$G$11-CD16)&gt;=0,$C$1*$CI$5/12,IFERROR(-IPMT($CI$5/12,CC16,$F$1*12,$C$1,0),0))</f>
        <v>0</v>
      </c>
      <c r="CG16" s="497">
        <f t="shared" si="9"/>
        <v>0</v>
      </c>
      <c r="CH16" s="497">
        <f t="shared" si="22"/>
        <v>1800000</v>
      </c>
      <c r="CI16" s="501">
        <f>SUM(CG5:CG16)+$CJ$1</f>
        <v>468</v>
      </c>
      <c r="CJ16" s="493"/>
      <c r="CL16" s="492">
        <v>12</v>
      </c>
      <c r="CM16" s="492">
        <v>1</v>
      </c>
      <c r="CN16" s="497">
        <f>IF(('Comparison Calculator'!$E$11-CM16)&gt;=0,0,IFERROR(-PPMT($CR$5/12,CL16,$F$1*12,$C$1),0))</f>
        <v>0</v>
      </c>
      <c r="CO16" s="497">
        <f>IF(('Comparison Calculator'!$G$11-CM16)&gt;=0,$C$1*$CR$5/12,IFERROR(-IPMT($CR$5/12,CL16,$F$1*12,$C$1,0),0))</f>
        <v>0</v>
      </c>
      <c r="CP16" s="497">
        <f t="shared" si="10"/>
        <v>0</v>
      </c>
      <c r="CQ16" s="497">
        <f t="shared" si="23"/>
        <v>1800000</v>
      </c>
      <c r="CR16" s="501">
        <f>SUM(CP5:CP16)+$CS$1</f>
        <v>499</v>
      </c>
      <c r="CS16" s="493"/>
      <c r="CU16" s="492">
        <v>12</v>
      </c>
      <c r="CV16" s="492">
        <v>1</v>
      </c>
      <c r="CW16" s="497">
        <f>IF(('Comparison Calculator'!$E$11-CV16)&gt;=0,0,IFERROR(-PPMT($DA$5/12,CU16,$F$1*12,$C$1),0))</f>
        <v>0</v>
      </c>
      <c r="CX16" s="497">
        <f>IF(('Comparison Calculator'!$G$11-CV16)&gt;=0,$C$1*$DA$5/12,IFERROR(-IPMT($DA$5/12,CU16,$F$1*12,$C$1,0),0))</f>
        <v>0</v>
      </c>
      <c r="CY16" s="497">
        <f t="shared" si="11"/>
        <v>0</v>
      </c>
      <c r="CZ16" s="497">
        <f t="shared" si="24"/>
        <v>1800000</v>
      </c>
      <c r="DA16" s="501">
        <f>SUM(CY5:CY16)+$DB$1</f>
        <v>499</v>
      </c>
      <c r="DB16" s="493"/>
      <c r="DD16" s="492">
        <v>12</v>
      </c>
      <c r="DE16" s="492">
        <v>1</v>
      </c>
      <c r="DF16" s="497">
        <f>IF(('Comparison Calculator'!$E$11-DE16)&gt;=0,0,IFERROR(-PPMT($DJ$5/12,DD16,$F$1*12,$C$1),0))</f>
        <v>0</v>
      </c>
      <c r="DG16" s="497">
        <f>IF(('Comparison Calculator'!$G$11-DE16)&gt;=0,$C$1*$DJ$5/12,IFERROR(-IPMT($DJ$5/12,DD16,$F$1*12,$C$1,0),0))</f>
        <v>0</v>
      </c>
      <c r="DH16" s="497">
        <f t="shared" si="12"/>
        <v>0</v>
      </c>
      <c r="DI16" s="497">
        <f t="shared" si="25"/>
        <v>1800000</v>
      </c>
      <c r="DJ16" s="501">
        <f>SUM(DH5:DH16)+$DK$1</f>
        <v>499</v>
      </c>
      <c r="DK16" s="493"/>
    </row>
    <row r="17" spans="1:115">
      <c r="A17" s="492">
        <v>13</v>
      </c>
      <c r="B17" s="492">
        <v>2</v>
      </c>
      <c r="C17" s="497">
        <f>IF(('Comparison Calculator'!$E$11-B17)&gt;=0,0,IFERROR(-PPMT($G$18/12,(A17-12),($F$1-1)*12,$G$17),0))</f>
        <v>0</v>
      </c>
      <c r="D17" s="497">
        <f>IF(('Comparison Calculator'!$E$11-B17)&gt;=0,$C$1*$G$18/12,IFERROR(-IPMT($G$18/12,(A17-12),($F$1-1)*12,$G$17,0),0))</f>
        <v>9720</v>
      </c>
      <c r="E17" s="497">
        <f t="shared" si="0"/>
        <v>9720</v>
      </c>
      <c r="F17" s="497">
        <f t="shared" si="13"/>
        <v>1800000</v>
      </c>
      <c r="G17" s="497">
        <f>F16</f>
        <v>1800000</v>
      </c>
      <c r="H17" s="502"/>
      <c r="I17" s="503"/>
      <c r="J17" s="492">
        <v>13</v>
      </c>
      <c r="K17" s="492">
        <v>2</v>
      </c>
      <c r="L17" s="497">
        <f>IF(('Comparison Calculator'!$E$11-K17)&gt;=0,0,IFERROR(-PPMT($P$18/12,(J17-12),($F$1-1)*12,$P$17),0))</f>
        <v>0</v>
      </c>
      <c r="M17" s="497">
        <f>IF(('Comparison Calculator'!$E$11-K17)&gt;=0,$C$1*$P$18/12,IFERROR(-IPMT($P$18/12,(J17-12),($F$1-1)*12,$P$17,0),0))</f>
        <v>9720</v>
      </c>
      <c r="N17" s="497">
        <f t="shared" si="1"/>
        <v>9720</v>
      </c>
      <c r="O17" s="497">
        <f t="shared" si="14"/>
        <v>1800000</v>
      </c>
      <c r="P17" s="497">
        <f>O16</f>
        <v>1800000</v>
      </c>
      <c r="Q17" s="502"/>
      <c r="S17" s="492">
        <v>13</v>
      </c>
      <c r="T17" s="492">
        <v>2</v>
      </c>
      <c r="U17" s="497">
        <f>IF(('Comparison Calculator'!$E$11-T17)&gt;=0,0,IFERROR(-PPMT($Y$18/12,(S17-12),($F$1-1)*12,$Y$17),0))</f>
        <v>0</v>
      </c>
      <c r="V17" s="497" t="e">
        <f>IF(('Comparison Calculator'!$E$11-T17)&gt;=0,$C$1*$Y$18/12,IFERROR(-IPMT($Y$18/12,(S17-12),($F$1-1)*12,$Y$17,0),0))</f>
        <v>#N/A</v>
      </c>
      <c r="W17" s="497" t="e">
        <f t="shared" si="2"/>
        <v>#N/A</v>
      </c>
      <c r="X17" s="497">
        <f t="shared" si="15"/>
        <v>1800000</v>
      </c>
      <c r="Y17" s="497">
        <f>X16</f>
        <v>1800000</v>
      </c>
      <c r="Z17" s="502"/>
      <c r="AB17" s="492">
        <v>13</v>
      </c>
      <c r="AC17" s="492">
        <v>2</v>
      </c>
      <c r="AD17" s="497">
        <f>IF(('Comparison Calculator'!$E$11-AC17)&gt;=0,0,IFERROR(-PPMT($AH$18/12,(AB17-12),($F$1-1)*12,$AH$17),0))</f>
        <v>0</v>
      </c>
      <c r="AE17" s="497" t="e">
        <f>IF(('Comparison Calculator'!$E$11-AC17)&gt;=0,$C$1*$AH$18/12,IFERROR(-IPMT($AH$18/12,(AB17-12),($F$1-1)*12,$AH$17,0),0))</f>
        <v>#N/A</v>
      </c>
      <c r="AF17" s="497" t="e">
        <f t="shared" si="3"/>
        <v>#N/A</v>
      </c>
      <c r="AG17" s="497">
        <f t="shared" si="16"/>
        <v>1800000</v>
      </c>
      <c r="AH17" s="497">
        <f>AG16</f>
        <v>1800000</v>
      </c>
      <c r="AI17" s="502"/>
      <c r="AK17" s="492">
        <v>13</v>
      </c>
      <c r="AL17" s="492">
        <v>2</v>
      </c>
      <c r="AM17" s="497">
        <f>IF(('Comparison Calculator'!$E$11-AL17)&gt;=0,0,IFERROR(-PPMT($AQ$18/12,(AK17-12),($F$1-1)*12,$AQ$17),0))</f>
        <v>0</v>
      </c>
      <c r="AN17" s="497">
        <f>IF(('Comparison Calculator'!$E$11-AL17)&gt;=0,$C$1*$AQ$18/12,IFERROR(-IPMT($AQ$18/12,(AK17-12),($F$1-1)*12,$AQ$17,0),0))</f>
        <v>8040</v>
      </c>
      <c r="AO17" s="497">
        <f t="shared" si="4"/>
        <v>8040</v>
      </c>
      <c r="AP17" s="497">
        <f t="shared" si="17"/>
        <v>1800000</v>
      </c>
      <c r="AQ17" s="497">
        <f>AP16</f>
        <v>1800000</v>
      </c>
      <c r="AR17" s="502"/>
      <c r="AT17" s="492">
        <v>13</v>
      </c>
      <c r="AU17" s="492">
        <v>2</v>
      </c>
      <c r="AV17" s="497">
        <f>IF(('Comparison Calculator'!$E$11-AU17)&gt;=0,0,IFERROR(-PPMT($AZ$18/12,(AT17-12),($F$1-1)*12,$AZ$17),0))</f>
        <v>0</v>
      </c>
      <c r="AW17" s="497" t="e">
        <f>IF(('Comparison Calculator'!$E$11-AU17)&gt;=0,$C$1*$AZ$18/12,IFERROR(-IPMT($AZ$18/12,(AT17-12),($F$1-1)*12,$AZ$17,0),0))</f>
        <v>#N/A</v>
      </c>
      <c r="AX17" s="497" t="e">
        <f t="shared" si="5"/>
        <v>#N/A</v>
      </c>
      <c r="AY17" s="497">
        <f t="shared" si="18"/>
        <v>1800000</v>
      </c>
      <c r="AZ17" s="497">
        <f>AY16</f>
        <v>1800000</v>
      </c>
      <c r="BA17" s="502"/>
      <c r="BC17" s="492">
        <v>13</v>
      </c>
      <c r="BD17" s="492">
        <v>2</v>
      </c>
      <c r="BE17" s="497">
        <f>IF(('Comparison Calculator'!$E$11-BD17)&gt;=0,0,IFERROR(-PPMT($BI$18/12,(BC17-12),($F$1-1)*12,$BI$17),0))</f>
        <v>0</v>
      </c>
      <c r="BF17" s="497">
        <f>IF(('Comparison Calculator'!$E$11-BD17)&gt;=0,$C$1*$BI$18/12,IFERROR(-IPMT($BI$18/12,(BC17-12),($F$1-1)*12,$BI$17,0),0))</f>
        <v>7470</v>
      </c>
      <c r="BG17" s="497">
        <f t="shared" si="6"/>
        <v>7470</v>
      </c>
      <c r="BH17" s="497">
        <f t="shared" si="19"/>
        <v>1800000</v>
      </c>
      <c r="BI17" s="497">
        <f>BH16</f>
        <v>1800000</v>
      </c>
      <c r="BJ17" s="502"/>
      <c r="BK17" s="492">
        <v>13</v>
      </c>
      <c r="BL17" s="492">
        <v>2</v>
      </c>
      <c r="BM17" s="497">
        <f>IF(('Comparison Calculator'!$E$11-BL17)&gt;=0,0,IFERROR(-PPMT($BQ$18/12,(BK17-12),($F$1-1)*12,$BQ$17),0))</f>
        <v>0</v>
      </c>
      <c r="BN17" s="497">
        <f>IF(('Comparison Calculator'!$E$11-BL17)&gt;=0,$C$1*$BQ$18/12,IFERROR(-IPMT($BQ$18/12,(BK17-12),($F$1-1)*12,$BQ$17,0),0))</f>
        <v>9720</v>
      </c>
      <c r="BO17" s="497">
        <f t="shared" si="7"/>
        <v>9720</v>
      </c>
      <c r="BP17" s="497">
        <f t="shared" si="20"/>
        <v>1800000</v>
      </c>
      <c r="BQ17" s="497">
        <f>BP16</f>
        <v>1800000</v>
      </c>
      <c r="BR17" s="502"/>
      <c r="BT17" s="492">
        <v>13</v>
      </c>
      <c r="BU17" s="492">
        <v>2</v>
      </c>
      <c r="BV17" s="497">
        <f>IF(('Comparison Calculator'!$E$11-BU17)&gt;=0,0,IFERROR(-PPMT($BZ$18/12,(BT17-12),($F$1-1)*12,$BZ$17),0))</f>
        <v>0</v>
      </c>
      <c r="BW17" s="497">
        <f>IF(('Comparison Calculator'!$E$11-BU17)&gt;=0,$C$1*$BZ$18/12,IFERROR(-IPMT($BZ$18/12,(BT17-12),($F$1-1)*12,$BZ$17,0),0))</f>
        <v>9720</v>
      </c>
      <c r="BX17" s="497">
        <f t="shared" si="8"/>
        <v>9720</v>
      </c>
      <c r="BY17" s="497">
        <f t="shared" si="21"/>
        <v>1800000</v>
      </c>
      <c r="BZ17" s="497">
        <f>BY16</f>
        <v>1800000</v>
      </c>
      <c r="CA17" s="502"/>
      <c r="CC17" s="492">
        <v>13</v>
      </c>
      <c r="CD17" s="492">
        <v>2</v>
      </c>
      <c r="CE17" s="497">
        <f>IF(('Comparison Calculator'!$E$11-CD17)&gt;=0,0,IFERROR(-PPMT($CI$18/12,(CC17-12),($F$1-1)*12,$CI$17),0))</f>
        <v>0</v>
      </c>
      <c r="CF17" s="497">
        <f>IF(('Comparison Calculator'!$E$11-CD17)&gt;=0,$C$1*$CI$18/12,IFERROR(-IPMT($CI$18/12,(CC17-12),($F$1-1)*12,$CI$17,0),0))</f>
        <v>9569.9999999999982</v>
      </c>
      <c r="CG17" s="497">
        <f t="shared" si="9"/>
        <v>9569.9999999999982</v>
      </c>
      <c r="CH17" s="497">
        <f t="shared" si="22"/>
        <v>1800000</v>
      </c>
      <c r="CI17" s="497">
        <f>CH16</f>
        <v>1800000</v>
      </c>
      <c r="CJ17" s="502"/>
      <c r="CL17" s="492">
        <v>13</v>
      </c>
      <c r="CM17" s="492">
        <v>2</v>
      </c>
      <c r="CN17" s="497">
        <f>IF(('Comparison Calculator'!$E$11-CM17)&gt;=0,0,IFERROR(-PPMT($CR$18/12,(CL17-12),($F$1-1)*12,$CR$17),0))</f>
        <v>0</v>
      </c>
      <c r="CO17" s="497" t="e">
        <f>IF(('Comparison Calculator'!$E$11-CM17)&gt;=0,$C$1*$CR$18/12,IFERROR(-IPMT($CR$18/12,(CL17-12),($F$1-1)*12,$CR$17,0),0))</f>
        <v>#N/A</v>
      </c>
      <c r="CP17" s="497" t="e">
        <f t="shared" si="10"/>
        <v>#N/A</v>
      </c>
      <c r="CQ17" s="497">
        <f t="shared" si="23"/>
        <v>1800000</v>
      </c>
      <c r="CR17" s="497">
        <f>CQ16</f>
        <v>1800000</v>
      </c>
      <c r="CS17" s="502"/>
      <c r="CU17" s="492">
        <v>13</v>
      </c>
      <c r="CV17" s="492">
        <v>2</v>
      </c>
      <c r="CW17" s="497">
        <f>IF(('Comparison Calculator'!$E$11-CV17)&gt;=0,0,IFERROR(-PPMT($DA$18/12,(CU17-12),($F$1-1)*12,$DA$17),0))</f>
        <v>0</v>
      </c>
      <c r="CX17" s="497" t="e">
        <f>IF(('Comparison Calculator'!$E$11-CV17)&gt;=0,$C$1*$DA$18/12,IFERROR(-IPMT($DA$18/12,(CU17-12),($F$1-1)*12,$DA$17,0),0))</f>
        <v>#N/A</v>
      </c>
      <c r="CY17" s="497" t="e">
        <f t="shared" si="11"/>
        <v>#N/A</v>
      </c>
      <c r="CZ17" s="497">
        <f t="shared" si="24"/>
        <v>1800000</v>
      </c>
      <c r="DA17" s="497">
        <f>CZ16</f>
        <v>1800000</v>
      </c>
      <c r="DB17" s="502"/>
      <c r="DD17" s="492">
        <v>13</v>
      </c>
      <c r="DE17" s="492">
        <v>2</v>
      </c>
      <c r="DF17" s="497">
        <f>IF(('Comparison Calculator'!$E$11-DE17)&gt;=0,0,IFERROR(-PPMT($DJ$18/12,(DD17-12),($F$1-1)*12,$DJ$17),0))</f>
        <v>0</v>
      </c>
      <c r="DG17" s="497" t="e">
        <f>IF(('Comparison Calculator'!$E$11-DE17)&gt;=0,$C$1*$DJ$18/12,IFERROR(-IPMT($DJ$18/12,(DD17-12),($F$1-1)*12,$DJ$17,0),0))</f>
        <v>#N/A</v>
      </c>
      <c r="DH17" s="497" t="e">
        <f t="shared" si="12"/>
        <v>#N/A</v>
      </c>
      <c r="DI17" s="497">
        <f t="shared" si="25"/>
        <v>1800000</v>
      </c>
      <c r="DJ17" s="497">
        <f>DI16</f>
        <v>1800000</v>
      </c>
      <c r="DK17" s="502"/>
    </row>
    <row r="18" spans="1:115">
      <c r="A18" s="492">
        <v>14</v>
      </c>
      <c r="B18" s="492">
        <v>2</v>
      </c>
      <c r="C18" s="497">
        <f>IF(('Comparison Calculator'!$E$11-B18)&gt;=0,0,IFERROR(-PPMT($G$18/12,(A18-12),($F$1-1)*12,$G$17),0))</f>
        <v>0</v>
      </c>
      <c r="D18" s="497">
        <f>IF(('Comparison Calculator'!$E$11-B18)&gt;=0,$C$1*$G$18/12,IFERROR(-IPMT($G$18/12,(A18-12),($F$1-1)*12,$G$17,0),0))</f>
        <v>9720</v>
      </c>
      <c r="E18" s="497">
        <f t="shared" si="0"/>
        <v>9720</v>
      </c>
      <c r="F18" s="497">
        <f t="shared" si="13"/>
        <v>1800000</v>
      </c>
      <c r="G18" s="504">
        <f>Rates!D23</f>
        <v>6.4799999999999996E-2</v>
      </c>
      <c r="H18" s="493"/>
      <c r="I18" s="489"/>
      <c r="J18" s="492">
        <v>14</v>
      </c>
      <c r="K18" s="492">
        <v>2</v>
      </c>
      <c r="L18" s="497">
        <f>IF(('Comparison Calculator'!$E$11-K18)&gt;=0,0,IFERROR(-PPMT($P$18/12,(J18-12),($F$1-1)*12,$P$17),0))</f>
        <v>0</v>
      </c>
      <c r="M18" s="497">
        <f>IF(('Comparison Calculator'!$E$11-K18)&gt;=0,$C$1*$P$18/12,IFERROR(-IPMT($P$18/12,(J18-12),($F$1-1)*12,$P$17,0),0))</f>
        <v>9720</v>
      </c>
      <c r="N18" s="497">
        <f t="shared" si="1"/>
        <v>9720</v>
      </c>
      <c r="O18" s="497">
        <f t="shared" si="14"/>
        <v>1800000</v>
      </c>
      <c r="P18" s="504">
        <f>Rates!L23</f>
        <v>6.4799999999999996E-2</v>
      </c>
      <c r="Q18" s="493"/>
      <c r="S18" s="492">
        <v>14</v>
      </c>
      <c r="T18" s="492">
        <v>2</v>
      </c>
      <c r="U18" s="497">
        <f>IF(('Comparison Calculator'!$E$11-T18)&gt;=0,0,IFERROR(-PPMT($Y$18/12,(S18-12),($F$1-1)*12,$Y$17),0))</f>
        <v>0</v>
      </c>
      <c r="V18" s="497" t="e">
        <f>IF(('Comparison Calculator'!$E$11-T18)&gt;=0,$C$1*$Y$18/12,IFERROR(-IPMT($Y$18/12,(S18-12),($F$1-1)*12,$Y$17,0),0))</f>
        <v>#N/A</v>
      </c>
      <c r="W18" s="497" t="e">
        <f t="shared" si="2"/>
        <v>#N/A</v>
      </c>
      <c r="X18" s="497">
        <f t="shared" si="15"/>
        <v>1800000</v>
      </c>
      <c r="Y18" s="504" t="e">
        <f>Rates!$E$44</f>
        <v>#N/A</v>
      </c>
      <c r="Z18" s="493"/>
      <c r="AB18" s="492">
        <v>14</v>
      </c>
      <c r="AC18" s="492">
        <v>2</v>
      </c>
      <c r="AD18" s="497">
        <f>IF(('Comparison Calculator'!$E$11-AC18)&gt;=0,0,IFERROR(-PPMT($AH$18/12,(AB18-12),($F$1-1)*12,$AH$17),0))</f>
        <v>0</v>
      </c>
      <c r="AE18" s="497" t="e">
        <f>IF(('Comparison Calculator'!$E$11-AC18)&gt;=0,$C$1*$AH$18/12,IFERROR(-IPMT($AH$18/12,(AB18-12),($F$1-1)*12,$AH$17,0),0))</f>
        <v>#N/A</v>
      </c>
      <c r="AF18" s="497" t="e">
        <f t="shared" si="3"/>
        <v>#N/A</v>
      </c>
      <c r="AG18" s="497">
        <f t="shared" si="16"/>
        <v>1800000</v>
      </c>
      <c r="AH18" s="504" t="e">
        <f>Rates!$M$44</f>
        <v>#N/A</v>
      </c>
      <c r="AI18" s="493"/>
      <c r="AK18" s="492">
        <v>14</v>
      </c>
      <c r="AL18" s="492">
        <v>2</v>
      </c>
      <c r="AM18" s="497">
        <f>IF(('Comparison Calculator'!$E$11-AL18)&gt;=0,0,IFERROR(-PPMT($AQ$18/12,(AK18-12),($F$1-1)*12,$AQ$17),0))</f>
        <v>0</v>
      </c>
      <c r="AN18" s="497">
        <f>IF(('Comparison Calculator'!$E$11-AL18)&gt;=0,$C$1*$AQ$18/12,IFERROR(-IPMT($AQ$18/12,(AK18-12),($F$1-1)*12,$AQ$17,0),0))</f>
        <v>8040</v>
      </c>
      <c r="AO18" s="497">
        <f t="shared" si="4"/>
        <v>8040</v>
      </c>
      <c r="AP18" s="497">
        <f t="shared" si="17"/>
        <v>1800000</v>
      </c>
      <c r="AQ18" s="504">
        <f>Rates!$C$66</f>
        <v>5.3600000000000002E-2</v>
      </c>
      <c r="AR18" s="493"/>
      <c r="AT18" s="492">
        <v>14</v>
      </c>
      <c r="AU18" s="492">
        <v>2</v>
      </c>
      <c r="AV18" s="497">
        <f>IF(('Comparison Calculator'!$E$11-AU18)&gt;=0,0,IFERROR(-PPMT($AZ$18/12,(AT18-12),($F$1-1)*12,$AZ$17),0))</f>
        <v>0</v>
      </c>
      <c r="AW18" s="497" t="e">
        <f>IF(('Comparison Calculator'!$E$11-AU18)&gt;=0,$C$1*$AZ$18/12,IFERROR(-IPMT($AZ$18/12,(AT18-12),($F$1-1)*12,$AZ$17,0),0))</f>
        <v>#N/A</v>
      </c>
      <c r="AX18" s="497" t="e">
        <f t="shared" si="5"/>
        <v>#N/A</v>
      </c>
      <c r="AY18" s="497">
        <f t="shared" si="18"/>
        <v>1800000</v>
      </c>
      <c r="AZ18" s="504" t="e">
        <f>Rates!$L$66</f>
        <v>#N/A</v>
      </c>
      <c r="BA18" s="493"/>
      <c r="BC18" s="492">
        <v>14</v>
      </c>
      <c r="BD18" s="492">
        <v>2</v>
      </c>
      <c r="BE18" s="497">
        <f>IF(('Comparison Calculator'!$E$11-BD18)&gt;=0,0,IFERROR(-PPMT($BI$18/12,(BC18-12),($F$1-1)*12,$BI$17),0))</f>
        <v>0</v>
      </c>
      <c r="BF18" s="497">
        <f>IF(('Comparison Calculator'!$E$11-BD18)&gt;=0,$C$1*$BI$18/12,IFERROR(-IPMT($BI$18/12,(BC18-12),($F$1-1)*12,$BI$17,0),0))</f>
        <v>7470</v>
      </c>
      <c r="BG18" s="497">
        <f t="shared" si="6"/>
        <v>7470</v>
      </c>
      <c r="BH18" s="497">
        <f t="shared" si="19"/>
        <v>1800000</v>
      </c>
      <c r="BI18" s="504">
        <f>'Comparison Calculator'!N12</f>
        <v>4.9799999999999997E-2</v>
      </c>
      <c r="BJ18" s="493"/>
      <c r="BK18" s="492">
        <v>14</v>
      </c>
      <c r="BL18" s="492">
        <v>2</v>
      </c>
      <c r="BM18" s="497">
        <f>IF(('Comparison Calculator'!$E$11-BL18)&gt;=0,0,IFERROR(-PPMT($BQ$18/12,(BK18-12),($F$1-1)*12,$BQ$17),0))</f>
        <v>0</v>
      </c>
      <c r="BN18" s="497">
        <f>IF(('Comparison Calculator'!$E$11-BL18)&gt;=0,$C$1*$BQ$18/12,IFERROR(-IPMT($BQ$18/12,(BK18-12),($F$1-1)*12,$BQ$17,0),0))</f>
        <v>9720</v>
      </c>
      <c r="BO18" s="497">
        <f t="shared" si="7"/>
        <v>9720</v>
      </c>
      <c r="BP18" s="497">
        <f t="shared" si="20"/>
        <v>1800000</v>
      </c>
      <c r="BQ18" s="504">
        <f>Rates!$C$86</f>
        <v>6.4799999999999996E-2</v>
      </c>
      <c r="BR18" s="493"/>
      <c r="BT18" s="492">
        <v>14</v>
      </c>
      <c r="BU18" s="492">
        <v>2</v>
      </c>
      <c r="BV18" s="497">
        <f>IF(('Comparison Calculator'!$E$11-BU18)&gt;=0,0,IFERROR(-PPMT($BZ$18/12,(BT18-12),($F$1-1)*12,$BZ$17),0))</f>
        <v>0</v>
      </c>
      <c r="BW18" s="497">
        <f>IF(('Comparison Calculator'!$E$11-BU18)&gt;=0,$C$1*$BZ$18/12,IFERROR(-IPMT($BZ$18/12,(BT18-12),($F$1-1)*12,$BZ$17,0),0))</f>
        <v>9720</v>
      </c>
      <c r="BX18" s="497">
        <f t="shared" si="8"/>
        <v>9720</v>
      </c>
      <c r="BY18" s="497">
        <f t="shared" si="21"/>
        <v>1800000</v>
      </c>
      <c r="BZ18" s="504">
        <f>Rates!$K$86</f>
        <v>6.4799999999999996E-2</v>
      </c>
      <c r="CA18" s="493"/>
      <c r="CC18" s="492">
        <v>14</v>
      </c>
      <c r="CD18" s="492">
        <v>2</v>
      </c>
      <c r="CE18" s="497">
        <f>IF(('Comparison Calculator'!$E$11-CD18)&gt;=0,0,IFERROR(-PPMT($CI$18/12,(CC18-12),($F$1-1)*12,$CI$17),0))</f>
        <v>0</v>
      </c>
      <c r="CF18" s="497">
        <f>IF(('Comparison Calculator'!$E$11-CD18)&gt;=0,$C$1*$CI$18/12,IFERROR(-IPMT($CI$18/12,(CC18-12),($F$1-1)*12,$CI$17,0),0))</f>
        <v>9569.9999999999982</v>
      </c>
      <c r="CG18" s="497">
        <f t="shared" si="9"/>
        <v>9569.9999999999982</v>
      </c>
      <c r="CH18" s="497">
        <f t="shared" si="22"/>
        <v>1800000</v>
      </c>
      <c r="CI18" s="504">
        <f>Rates!$C$105</f>
        <v>6.3799999999999996E-2</v>
      </c>
      <c r="CJ18" s="493"/>
      <c r="CL18" s="492">
        <v>14</v>
      </c>
      <c r="CM18" s="492">
        <v>2</v>
      </c>
      <c r="CN18" s="497">
        <f>IF(('Comparison Calculator'!$E$11-CM18)&gt;=0,0,IFERROR(-PPMT($CR$18/12,(CL18-12),($F$1-1)*12,$CR$17),0))</f>
        <v>0</v>
      </c>
      <c r="CO18" s="497" t="e">
        <f>IF(('Comparison Calculator'!$E$11-CM18)&gt;=0,$C$1*$CR$18/12,IFERROR(-IPMT($CR$18/12,(CL18-12),($F$1-1)*12,$CR$17,0),0))</f>
        <v>#N/A</v>
      </c>
      <c r="CP18" s="497" t="e">
        <f t="shared" si="10"/>
        <v>#N/A</v>
      </c>
      <c r="CQ18" s="497">
        <f t="shared" si="23"/>
        <v>1800000</v>
      </c>
      <c r="CR18" s="504" t="e">
        <f>Rates!$B$126</f>
        <v>#N/A</v>
      </c>
      <c r="CS18" s="493"/>
      <c r="CU18" s="492">
        <v>14</v>
      </c>
      <c r="CV18" s="492">
        <v>2</v>
      </c>
      <c r="CW18" s="497">
        <f>IF(('Comparison Calculator'!$E$11-CV18)&gt;=0,0,IFERROR(-PPMT($DA$18/12,(CU18-12),($F$1-1)*12,$DA$17),0))</f>
        <v>0</v>
      </c>
      <c r="CX18" s="497" t="e">
        <f>IF(('Comparison Calculator'!$E$11-CV18)&gt;=0,$C$1*$DA$18/12,IFERROR(-IPMT($DA$18/12,(CU18-12),($F$1-1)*12,$DA$17,0),0))</f>
        <v>#N/A</v>
      </c>
      <c r="CY18" s="497" t="e">
        <f t="shared" si="11"/>
        <v>#N/A</v>
      </c>
      <c r="CZ18" s="497">
        <f t="shared" si="24"/>
        <v>1800000</v>
      </c>
      <c r="DA18" s="504" t="e">
        <f>Rates!$C$145</f>
        <v>#N/A</v>
      </c>
      <c r="DB18" s="493"/>
      <c r="DD18" s="492">
        <v>14</v>
      </c>
      <c r="DE18" s="492">
        <v>2</v>
      </c>
      <c r="DF18" s="497">
        <f>IF(('Comparison Calculator'!$E$11-DE18)&gt;=0,0,IFERROR(-PPMT($DJ$18/12,(DD18-12),($F$1-1)*12,$DJ$17),0))</f>
        <v>0</v>
      </c>
      <c r="DG18" s="497" t="e">
        <f>IF(('Comparison Calculator'!$E$11-DE18)&gt;=0,$C$1*$DJ$18/12,IFERROR(-IPMT($DJ$18/12,(DD18-12),($F$1-1)*12,$DJ$17,0),0))</f>
        <v>#N/A</v>
      </c>
      <c r="DH18" s="497" t="e">
        <f t="shared" si="12"/>
        <v>#N/A</v>
      </c>
      <c r="DI18" s="497">
        <f t="shared" si="25"/>
        <v>1800000</v>
      </c>
      <c r="DJ18" s="504" t="e">
        <f>Rates!$C$165</f>
        <v>#N/A</v>
      </c>
      <c r="DK18" s="493"/>
    </row>
    <row r="19" spans="1:115">
      <c r="A19" s="492">
        <v>15</v>
      </c>
      <c r="B19" s="492">
        <v>2</v>
      </c>
      <c r="C19" s="497">
        <f>IF(('Comparison Calculator'!$E$11-B19)&gt;=0,0,IFERROR(-PPMT($G$18/12,(A19-12),($F$1-1)*12,$G$17),0))</f>
        <v>0</v>
      </c>
      <c r="D19" s="497">
        <f>IF(('Comparison Calculator'!$E$11-B19)&gt;=0,$C$1*$G$18/12,IFERROR(-IPMT($G$18/12,(A19-12),($F$1-1)*12,$G$17,0),0))</f>
        <v>9720</v>
      </c>
      <c r="E19" s="497">
        <f t="shared" si="0"/>
        <v>9720</v>
      </c>
      <c r="F19" s="497">
        <f t="shared" si="13"/>
        <v>1800000</v>
      </c>
      <c r="G19" s="493"/>
      <c r="H19" s="493"/>
      <c r="I19" s="489"/>
      <c r="J19" s="492">
        <v>15</v>
      </c>
      <c r="K19" s="492">
        <v>2</v>
      </c>
      <c r="L19" s="497">
        <f>IF(('Comparison Calculator'!$E$11-K19)&gt;=0,0,IFERROR(-PPMT($P$18/12,(J19-12),($F$1-1)*12,$P$17),0))</f>
        <v>0</v>
      </c>
      <c r="M19" s="497">
        <f>IF(('Comparison Calculator'!$E$11-K19)&gt;=0,$C$1*$P$18/12,IFERROR(-IPMT($P$18/12,(J19-12),($F$1-1)*12,$P$17,0),0))</f>
        <v>9720</v>
      </c>
      <c r="N19" s="497">
        <f t="shared" si="1"/>
        <v>9720</v>
      </c>
      <c r="O19" s="497">
        <f t="shared" si="14"/>
        <v>1800000</v>
      </c>
      <c r="P19" s="493"/>
      <c r="Q19" s="493"/>
      <c r="S19" s="492">
        <v>15</v>
      </c>
      <c r="T19" s="492">
        <v>2</v>
      </c>
      <c r="U19" s="497">
        <f>IF(('Comparison Calculator'!$E$11-T19)&gt;=0,0,IFERROR(-PPMT($Y$18/12,(S19-12),($F$1-1)*12,$Y$17),0))</f>
        <v>0</v>
      </c>
      <c r="V19" s="497" t="e">
        <f>IF(('Comparison Calculator'!$E$11-T19)&gt;=0,$C$1*$Y$18/12,IFERROR(-IPMT($Y$18/12,(S19-12),($F$1-1)*12,$Y$17,0),0))</f>
        <v>#N/A</v>
      </c>
      <c r="W19" s="497" t="e">
        <f t="shared" si="2"/>
        <v>#N/A</v>
      </c>
      <c r="X19" s="497">
        <f t="shared" si="15"/>
        <v>1800000</v>
      </c>
      <c r="Y19" s="493"/>
      <c r="Z19" s="493"/>
      <c r="AB19" s="492">
        <v>15</v>
      </c>
      <c r="AC19" s="492">
        <v>2</v>
      </c>
      <c r="AD19" s="497">
        <f>IF(('Comparison Calculator'!$E$11-AC19)&gt;=0,0,IFERROR(-PPMT($AH$18/12,(AB19-12),($F$1-1)*12,$AH$17),0))</f>
        <v>0</v>
      </c>
      <c r="AE19" s="497" t="e">
        <f>IF(('Comparison Calculator'!$E$11-AC19)&gt;=0,$C$1*$AH$18/12,IFERROR(-IPMT($AH$18/12,(AB19-12),($F$1-1)*12,$AH$17,0),0))</f>
        <v>#N/A</v>
      </c>
      <c r="AF19" s="497" t="e">
        <f t="shared" si="3"/>
        <v>#N/A</v>
      </c>
      <c r="AG19" s="497">
        <f t="shared" si="16"/>
        <v>1800000</v>
      </c>
      <c r="AH19" s="493"/>
      <c r="AI19" s="493"/>
      <c r="AK19" s="492">
        <v>15</v>
      </c>
      <c r="AL19" s="492">
        <v>2</v>
      </c>
      <c r="AM19" s="497">
        <f>IF(('Comparison Calculator'!$E$11-AL19)&gt;=0,0,IFERROR(-PPMT($AQ$18/12,(AK19-12),($F$1-1)*12,$AQ$17),0))</f>
        <v>0</v>
      </c>
      <c r="AN19" s="497">
        <f>IF(('Comparison Calculator'!$E$11-AL19)&gt;=0,$C$1*$AQ$18/12,IFERROR(-IPMT($AQ$18/12,(AK19-12),($F$1-1)*12,$AQ$17,0),0))</f>
        <v>8040</v>
      </c>
      <c r="AO19" s="497">
        <f t="shared" si="4"/>
        <v>8040</v>
      </c>
      <c r="AP19" s="497">
        <f t="shared" si="17"/>
        <v>1800000</v>
      </c>
      <c r="AQ19" s="493"/>
      <c r="AR19" s="493"/>
      <c r="AT19" s="492">
        <v>15</v>
      </c>
      <c r="AU19" s="492">
        <v>2</v>
      </c>
      <c r="AV19" s="497">
        <f>IF(('Comparison Calculator'!$E$11-AU19)&gt;=0,0,IFERROR(-PPMT($AZ$18/12,(AT19-12),($F$1-1)*12,$AZ$17),0))</f>
        <v>0</v>
      </c>
      <c r="AW19" s="497" t="e">
        <f>IF(('Comparison Calculator'!$E$11-AU19)&gt;=0,$C$1*$AZ$18/12,IFERROR(-IPMT($AZ$18/12,(AT19-12),($F$1-1)*12,$AZ$17,0),0))</f>
        <v>#N/A</v>
      </c>
      <c r="AX19" s="497" t="e">
        <f t="shared" si="5"/>
        <v>#N/A</v>
      </c>
      <c r="AY19" s="497">
        <f t="shared" si="18"/>
        <v>1800000</v>
      </c>
      <c r="AZ19" s="493"/>
      <c r="BA19" s="493"/>
      <c r="BC19" s="492">
        <v>15</v>
      </c>
      <c r="BD19" s="492">
        <v>2</v>
      </c>
      <c r="BE19" s="497">
        <f>IF(('Comparison Calculator'!$E$11-BD19)&gt;=0,0,IFERROR(-PPMT($BI$18/12,(BC19-12),($F$1-1)*12,$BI$17),0))</f>
        <v>0</v>
      </c>
      <c r="BF19" s="497">
        <f>IF(('Comparison Calculator'!$E$11-BD19)&gt;=0,$C$1*$BI$18/12,IFERROR(-IPMT($BI$18/12,(BC19-12),($F$1-1)*12,$BI$17,0),0))</f>
        <v>7470</v>
      </c>
      <c r="BG19" s="497">
        <f t="shared" si="6"/>
        <v>7470</v>
      </c>
      <c r="BH19" s="497">
        <f t="shared" si="19"/>
        <v>1800000</v>
      </c>
      <c r="BI19" s="493"/>
      <c r="BJ19" s="493"/>
      <c r="BK19" s="492">
        <v>15</v>
      </c>
      <c r="BL19" s="492">
        <v>2</v>
      </c>
      <c r="BM19" s="497">
        <f>IF(('Comparison Calculator'!$E$11-BL19)&gt;=0,0,IFERROR(-PPMT($BQ$18/12,(BK19-12),($F$1-1)*12,$BQ$17),0))</f>
        <v>0</v>
      </c>
      <c r="BN19" s="497">
        <f>IF(('Comparison Calculator'!$E$11-BL19)&gt;=0,$C$1*$BQ$18/12,IFERROR(-IPMT($BQ$18/12,(BK19-12),($F$1-1)*12,$BQ$17,0),0))</f>
        <v>9720</v>
      </c>
      <c r="BO19" s="497">
        <f t="shared" si="7"/>
        <v>9720</v>
      </c>
      <c r="BP19" s="497">
        <f t="shared" si="20"/>
        <v>1800000</v>
      </c>
      <c r="BQ19" s="493"/>
      <c r="BR19" s="493"/>
      <c r="BT19" s="492">
        <v>15</v>
      </c>
      <c r="BU19" s="492">
        <v>2</v>
      </c>
      <c r="BV19" s="497">
        <f>IF(('Comparison Calculator'!$E$11-BU19)&gt;=0,0,IFERROR(-PPMT($BZ$18/12,(BT19-12),($F$1-1)*12,$BZ$17),0))</f>
        <v>0</v>
      </c>
      <c r="BW19" s="497">
        <f>IF(('Comparison Calculator'!$E$11-BU19)&gt;=0,$C$1*$BZ$18/12,IFERROR(-IPMT($BZ$18/12,(BT19-12),($F$1-1)*12,$BZ$17,0),0))</f>
        <v>9720</v>
      </c>
      <c r="BX19" s="497">
        <f t="shared" si="8"/>
        <v>9720</v>
      </c>
      <c r="BY19" s="497">
        <f t="shared" si="21"/>
        <v>1800000</v>
      </c>
      <c r="BZ19" s="493"/>
      <c r="CA19" s="493"/>
      <c r="CC19" s="492">
        <v>15</v>
      </c>
      <c r="CD19" s="492">
        <v>2</v>
      </c>
      <c r="CE19" s="497">
        <f>IF(('Comparison Calculator'!$E$11-CD19)&gt;=0,0,IFERROR(-PPMT($CI$18/12,(CC19-12),($F$1-1)*12,$CI$17),0))</f>
        <v>0</v>
      </c>
      <c r="CF19" s="497">
        <f>IF(('Comparison Calculator'!$E$11-CD19)&gt;=0,$C$1*$CI$18/12,IFERROR(-IPMT($CI$18/12,(CC19-12),($F$1-1)*12,$CI$17,0),0))</f>
        <v>9569.9999999999982</v>
      </c>
      <c r="CG19" s="497">
        <f t="shared" si="9"/>
        <v>9569.9999999999982</v>
      </c>
      <c r="CH19" s="497">
        <f t="shared" si="22"/>
        <v>1800000</v>
      </c>
      <c r="CI19" s="493"/>
      <c r="CJ19" s="493"/>
      <c r="CL19" s="492">
        <v>15</v>
      </c>
      <c r="CM19" s="492">
        <v>2</v>
      </c>
      <c r="CN19" s="497">
        <f>IF(('Comparison Calculator'!$E$11-CM19)&gt;=0,0,IFERROR(-PPMT($CR$18/12,(CL19-12),($F$1-1)*12,$CR$17),0))</f>
        <v>0</v>
      </c>
      <c r="CO19" s="497" t="e">
        <f>IF(('Comparison Calculator'!$E$11-CM19)&gt;=0,$C$1*$CR$18/12,IFERROR(-IPMT($CR$18/12,(CL19-12),($F$1-1)*12,$CR$17,0),0))</f>
        <v>#N/A</v>
      </c>
      <c r="CP19" s="497" t="e">
        <f t="shared" si="10"/>
        <v>#N/A</v>
      </c>
      <c r="CQ19" s="497">
        <f t="shared" si="23"/>
        <v>1800000</v>
      </c>
      <c r="CR19" s="493"/>
      <c r="CS19" s="493"/>
      <c r="CU19" s="492">
        <v>15</v>
      </c>
      <c r="CV19" s="492">
        <v>2</v>
      </c>
      <c r="CW19" s="497">
        <f>IF(('Comparison Calculator'!$E$11-CV19)&gt;=0,0,IFERROR(-PPMT($DA$18/12,(CU19-12),($F$1-1)*12,$DA$17),0))</f>
        <v>0</v>
      </c>
      <c r="CX19" s="497" t="e">
        <f>IF(('Comparison Calculator'!$E$11-CV19)&gt;=0,$C$1*$DA$18/12,IFERROR(-IPMT($DA$18/12,(CU19-12),($F$1-1)*12,$DA$17,0),0))</f>
        <v>#N/A</v>
      </c>
      <c r="CY19" s="497" t="e">
        <f t="shared" si="11"/>
        <v>#N/A</v>
      </c>
      <c r="CZ19" s="497">
        <f t="shared" si="24"/>
        <v>1800000</v>
      </c>
      <c r="DA19" s="493"/>
      <c r="DB19" s="493"/>
      <c r="DD19" s="492">
        <v>15</v>
      </c>
      <c r="DE19" s="492">
        <v>2</v>
      </c>
      <c r="DF19" s="497">
        <f>IF(('Comparison Calculator'!$E$11-DE19)&gt;=0,0,IFERROR(-PPMT($DJ$18/12,(DD19-12),($F$1-1)*12,$DJ$17),0))</f>
        <v>0</v>
      </c>
      <c r="DG19" s="497" t="e">
        <f>IF(('Comparison Calculator'!$E$11-DE19)&gt;=0,$C$1*$DJ$18/12,IFERROR(-IPMT($DJ$18/12,(DD19-12),($F$1-1)*12,$DJ$17,0),0))</f>
        <v>#N/A</v>
      </c>
      <c r="DH19" s="497" t="e">
        <f t="shared" si="12"/>
        <v>#N/A</v>
      </c>
      <c r="DI19" s="497">
        <f t="shared" si="25"/>
        <v>1800000</v>
      </c>
      <c r="DJ19" s="493"/>
      <c r="DK19" s="493"/>
    </row>
    <row r="20" spans="1:115">
      <c r="A20" s="492">
        <v>16</v>
      </c>
      <c r="B20" s="492">
        <v>2</v>
      </c>
      <c r="C20" s="497">
        <f>IF(('Comparison Calculator'!$E$11-B20)&gt;=0,0,IFERROR(-PPMT($G$18/12,(A20-12),($F$1-1)*12,$G$17),0))</f>
        <v>0</v>
      </c>
      <c r="D20" s="497">
        <f>IF(('Comparison Calculator'!$E$11-B20)&gt;=0,$C$1*$G$18/12,IFERROR(-IPMT($G$18/12,(A20-12),($F$1-1)*12,$G$17,0),0))</f>
        <v>9720</v>
      </c>
      <c r="E20" s="497">
        <f t="shared" si="0"/>
        <v>9720</v>
      </c>
      <c r="F20" s="497">
        <f t="shared" si="13"/>
        <v>1800000</v>
      </c>
      <c r="G20" s="493"/>
      <c r="H20" s="493"/>
      <c r="I20" s="489"/>
      <c r="J20" s="492">
        <v>16</v>
      </c>
      <c r="K20" s="492">
        <v>2</v>
      </c>
      <c r="L20" s="497">
        <f>IF(('Comparison Calculator'!$E$11-K20)&gt;=0,0,IFERROR(-PPMT($P$18/12,(J20-12),($F$1-1)*12,$P$17),0))</f>
        <v>0</v>
      </c>
      <c r="M20" s="497">
        <f>IF(('Comparison Calculator'!$E$11-K20)&gt;=0,$C$1*$P$18/12,IFERROR(-IPMT($P$18/12,(J20-12),($F$1-1)*12,$P$17,0),0))</f>
        <v>9720</v>
      </c>
      <c r="N20" s="497">
        <f t="shared" si="1"/>
        <v>9720</v>
      </c>
      <c r="O20" s="497">
        <f t="shared" si="14"/>
        <v>1800000</v>
      </c>
      <c r="P20" s="493"/>
      <c r="Q20" s="493"/>
      <c r="S20" s="492">
        <v>16</v>
      </c>
      <c r="T20" s="492">
        <v>2</v>
      </c>
      <c r="U20" s="497">
        <f>IF(('Comparison Calculator'!$E$11-T20)&gt;=0,0,IFERROR(-PPMT($Y$18/12,(S20-12),($F$1-1)*12,$Y$17),0))</f>
        <v>0</v>
      </c>
      <c r="V20" s="497" t="e">
        <f>IF(('Comparison Calculator'!$E$11-T20)&gt;=0,$C$1*$Y$18/12,IFERROR(-IPMT($Y$18/12,(S20-12),($F$1-1)*12,$Y$17,0),0))</f>
        <v>#N/A</v>
      </c>
      <c r="W20" s="497" t="e">
        <f t="shared" si="2"/>
        <v>#N/A</v>
      </c>
      <c r="X20" s="497">
        <f t="shared" si="15"/>
        <v>1800000</v>
      </c>
      <c r="Y20" s="493"/>
      <c r="Z20" s="493"/>
      <c r="AB20" s="492">
        <v>16</v>
      </c>
      <c r="AC20" s="492">
        <v>2</v>
      </c>
      <c r="AD20" s="497">
        <f>IF(('Comparison Calculator'!$E$11-AC20)&gt;=0,0,IFERROR(-PPMT($AH$18/12,(AB20-12),($F$1-1)*12,$AH$17),0))</f>
        <v>0</v>
      </c>
      <c r="AE20" s="497" t="e">
        <f>IF(('Comparison Calculator'!$E$11-AC20)&gt;=0,$C$1*$AH$18/12,IFERROR(-IPMT($AH$18/12,(AB20-12),($F$1-1)*12,$AH$17,0),0))</f>
        <v>#N/A</v>
      </c>
      <c r="AF20" s="497" t="e">
        <f t="shared" si="3"/>
        <v>#N/A</v>
      </c>
      <c r="AG20" s="497">
        <f t="shared" si="16"/>
        <v>1800000</v>
      </c>
      <c r="AH20" s="493"/>
      <c r="AI20" s="493"/>
      <c r="AK20" s="492">
        <v>16</v>
      </c>
      <c r="AL20" s="492">
        <v>2</v>
      </c>
      <c r="AM20" s="497">
        <f>IF(('Comparison Calculator'!$E$11-AL20)&gt;=0,0,IFERROR(-PPMT($AQ$18/12,(AK20-12),($F$1-1)*12,$AQ$17),0))</f>
        <v>0</v>
      </c>
      <c r="AN20" s="497">
        <f>IF(('Comparison Calculator'!$E$11-AL20)&gt;=0,$C$1*$AQ$18/12,IFERROR(-IPMT($AQ$18/12,(AK20-12),($F$1-1)*12,$AQ$17,0),0))</f>
        <v>8040</v>
      </c>
      <c r="AO20" s="497">
        <f t="shared" si="4"/>
        <v>8040</v>
      </c>
      <c r="AP20" s="497">
        <f t="shared" si="17"/>
        <v>1800000</v>
      </c>
      <c r="AQ20" s="493"/>
      <c r="AR20" s="493"/>
      <c r="AT20" s="492">
        <v>16</v>
      </c>
      <c r="AU20" s="492">
        <v>2</v>
      </c>
      <c r="AV20" s="497">
        <f>IF(('Comparison Calculator'!$E$11-AU20)&gt;=0,0,IFERROR(-PPMT($AZ$18/12,(AT20-12),($F$1-1)*12,$AZ$17),0))</f>
        <v>0</v>
      </c>
      <c r="AW20" s="497" t="e">
        <f>IF(('Comparison Calculator'!$E$11-AU20)&gt;=0,$C$1*$AZ$18/12,IFERROR(-IPMT($AZ$18/12,(AT20-12),($F$1-1)*12,$AZ$17,0),0))</f>
        <v>#N/A</v>
      </c>
      <c r="AX20" s="497" t="e">
        <f t="shared" si="5"/>
        <v>#N/A</v>
      </c>
      <c r="AY20" s="497">
        <f t="shared" si="18"/>
        <v>1800000</v>
      </c>
      <c r="AZ20" s="493"/>
      <c r="BA20" s="493"/>
      <c r="BC20" s="492">
        <v>16</v>
      </c>
      <c r="BD20" s="492">
        <v>2</v>
      </c>
      <c r="BE20" s="497">
        <f>IF(('Comparison Calculator'!$E$11-BD20)&gt;=0,0,IFERROR(-PPMT($BI$18/12,(BC20-12),($F$1-1)*12,$BI$17),0))</f>
        <v>0</v>
      </c>
      <c r="BF20" s="497">
        <f>IF(('Comparison Calculator'!$E$11-BD20)&gt;=0,$C$1*$BI$18/12,IFERROR(-IPMT($BI$18/12,(BC20-12),($F$1-1)*12,$BI$17,0),0))</f>
        <v>7470</v>
      </c>
      <c r="BG20" s="497">
        <f t="shared" si="6"/>
        <v>7470</v>
      </c>
      <c r="BH20" s="497">
        <f t="shared" si="19"/>
        <v>1800000</v>
      </c>
      <c r="BI20" s="493"/>
      <c r="BJ20" s="493"/>
      <c r="BK20" s="492">
        <v>16</v>
      </c>
      <c r="BL20" s="492">
        <v>2</v>
      </c>
      <c r="BM20" s="497">
        <f>IF(('Comparison Calculator'!$E$11-BL20)&gt;=0,0,IFERROR(-PPMT($BQ$18/12,(BK20-12),($F$1-1)*12,$BQ$17),0))</f>
        <v>0</v>
      </c>
      <c r="BN20" s="497">
        <f>IF(('Comparison Calculator'!$E$11-BL20)&gt;=0,$C$1*$BQ$18/12,IFERROR(-IPMT($BQ$18/12,(BK20-12),($F$1-1)*12,$BQ$17,0),0))</f>
        <v>9720</v>
      </c>
      <c r="BO20" s="497">
        <f t="shared" si="7"/>
        <v>9720</v>
      </c>
      <c r="BP20" s="497">
        <f t="shared" si="20"/>
        <v>1800000</v>
      </c>
      <c r="BQ20" s="493"/>
      <c r="BR20" s="493"/>
      <c r="BT20" s="492">
        <v>16</v>
      </c>
      <c r="BU20" s="492">
        <v>2</v>
      </c>
      <c r="BV20" s="497">
        <f>IF(('Comparison Calculator'!$E$11-BU20)&gt;=0,0,IFERROR(-PPMT($BZ$18/12,(BT20-12),($F$1-1)*12,$BZ$17),0))</f>
        <v>0</v>
      </c>
      <c r="BW20" s="497">
        <f>IF(('Comparison Calculator'!$E$11-BU20)&gt;=0,$C$1*$BZ$18/12,IFERROR(-IPMT($BZ$18/12,(BT20-12),($F$1-1)*12,$BZ$17,0),0))</f>
        <v>9720</v>
      </c>
      <c r="BX20" s="497">
        <f t="shared" si="8"/>
        <v>9720</v>
      </c>
      <c r="BY20" s="497">
        <f t="shared" si="21"/>
        <v>1800000</v>
      </c>
      <c r="BZ20" s="493"/>
      <c r="CA20" s="493"/>
      <c r="CC20" s="492">
        <v>16</v>
      </c>
      <c r="CD20" s="492">
        <v>2</v>
      </c>
      <c r="CE20" s="497">
        <f>IF(('Comparison Calculator'!$E$11-CD20)&gt;=0,0,IFERROR(-PPMT($CI$18/12,(CC20-12),($F$1-1)*12,$CI$17),0))</f>
        <v>0</v>
      </c>
      <c r="CF20" s="497">
        <f>IF(('Comparison Calculator'!$E$11-CD20)&gt;=0,$C$1*$CI$18/12,IFERROR(-IPMT($CI$18/12,(CC20-12),($F$1-1)*12,$CI$17,0),0))</f>
        <v>9569.9999999999982</v>
      </c>
      <c r="CG20" s="497">
        <f t="shared" si="9"/>
        <v>9569.9999999999982</v>
      </c>
      <c r="CH20" s="497">
        <f t="shared" si="22"/>
        <v>1800000</v>
      </c>
      <c r="CI20" s="493"/>
      <c r="CJ20" s="493"/>
      <c r="CL20" s="492">
        <v>16</v>
      </c>
      <c r="CM20" s="492">
        <v>2</v>
      </c>
      <c r="CN20" s="497">
        <f>IF(('Comparison Calculator'!$E$11-CM20)&gt;=0,0,IFERROR(-PPMT($CR$18/12,(CL20-12),($F$1-1)*12,$CR$17),0))</f>
        <v>0</v>
      </c>
      <c r="CO20" s="497" t="e">
        <f>IF(('Comparison Calculator'!$E$11-CM20)&gt;=0,$C$1*$CR$18/12,IFERROR(-IPMT($CR$18/12,(CL20-12),($F$1-1)*12,$CR$17,0),0))</f>
        <v>#N/A</v>
      </c>
      <c r="CP20" s="497" t="e">
        <f t="shared" si="10"/>
        <v>#N/A</v>
      </c>
      <c r="CQ20" s="497">
        <f t="shared" si="23"/>
        <v>1800000</v>
      </c>
      <c r="CR20" s="493"/>
      <c r="CS20" s="493"/>
      <c r="CU20" s="492">
        <v>16</v>
      </c>
      <c r="CV20" s="492">
        <v>2</v>
      </c>
      <c r="CW20" s="497">
        <f>IF(('Comparison Calculator'!$E$11-CV20)&gt;=0,0,IFERROR(-PPMT($DA$18/12,(CU20-12),($F$1-1)*12,$DA$17),0))</f>
        <v>0</v>
      </c>
      <c r="CX20" s="497" t="e">
        <f>IF(('Comparison Calculator'!$E$11-CV20)&gt;=0,$C$1*$DA$18/12,IFERROR(-IPMT($DA$18/12,(CU20-12),($F$1-1)*12,$DA$17,0),0))</f>
        <v>#N/A</v>
      </c>
      <c r="CY20" s="497" t="e">
        <f t="shared" si="11"/>
        <v>#N/A</v>
      </c>
      <c r="CZ20" s="497">
        <f t="shared" si="24"/>
        <v>1800000</v>
      </c>
      <c r="DA20" s="493"/>
      <c r="DB20" s="493"/>
      <c r="DD20" s="492">
        <v>16</v>
      </c>
      <c r="DE20" s="492">
        <v>2</v>
      </c>
      <c r="DF20" s="497">
        <f>IF(('Comparison Calculator'!$E$11-DE20)&gt;=0,0,IFERROR(-PPMT($DJ$18/12,(DD20-12),($F$1-1)*12,$DJ$17),0))</f>
        <v>0</v>
      </c>
      <c r="DG20" s="497" t="e">
        <f>IF(('Comparison Calculator'!$E$11-DE20)&gt;=0,$C$1*$DJ$18/12,IFERROR(-IPMT($DJ$18/12,(DD20-12),($F$1-1)*12,$DJ$17,0),0))</f>
        <v>#N/A</v>
      </c>
      <c r="DH20" s="497" t="e">
        <f t="shared" si="12"/>
        <v>#N/A</v>
      </c>
      <c r="DI20" s="497">
        <f t="shared" si="25"/>
        <v>1800000</v>
      </c>
      <c r="DJ20" s="493"/>
      <c r="DK20" s="493"/>
    </row>
    <row r="21" spans="1:115">
      <c r="A21" s="492">
        <v>17</v>
      </c>
      <c r="B21" s="492">
        <v>2</v>
      </c>
      <c r="C21" s="497">
        <f>IF(('Comparison Calculator'!$E$11-B21)&gt;=0,0,IFERROR(-PPMT($G$18/12,(A21-12),($F$1-1)*12,$G$17),0))</f>
        <v>0</v>
      </c>
      <c r="D21" s="497">
        <f>IF(('Comparison Calculator'!$E$11-B21)&gt;=0,$C$1*$G$18/12,IFERROR(-IPMT($G$18/12,(A21-12),($F$1-1)*12,$G$17,0),0))</f>
        <v>9720</v>
      </c>
      <c r="E21" s="497">
        <f t="shared" si="0"/>
        <v>9720</v>
      </c>
      <c r="F21" s="497">
        <f t="shared" si="13"/>
        <v>1800000</v>
      </c>
      <c r="G21" s="493"/>
      <c r="H21" s="493"/>
      <c r="I21" s="489"/>
      <c r="J21" s="492">
        <v>17</v>
      </c>
      <c r="K21" s="492">
        <v>2</v>
      </c>
      <c r="L21" s="497">
        <f>IF(('Comparison Calculator'!$E$11-K21)&gt;=0,0,IFERROR(-PPMT($P$18/12,(J21-12),($F$1-1)*12,$P$17),0))</f>
        <v>0</v>
      </c>
      <c r="M21" s="497">
        <f>IF(('Comparison Calculator'!$E$11-K21)&gt;=0,$C$1*$P$18/12,IFERROR(-IPMT($P$18/12,(J21-12),($F$1-1)*12,$P$17,0),0))</f>
        <v>9720</v>
      </c>
      <c r="N21" s="497">
        <f t="shared" si="1"/>
        <v>9720</v>
      </c>
      <c r="O21" s="497">
        <f t="shared" si="14"/>
        <v>1800000</v>
      </c>
      <c r="P21" s="493"/>
      <c r="Q21" s="493"/>
      <c r="S21" s="492">
        <v>17</v>
      </c>
      <c r="T21" s="492">
        <v>2</v>
      </c>
      <c r="U21" s="497">
        <f>IF(('Comparison Calculator'!$E$11-T21)&gt;=0,0,IFERROR(-PPMT($Y$18/12,(S21-12),($F$1-1)*12,$Y$17),0))</f>
        <v>0</v>
      </c>
      <c r="V21" s="497" t="e">
        <f>IF(('Comparison Calculator'!$E$11-T21)&gt;=0,$C$1*$Y$18/12,IFERROR(-IPMT($Y$18/12,(S21-12),($F$1-1)*12,$Y$17,0),0))</f>
        <v>#N/A</v>
      </c>
      <c r="W21" s="497" t="e">
        <f t="shared" si="2"/>
        <v>#N/A</v>
      </c>
      <c r="X21" s="497">
        <f t="shared" si="15"/>
        <v>1800000</v>
      </c>
      <c r="Y21" s="493"/>
      <c r="Z21" s="493"/>
      <c r="AB21" s="492">
        <v>17</v>
      </c>
      <c r="AC21" s="492">
        <v>2</v>
      </c>
      <c r="AD21" s="497">
        <f>IF(('Comparison Calculator'!$E$11-AC21)&gt;=0,0,IFERROR(-PPMT($AH$18/12,(AB21-12),($F$1-1)*12,$AH$17),0))</f>
        <v>0</v>
      </c>
      <c r="AE21" s="497" t="e">
        <f>IF(('Comparison Calculator'!$E$11-AC21)&gt;=0,$C$1*$AH$18/12,IFERROR(-IPMT($AH$18/12,(AB21-12),($F$1-1)*12,$AH$17,0),0))</f>
        <v>#N/A</v>
      </c>
      <c r="AF21" s="497" t="e">
        <f t="shared" si="3"/>
        <v>#N/A</v>
      </c>
      <c r="AG21" s="497">
        <f t="shared" si="16"/>
        <v>1800000</v>
      </c>
      <c r="AH21" s="493"/>
      <c r="AI21" s="493"/>
      <c r="AK21" s="492">
        <v>17</v>
      </c>
      <c r="AL21" s="492">
        <v>2</v>
      </c>
      <c r="AM21" s="497">
        <f>IF(('Comparison Calculator'!$E$11-AL21)&gt;=0,0,IFERROR(-PPMT($AQ$18/12,(AK21-12),($F$1-1)*12,$AQ$17),0))</f>
        <v>0</v>
      </c>
      <c r="AN21" s="497">
        <f>IF(('Comparison Calculator'!$E$11-AL21)&gt;=0,$C$1*$AQ$18/12,IFERROR(-IPMT($AQ$18/12,(AK21-12),($F$1-1)*12,$AQ$17,0),0))</f>
        <v>8040</v>
      </c>
      <c r="AO21" s="497">
        <f t="shared" si="4"/>
        <v>8040</v>
      </c>
      <c r="AP21" s="497">
        <f t="shared" si="17"/>
        <v>1800000</v>
      </c>
      <c r="AQ21" s="493"/>
      <c r="AR21" s="493"/>
      <c r="AT21" s="492">
        <v>17</v>
      </c>
      <c r="AU21" s="492">
        <v>2</v>
      </c>
      <c r="AV21" s="497">
        <f>IF(('Comparison Calculator'!$E$11-AU21)&gt;=0,0,IFERROR(-PPMT($AZ$18/12,(AT21-12),($F$1-1)*12,$AZ$17),0))</f>
        <v>0</v>
      </c>
      <c r="AW21" s="497" t="e">
        <f>IF(('Comparison Calculator'!$E$11-AU21)&gt;=0,$C$1*$AZ$18/12,IFERROR(-IPMT($AZ$18/12,(AT21-12),($F$1-1)*12,$AZ$17,0),0))</f>
        <v>#N/A</v>
      </c>
      <c r="AX21" s="497" t="e">
        <f t="shared" si="5"/>
        <v>#N/A</v>
      </c>
      <c r="AY21" s="497">
        <f t="shared" si="18"/>
        <v>1800000</v>
      </c>
      <c r="AZ21" s="493"/>
      <c r="BA21" s="493"/>
      <c r="BC21" s="492">
        <v>17</v>
      </c>
      <c r="BD21" s="492">
        <v>2</v>
      </c>
      <c r="BE21" s="497">
        <f>IF(('Comparison Calculator'!$E$11-BD21)&gt;=0,0,IFERROR(-PPMT($BI$18/12,(BC21-12),($F$1-1)*12,$BI$17),0))</f>
        <v>0</v>
      </c>
      <c r="BF21" s="497">
        <f>IF(('Comparison Calculator'!$E$11-BD21)&gt;=0,$C$1*$BI$18/12,IFERROR(-IPMT($BI$18/12,(BC21-12),($F$1-1)*12,$BI$17,0),0))</f>
        <v>7470</v>
      </c>
      <c r="BG21" s="497">
        <f t="shared" si="6"/>
        <v>7470</v>
      </c>
      <c r="BH21" s="497">
        <f t="shared" si="19"/>
        <v>1800000</v>
      </c>
      <c r="BI21" s="493"/>
      <c r="BJ21" s="493"/>
      <c r="BK21" s="492">
        <v>17</v>
      </c>
      <c r="BL21" s="492">
        <v>2</v>
      </c>
      <c r="BM21" s="497">
        <f>IF(('Comparison Calculator'!$E$11-BL21)&gt;=0,0,IFERROR(-PPMT($BQ$18/12,(BK21-12),($F$1-1)*12,$BQ$17),0))</f>
        <v>0</v>
      </c>
      <c r="BN21" s="497">
        <f>IF(('Comparison Calculator'!$E$11-BL21)&gt;=0,$C$1*$BQ$18/12,IFERROR(-IPMT($BQ$18/12,(BK21-12),($F$1-1)*12,$BQ$17,0),0))</f>
        <v>9720</v>
      </c>
      <c r="BO21" s="497">
        <f t="shared" si="7"/>
        <v>9720</v>
      </c>
      <c r="BP21" s="497">
        <f t="shared" si="20"/>
        <v>1800000</v>
      </c>
      <c r="BQ21" s="493"/>
      <c r="BR21" s="493"/>
      <c r="BT21" s="492">
        <v>17</v>
      </c>
      <c r="BU21" s="492">
        <v>2</v>
      </c>
      <c r="BV21" s="497">
        <f>IF(('Comparison Calculator'!$E$11-BU21)&gt;=0,0,IFERROR(-PPMT($BZ$18/12,(BT21-12),($F$1-1)*12,$BZ$17),0))</f>
        <v>0</v>
      </c>
      <c r="BW21" s="497">
        <f>IF(('Comparison Calculator'!$E$11-BU21)&gt;=0,$C$1*$BZ$18/12,IFERROR(-IPMT($BZ$18/12,(BT21-12),($F$1-1)*12,$BZ$17,0),0))</f>
        <v>9720</v>
      </c>
      <c r="BX21" s="497">
        <f t="shared" si="8"/>
        <v>9720</v>
      </c>
      <c r="BY21" s="497">
        <f t="shared" si="21"/>
        <v>1800000</v>
      </c>
      <c r="BZ21" s="493"/>
      <c r="CA21" s="493"/>
      <c r="CC21" s="492">
        <v>17</v>
      </c>
      <c r="CD21" s="492">
        <v>2</v>
      </c>
      <c r="CE21" s="497">
        <f>IF(('Comparison Calculator'!$E$11-CD21)&gt;=0,0,IFERROR(-PPMT($CI$18/12,(CC21-12),($F$1-1)*12,$CI$17),0))</f>
        <v>0</v>
      </c>
      <c r="CF21" s="497">
        <f>IF(('Comparison Calculator'!$E$11-CD21)&gt;=0,$C$1*$CI$18/12,IFERROR(-IPMT($CI$18/12,(CC21-12),($F$1-1)*12,$CI$17,0),0))</f>
        <v>9569.9999999999982</v>
      </c>
      <c r="CG21" s="497">
        <f t="shared" si="9"/>
        <v>9569.9999999999982</v>
      </c>
      <c r="CH21" s="497">
        <f t="shared" si="22"/>
        <v>1800000</v>
      </c>
      <c r="CI21" s="493"/>
      <c r="CJ21" s="493"/>
      <c r="CL21" s="492">
        <v>17</v>
      </c>
      <c r="CM21" s="492">
        <v>2</v>
      </c>
      <c r="CN21" s="497">
        <f>IF(('Comparison Calculator'!$E$11-CM21)&gt;=0,0,IFERROR(-PPMT($CR$18/12,(CL21-12),($F$1-1)*12,$CR$17),0))</f>
        <v>0</v>
      </c>
      <c r="CO21" s="497" t="e">
        <f>IF(('Comparison Calculator'!$E$11-CM21)&gt;=0,$C$1*$CR$18/12,IFERROR(-IPMT($CR$18/12,(CL21-12),($F$1-1)*12,$CR$17,0),0))</f>
        <v>#N/A</v>
      </c>
      <c r="CP21" s="497" t="e">
        <f t="shared" si="10"/>
        <v>#N/A</v>
      </c>
      <c r="CQ21" s="497">
        <f t="shared" si="23"/>
        <v>1800000</v>
      </c>
      <c r="CR21" s="493"/>
      <c r="CS21" s="493"/>
      <c r="CU21" s="492">
        <v>17</v>
      </c>
      <c r="CV21" s="492">
        <v>2</v>
      </c>
      <c r="CW21" s="497">
        <f>IF(('Comparison Calculator'!$E$11-CV21)&gt;=0,0,IFERROR(-PPMT($DA$18/12,(CU21-12),($F$1-1)*12,$DA$17),0))</f>
        <v>0</v>
      </c>
      <c r="CX21" s="497" t="e">
        <f>IF(('Comparison Calculator'!$E$11-CV21)&gt;=0,$C$1*$DA$18/12,IFERROR(-IPMT($DA$18/12,(CU21-12),($F$1-1)*12,$DA$17,0),0))</f>
        <v>#N/A</v>
      </c>
      <c r="CY21" s="497" t="e">
        <f t="shared" si="11"/>
        <v>#N/A</v>
      </c>
      <c r="CZ21" s="497">
        <f t="shared" si="24"/>
        <v>1800000</v>
      </c>
      <c r="DA21" s="493"/>
      <c r="DB21" s="493"/>
      <c r="DD21" s="492">
        <v>17</v>
      </c>
      <c r="DE21" s="492">
        <v>2</v>
      </c>
      <c r="DF21" s="497">
        <f>IF(('Comparison Calculator'!$E$11-DE21)&gt;=0,0,IFERROR(-PPMT($DJ$18/12,(DD21-12),($F$1-1)*12,$DJ$17),0))</f>
        <v>0</v>
      </c>
      <c r="DG21" s="497" t="e">
        <f>IF(('Comparison Calculator'!$E$11-DE21)&gt;=0,$C$1*$DJ$18/12,IFERROR(-IPMT($DJ$18/12,(DD21-12),($F$1-1)*12,$DJ$17,0),0))</f>
        <v>#N/A</v>
      </c>
      <c r="DH21" s="497" t="e">
        <f t="shared" si="12"/>
        <v>#N/A</v>
      </c>
      <c r="DI21" s="497">
        <f t="shared" si="25"/>
        <v>1800000</v>
      </c>
      <c r="DJ21" s="493"/>
      <c r="DK21" s="493"/>
    </row>
    <row r="22" spans="1:115">
      <c r="A22" s="492">
        <v>18</v>
      </c>
      <c r="B22" s="492">
        <v>2</v>
      </c>
      <c r="C22" s="497">
        <f>IF(('Comparison Calculator'!$E$11-B22)&gt;=0,0,IFERROR(-PPMT($G$18/12,(A22-12),($F$1-1)*12,$G$17),0))</f>
        <v>0</v>
      </c>
      <c r="D22" s="497">
        <f>IF(('Comparison Calculator'!$E$11-B22)&gt;=0,$C$1*$G$18/12,IFERROR(-IPMT($G$18/12,(A22-12),($F$1-1)*12,$G$17,0),0))</f>
        <v>9720</v>
      </c>
      <c r="E22" s="497">
        <f t="shared" si="0"/>
        <v>9720</v>
      </c>
      <c r="F22" s="497">
        <f t="shared" si="13"/>
        <v>1800000</v>
      </c>
      <c r="G22" s="493"/>
      <c r="H22" s="493"/>
      <c r="I22" s="489"/>
      <c r="J22" s="492">
        <v>18</v>
      </c>
      <c r="K22" s="492">
        <v>2</v>
      </c>
      <c r="L22" s="497">
        <f>IF(('Comparison Calculator'!$E$11-K22)&gt;=0,0,IFERROR(-PPMT($P$18/12,(J22-12),($F$1-1)*12,$P$17),0))</f>
        <v>0</v>
      </c>
      <c r="M22" s="497">
        <f>IF(('Comparison Calculator'!$E$11-K22)&gt;=0,$C$1*$P$18/12,IFERROR(-IPMT($P$18/12,(J22-12),($F$1-1)*12,$P$17,0),0))</f>
        <v>9720</v>
      </c>
      <c r="N22" s="497">
        <f t="shared" si="1"/>
        <v>9720</v>
      </c>
      <c r="O22" s="497">
        <f t="shared" si="14"/>
        <v>1800000</v>
      </c>
      <c r="P22" s="493"/>
      <c r="Q22" s="493"/>
      <c r="S22" s="492">
        <v>18</v>
      </c>
      <c r="T22" s="492">
        <v>2</v>
      </c>
      <c r="U22" s="497">
        <f>IF(('Comparison Calculator'!$E$11-T22)&gt;=0,0,IFERROR(-PPMT($Y$18/12,(S22-12),($F$1-1)*12,$Y$17),0))</f>
        <v>0</v>
      </c>
      <c r="V22" s="497" t="e">
        <f>IF(('Comparison Calculator'!$E$11-T22)&gt;=0,$C$1*$Y$18/12,IFERROR(-IPMT($Y$18/12,(S22-12),($F$1-1)*12,$Y$17,0),0))</f>
        <v>#N/A</v>
      </c>
      <c r="W22" s="497" t="e">
        <f t="shared" si="2"/>
        <v>#N/A</v>
      </c>
      <c r="X22" s="497">
        <f t="shared" si="15"/>
        <v>1800000</v>
      </c>
      <c r="Y22" s="493"/>
      <c r="Z22" s="493"/>
      <c r="AB22" s="492">
        <v>18</v>
      </c>
      <c r="AC22" s="492">
        <v>2</v>
      </c>
      <c r="AD22" s="497">
        <f>IF(('Comparison Calculator'!$E$11-AC22)&gt;=0,0,IFERROR(-PPMT($AH$18/12,(AB22-12),($F$1-1)*12,$AH$17),0))</f>
        <v>0</v>
      </c>
      <c r="AE22" s="497" t="e">
        <f>IF(('Comparison Calculator'!$E$11-AC22)&gt;=0,$C$1*$AH$18/12,IFERROR(-IPMT($AH$18/12,(AB22-12),($F$1-1)*12,$AH$17,0),0))</f>
        <v>#N/A</v>
      </c>
      <c r="AF22" s="497" t="e">
        <f t="shared" si="3"/>
        <v>#N/A</v>
      </c>
      <c r="AG22" s="497">
        <f t="shared" si="16"/>
        <v>1800000</v>
      </c>
      <c r="AH22" s="493"/>
      <c r="AI22" s="493"/>
      <c r="AK22" s="492">
        <v>18</v>
      </c>
      <c r="AL22" s="492">
        <v>2</v>
      </c>
      <c r="AM22" s="497">
        <f>IF(('Comparison Calculator'!$E$11-AL22)&gt;=0,0,IFERROR(-PPMT($AQ$18/12,(AK22-12),($F$1-1)*12,$AQ$17),0))</f>
        <v>0</v>
      </c>
      <c r="AN22" s="497">
        <f>IF(('Comparison Calculator'!$E$11-AL22)&gt;=0,$C$1*$AQ$18/12,IFERROR(-IPMT($AQ$18/12,(AK22-12),($F$1-1)*12,$AQ$17,0),0))</f>
        <v>8040</v>
      </c>
      <c r="AO22" s="497">
        <f t="shared" si="4"/>
        <v>8040</v>
      </c>
      <c r="AP22" s="497">
        <f t="shared" si="17"/>
        <v>1800000</v>
      </c>
      <c r="AQ22" s="493"/>
      <c r="AR22" s="493"/>
      <c r="AT22" s="492">
        <v>18</v>
      </c>
      <c r="AU22" s="492">
        <v>2</v>
      </c>
      <c r="AV22" s="497">
        <f>IF(('Comparison Calculator'!$E$11-AU22)&gt;=0,0,IFERROR(-PPMT($AZ$18/12,(AT22-12),($F$1-1)*12,$AZ$17),0))</f>
        <v>0</v>
      </c>
      <c r="AW22" s="497" t="e">
        <f>IF(('Comparison Calculator'!$E$11-AU22)&gt;=0,$C$1*$AZ$18/12,IFERROR(-IPMT($AZ$18/12,(AT22-12),($F$1-1)*12,$AZ$17,0),0))</f>
        <v>#N/A</v>
      </c>
      <c r="AX22" s="497" t="e">
        <f t="shared" si="5"/>
        <v>#N/A</v>
      </c>
      <c r="AY22" s="497">
        <f t="shared" si="18"/>
        <v>1800000</v>
      </c>
      <c r="AZ22" s="493"/>
      <c r="BA22" s="493"/>
      <c r="BC22" s="492">
        <v>18</v>
      </c>
      <c r="BD22" s="492">
        <v>2</v>
      </c>
      <c r="BE22" s="497">
        <f>IF(('Comparison Calculator'!$E$11-BD22)&gt;=0,0,IFERROR(-PPMT($BI$18/12,(BC22-12),($F$1-1)*12,$BI$17),0))</f>
        <v>0</v>
      </c>
      <c r="BF22" s="497">
        <f>IF(('Comparison Calculator'!$E$11-BD22)&gt;=0,$C$1*$BI$18/12,IFERROR(-IPMT($BI$18/12,(BC22-12),($F$1-1)*12,$BI$17,0),0))</f>
        <v>7470</v>
      </c>
      <c r="BG22" s="497">
        <f t="shared" si="6"/>
        <v>7470</v>
      </c>
      <c r="BH22" s="497">
        <f t="shared" si="19"/>
        <v>1800000</v>
      </c>
      <c r="BI22" s="493"/>
      <c r="BJ22" s="493"/>
      <c r="BK22" s="492">
        <v>18</v>
      </c>
      <c r="BL22" s="492">
        <v>2</v>
      </c>
      <c r="BM22" s="497">
        <f>IF(('Comparison Calculator'!$E$11-BL22)&gt;=0,0,IFERROR(-PPMT($BQ$18/12,(BK22-12),($F$1-1)*12,$BQ$17),0))</f>
        <v>0</v>
      </c>
      <c r="BN22" s="497">
        <f>IF(('Comparison Calculator'!$E$11-BL22)&gt;=0,$C$1*$BQ$18/12,IFERROR(-IPMT($BQ$18/12,(BK22-12),($F$1-1)*12,$BQ$17,0),0))</f>
        <v>9720</v>
      </c>
      <c r="BO22" s="497">
        <f t="shared" si="7"/>
        <v>9720</v>
      </c>
      <c r="BP22" s="497">
        <f t="shared" si="20"/>
        <v>1800000</v>
      </c>
      <c r="BQ22" s="493"/>
      <c r="BR22" s="493"/>
      <c r="BT22" s="492">
        <v>18</v>
      </c>
      <c r="BU22" s="492">
        <v>2</v>
      </c>
      <c r="BV22" s="497">
        <f>IF(('Comparison Calculator'!$E$11-BU22)&gt;=0,0,IFERROR(-PPMT($BZ$18/12,(BT22-12),($F$1-1)*12,$BZ$17),0))</f>
        <v>0</v>
      </c>
      <c r="BW22" s="497">
        <f>IF(('Comparison Calculator'!$E$11-BU22)&gt;=0,$C$1*$BZ$18/12,IFERROR(-IPMT($BZ$18/12,(BT22-12),($F$1-1)*12,$BZ$17,0),0))</f>
        <v>9720</v>
      </c>
      <c r="BX22" s="497">
        <f t="shared" si="8"/>
        <v>9720</v>
      </c>
      <c r="BY22" s="497">
        <f t="shared" si="21"/>
        <v>1800000</v>
      </c>
      <c r="BZ22" s="493"/>
      <c r="CA22" s="493"/>
      <c r="CC22" s="492">
        <v>18</v>
      </c>
      <c r="CD22" s="492">
        <v>2</v>
      </c>
      <c r="CE22" s="497">
        <f>IF(('Comparison Calculator'!$E$11-CD22)&gt;=0,0,IFERROR(-PPMT($CI$18/12,(CC22-12),($F$1-1)*12,$CI$17),0))</f>
        <v>0</v>
      </c>
      <c r="CF22" s="497">
        <f>IF(('Comparison Calculator'!$E$11-CD22)&gt;=0,$C$1*$CI$18/12,IFERROR(-IPMT($CI$18/12,(CC22-12),($F$1-1)*12,$CI$17,0),0))</f>
        <v>9569.9999999999982</v>
      </c>
      <c r="CG22" s="497">
        <f t="shared" si="9"/>
        <v>9569.9999999999982</v>
      </c>
      <c r="CH22" s="497">
        <f t="shared" si="22"/>
        <v>1800000</v>
      </c>
      <c r="CI22" s="493"/>
      <c r="CJ22" s="493"/>
      <c r="CL22" s="492">
        <v>18</v>
      </c>
      <c r="CM22" s="492">
        <v>2</v>
      </c>
      <c r="CN22" s="497">
        <f>IF(('Comparison Calculator'!$E$11-CM22)&gt;=0,0,IFERROR(-PPMT($CR$18/12,(CL22-12),($F$1-1)*12,$CR$17),0))</f>
        <v>0</v>
      </c>
      <c r="CO22" s="497" t="e">
        <f>IF(('Comparison Calculator'!$E$11-CM22)&gt;=0,$C$1*$CR$18/12,IFERROR(-IPMT($CR$18/12,(CL22-12),($F$1-1)*12,$CR$17,0),0))</f>
        <v>#N/A</v>
      </c>
      <c r="CP22" s="497" t="e">
        <f t="shared" si="10"/>
        <v>#N/A</v>
      </c>
      <c r="CQ22" s="497">
        <f t="shared" si="23"/>
        <v>1800000</v>
      </c>
      <c r="CR22" s="493"/>
      <c r="CS22" s="493"/>
      <c r="CU22" s="492">
        <v>18</v>
      </c>
      <c r="CV22" s="492">
        <v>2</v>
      </c>
      <c r="CW22" s="497">
        <f>IF(('Comparison Calculator'!$E$11-CV22)&gt;=0,0,IFERROR(-PPMT($DA$18/12,(CU22-12),($F$1-1)*12,$DA$17),0))</f>
        <v>0</v>
      </c>
      <c r="CX22" s="497" t="e">
        <f>IF(('Comparison Calculator'!$E$11-CV22)&gt;=0,$C$1*$DA$18/12,IFERROR(-IPMT($DA$18/12,(CU22-12),($F$1-1)*12,$DA$17,0),0))</f>
        <v>#N/A</v>
      </c>
      <c r="CY22" s="497" t="e">
        <f t="shared" si="11"/>
        <v>#N/A</v>
      </c>
      <c r="CZ22" s="497">
        <f t="shared" si="24"/>
        <v>1800000</v>
      </c>
      <c r="DA22" s="493"/>
      <c r="DB22" s="493"/>
      <c r="DD22" s="492">
        <v>18</v>
      </c>
      <c r="DE22" s="492">
        <v>2</v>
      </c>
      <c r="DF22" s="497">
        <f>IF(('Comparison Calculator'!$E$11-DE22)&gt;=0,0,IFERROR(-PPMT($DJ$18/12,(DD22-12),($F$1-1)*12,$DJ$17),0))</f>
        <v>0</v>
      </c>
      <c r="DG22" s="497" t="e">
        <f>IF(('Comparison Calculator'!$E$11-DE22)&gt;=0,$C$1*$DJ$18/12,IFERROR(-IPMT($DJ$18/12,(DD22-12),($F$1-1)*12,$DJ$17,0),0))</f>
        <v>#N/A</v>
      </c>
      <c r="DH22" s="497" t="e">
        <f t="shared" si="12"/>
        <v>#N/A</v>
      </c>
      <c r="DI22" s="497">
        <f t="shared" si="25"/>
        <v>1800000</v>
      </c>
      <c r="DJ22" s="493"/>
      <c r="DK22" s="493"/>
    </row>
    <row r="23" spans="1:115">
      <c r="A23" s="492">
        <v>19</v>
      </c>
      <c r="B23" s="492">
        <v>2</v>
      </c>
      <c r="C23" s="497">
        <f>IF(('Comparison Calculator'!$E$11-B23)&gt;=0,0,IFERROR(-PPMT($G$18/12,(A23-12),($F$1-1)*12,$G$17),0))</f>
        <v>0</v>
      </c>
      <c r="D23" s="497">
        <f>IF(('Comparison Calculator'!$E$11-B23)&gt;=0,$C$1*$G$18/12,IFERROR(-IPMT($G$18/12,(A23-12),($F$1-1)*12,$G$17,0),0))</f>
        <v>9720</v>
      </c>
      <c r="E23" s="497">
        <f t="shared" si="0"/>
        <v>9720</v>
      </c>
      <c r="F23" s="497">
        <f t="shared" si="13"/>
        <v>1800000</v>
      </c>
      <c r="G23" s="493"/>
      <c r="H23" s="493"/>
      <c r="I23" s="489"/>
      <c r="J23" s="492">
        <v>19</v>
      </c>
      <c r="K23" s="492">
        <v>2</v>
      </c>
      <c r="L23" s="497">
        <f>IF(('Comparison Calculator'!$E$11-K23)&gt;=0,0,IFERROR(-PPMT($P$18/12,(J23-12),($F$1-1)*12,$P$17),0))</f>
        <v>0</v>
      </c>
      <c r="M23" s="497">
        <f>IF(('Comparison Calculator'!$E$11-K23)&gt;=0,$C$1*$P$18/12,IFERROR(-IPMT($P$18/12,(J23-12),($F$1-1)*12,$P$17,0),0))</f>
        <v>9720</v>
      </c>
      <c r="N23" s="497">
        <f t="shared" si="1"/>
        <v>9720</v>
      </c>
      <c r="O23" s="497">
        <f t="shared" si="14"/>
        <v>1800000</v>
      </c>
      <c r="P23" s="493"/>
      <c r="Q23" s="493"/>
      <c r="S23" s="492">
        <v>19</v>
      </c>
      <c r="T23" s="492">
        <v>2</v>
      </c>
      <c r="U23" s="497">
        <f>IF(('Comparison Calculator'!$E$11-T23)&gt;=0,0,IFERROR(-PPMT($Y$18/12,(S23-12),($F$1-1)*12,$Y$17),0))</f>
        <v>0</v>
      </c>
      <c r="V23" s="497" t="e">
        <f>IF(('Comparison Calculator'!$E$11-T23)&gt;=0,$C$1*$Y$18/12,IFERROR(-IPMT($Y$18/12,(S23-12),($F$1-1)*12,$Y$17,0),0))</f>
        <v>#N/A</v>
      </c>
      <c r="W23" s="497" t="e">
        <f t="shared" si="2"/>
        <v>#N/A</v>
      </c>
      <c r="X23" s="497">
        <f t="shared" si="15"/>
        <v>1800000</v>
      </c>
      <c r="Y23" s="493"/>
      <c r="Z23" s="493"/>
      <c r="AB23" s="492">
        <v>19</v>
      </c>
      <c r="AC23" s="492">
        <v>2</v>
      </c>
      <c r="AD23" s="497">
        <f>IF(('Comparison Calculator'!$E$11-AC23)&gt;=0,0,IFERROR(-PPMT($AH$18/12,(AB23-12),($F$1-1)*12,$AH$17),0))</f>
        <v>0</v>
      </c>
      <c r="AE23" s="497" t="e">
        <f>IF(('Comparison Calculator'!$E$11-AC23)&gt;=0,$C$1*$AH$18/12,IFERROR(-IPMT($AH$18/12,(AB23-12),($F$1-1)*12,$AH$17,0),0))</f>
        <v>#N/A</v>
      </c>
      <c r="AF23" s="497" t="e">
        <f t="shared" si="3"/>
        <v>#N/A</v>
      </c>
      <c r="AG23" s="497">
        <f t="shared" si="16"/>
        <v>1800000</v>
      </c>
      <c r="AH23" s="493"/>
      <c r="AI23" s="493"/>
      <c r="AK23" s="492">
        <v>19</v>
      </c>
      <c r="AL23" s="492">
        <v>2</v>
      </c>
      <c r="AM23" s="497">
        <f>IF(('Comparison Calculator'!$E$11-AL23)&gt;=0,0,IFERROR(-PPMT($AQ$18/12,(AK23-12),($F$1-1)*12,$AQ$17),0))</f>
        <v>0</v>
      </c>
      <c r="AN23" s="497">
        <f>IF(('Comparison Calculator'!$E$11-AL23)&gt;=0,$C$1*$AQ$18/12,IFERROR(-IPMT($AQ$18/12,(AK23-12),($F$1-1)*12,$AQ$17,0),0))</f>
        <v>8040</v>
      </c>
      <c r="AO23" s="497">
        <f t="shared" si="4"/>
        <v>8040</v>
      </c>
      <c r="AP23" s="497">
        <f t="shared" si="17"/>
        <v>1800000</v>
      </c>
      <c r="AQ23" s="493"/>
      <c r="AR23" s="493"/>
      <c r="AT23" s="492">
        <v>19</v>
      </c>
      <c r="AU23" s="492">
        <v>2</v>
      </c>
      <c r="AV23" s="497">
        <f>IF(('Comparison Calculator'!$E$11-AU23)&gt;=0,0,IFERROR(-PPMT($AZ$18/12,(AT23-12),($F$1-1)*12,$AZ$17),0))</f>
        <v>0</v>
      </c>
      <c r="AW23" s="497" t="e">
        <f>IF(('Comparison Calculator'!$E$11-AU23)&gt;=0,$C$1*$AZ$18/12,IFERROR(-IPMT($AZ$18/12,(AT23-12),($F$1-1)*12,$AZ$17,0),0))</f>
        <v>#N/A</v>
      </c>
      <c r="AX23" s="497" t="e">
        <f t="shared" si="5"/>
        <v>#N/A</v>
      </c>
      <c r="AY23" s="497">
        <f t="shared" si="18"/>
        <v>1800000</v>
      </c>
      <c r="AZ23" s="493"/>
      <c r="BA23" s="493"/>
      <c r="BC23" s="492">
        <v>19</v>
      </c>
      <c r="BD23" s="492">
        <v>2</v>
      </c>
      <c r="BE23" s="497">
        <f>IF(('Comparison Calculator'!$E$11-BD23)&gt;=0,0,IFERROR(-PPMT($BI$18/12,(BC23-12),($F$1-1)*12,$BI$17),0))</f>
        <v>0</v>
      </c>
      <c r="BF23" s="497">
        <f>IF(('Comparison Calculator'!$E$11-BD23)&gt;=0,$C$1*$BI$18/12,IFERROR(-IPMT($BI$18/12,(BC23-12),($F$1-1)*12,$BI$17,0),0))</f>
        <v>7470</v>
      </c>
      <c r="BG23" s="497">
        <f t="shared" si="6"/>
        <v>7470</v>
      </c>
      <c r="BH23" s="497">
        <f t="shared" si="19"/>
        <v>1800000</v>
      </c>
      <c r="BI23" s="493"/>
      <c r="BJ23" s="493"/>
      <c r="BK23" s="492">
        <v>19</v>
      </c>
      <c r="BL23" s="492">
        <v>2</v>
      </c>
      <c r="BM23" s="497">
        <f>IF(('Comparison Calculator'!$E$11-BL23)&gt;=0,0,IFERROR(-PPMT($BQ$18/12,(BK23-12),($F$1-1)*12,$BQ$17),0))</f>
        <v>0</v>
      </c>
      <c r="BN23" s="497">
        <f>IF(('Comparison Calculator'!$E$11-BL23)&gt;=0,$C$1*$BQ$18/12,IFERROR(-IPMT($BQ$18/12,(BK23-12),($F$1-1)*12,$BQ$17,0),0))</f>
        <v>9720</v>
      </c>
      <c r="BO23" s="497">
        <f t="shared" si="7"/>
        <v>9720</v>
      </c>
      <c r="BP23" s="497">
        <f t="shared" si="20"/>
        <v>1800000</v>
      </c>
      <c r="BQ23" s="493"/>
      <c r="BR23" s="493"/>
      <c r="BT23" s="492">
        <v>19</v>
      </c>
      <c r="BU23" s="492">
        <v>2</v>
      </c>
      <c r="BV23" s="497">
        <f>IF(('Comparison Calculator'!$E$11-BU23)&gt;=0,0,IFERROR(-PPMT($BZ$18/12,(BT23-12),($F$1-1)*12,$BZ$17),0))</f>
        <v>0</v>
      </c>
      <c r="BW23" s="497">
        <f>IF(('Comparison Calculator'!$E$11-BU23)&gt;=0,$C$1*$BZ$18/12,IFERROR(-IPMT($BZ$18/12,(BT23-12),($F$1-1)*12,$BZ$17,0),0))</f>
        <v>9720</v>
      </c>
      <c r="BX23" s="497">
        <f t="shared" si="8"/>
        <v>9720</v>
      </c>
      <c r="BY23" s="497">
        <f t="shared" si="21"/>
        <v>1800000</v>
      </c>
      <c r="BZ23" s="493"/>
      <c r="CA23" s="493"/>
      <c r="CC23" s="492">
        <v>19</v>
      </c>
      <c r="CD23" s="492">
        <v>2</v>
      </c>
      <c r="CE23" s="497">
        <f>IF(('Comparison Calculator'!$E$11-CD23)&gt;=0,0,IFERROR(-PPMT($CI$18/12,(CC23-12),($F$1-1)*12,$CI$17),0))</f>
        <v>0</v>
      </c>
      <c r="CF23" s="497">
        <f>IF(('Comparison Calculator'!$E$11-CD23)&gt;=0,$C$1*$CI$18/12,IFERROR(-IPMT($CI$18/12,(CC23-12),($F$1-1)*12,$CI$17,0),0))</f>
        <v>9569.9999999999982</v>
      </c>
      <c r="CG23" s="497">
        <f t="shared" si="9"/>
        <v>9569.9999999999982</v>
      </c>
      <c r="CH23" s="497">
        <f t="shared" si="22"/>
        <v>1800000</v>
      </c>
      <c r="CI23" s="493"/>
      <c r="CJ23" s="493"/>
      <c r="CL23" s="492">
        <v>19</v>
      </c>
      <c r="CM23" s="492">
        <v>2</v>
      </c>
      <c r="CN23" s="497">
        <f>IF(('Comparison Calculator'!$E$11-CM23)&gt;=0,0,IFERROR(-PPMT($CR$18/12,(CL23-12),($F$1-1)*12,$CR$17),0))</f>
        <v>0</v>
      </c>
      <c r="CO23" s="497" t="e">
        <f>IF(('Comparison Calculator'!$E$11-CM23)&gt;=0,$C$1*$CR$18/12,IFERROR(-IPMT($CR$18/12,(CL23-12),($F$1-1)*12,$CR$17,0),0))</f>
        <v>#N/A</v>
      </c>
      <c r="CP23" s="497" t="e">
        <f t="shared" si="10"/>
        <v>#N/A</v>
      </c>
      <c r="CQ23" s="497">
        <f t="shared" si="23"/>
        <v>1800000</v>
      </c>
      <c r="CR23" s="493"/>
      <c r="CS23" s="493"/>
      <c r="CU23" s="492">
        <v>19</v>
      </c>
      <c r="CV23" s="492">
        <v>2</v>
      </c>
      <c r="CW23" s="497">
        <f>IF(('Comparison Calculator'!$E$11-CV23)&gt;=0,0,IFERROR(-PPMT($DA$18/12,(CU23-12),($F$1-1)*12,$DA$17),0))</f>
        <v>0</v>
      </c>
      <c r="CX23" s="497" t="e">
        <f>IF(('Comparison Calculator'!$E$11-CV23)&gt;=0,$C$1*$DA$18/12,IFERROR(-IPMT($DA$18/12,(CU23-12),($F$1-1)*12,$DA$17,0),0))</f>
        <v>#N/A</v>
      </c>
      <c r="CY23" s="497" t="e">
        <f t="shared" si="11"/>
        <v>#N/A</v>
      </c>
      <c r="CZ23" s="497">
        <f t="shared" si="24"/>
        <v>1800000</v>
      </c>
      <c r="DA23" s="493"/>
      <c r="DB23" s="493"/>
      <c r="DD23" s="492">
        <v>19</v>
      </c>
      <c r="DE23" s="492">
        <v>2</v>
      </c>
      <c r="DF23" s="497">
        <f>IF(('Comparison Calculator'!$E$11-DE23)&gt;=0,0,IFERROR(-PPMT($DJ$18/12,(DD23-12),($F$1-1)*12,$DJ$17),0))</f>
        <v>0</v>
      </c>
      <c r="DG23" s="497" t="e">
        <f>IF(('Comparison Calculator'!$E$11-DE23)&gt;=0,$C$1*$DJ$18/12,IFERROR(-IPMT($DJ$18/12,(DD23-12),($F$1-1)*12,$DJ$17,0),0))</f>
        <v>#N/A</v>
      </c>
      <c r="DH23" s="497" t="e">
        <f t="shared" si="12"/>
        <v>#N/A</v>
      </c>
      <c r="DI23" s="497">
        <f t="shared" si="25"/>
        <v>1800000</v>
      </c>
      <c r="DJ23" s="493"/>
      <c r="DK23" s="493"/>
    </row>
    <row r="24" spans="1:115">
      <c r="A24" s="492">
        <v>20</v>
      </c>
      <c r="B24" s="492">
        <v>2</v>
      </c>
      <c r="C24" s="497">
        <f>IF(('Comparison Calculator'!$E$11-B24)&gt;=0,0,IFERROR(-PPMT($G$18/12,(A24-12),($F$1-1)*12,$G$17),0))</f>
        <v>0</v>
      </c>
      <c r="D24" s="497">
        <f>IF(('Comparison Calculator'!$E$11-B24)&gt;=0,$C$1*$G$18/12,IFERROR(-IPMT($G$18/12,(A24-12),($F$1-1)*12,$G$17,0),0))</f>
        <v>9720</v>
      </c>
      <c r="E24" s="497">
        <f t="shared" si="0"/>
        <v>9720</v>
      </c>
      <c r="F24" s="497">
        <f>F23-C24</f>
        <v>1800000</v>
      </c>
      <c r="G24" s="493"/>
      <c r="H24" s="493"/>
      <c r="I24" s="489"/>
      <c r="J24" s="492">
        <v>20</v>
      </c>
      <c r="K24" s="492">
        <v>2</v>
      </c>
      <c r="L24" s="497">
        <f>IF(('Comparison Calculator'!$E$11-K24)&gt;=0,0,IFERROR(-PPMT($P$18/12,(J24-12),($F$1-1)*12,$P$17),0))</f>
        <v>0</v>
      </c>
      <c r="M24" s="497">
        <f>IF(('Comparison Calculator'!$E$11-K24)&gt;=0,$C$1*$P$18/12,IFERROR(-IPMT($P$18/12,(J24-12),($F$1-1)*12,$P$17,0),0))</f>
        <v>9720</v>
      </c>
      <c r="N24" s="497">
        <f t="shared" si="1"/>
        <v>9720</v>
      </c>
      <c r="O24" s="497">
        <f>O23-L24</f>
        <v>1800000</v>
      </c>
      <c r="P24" s="493"/>
      <c r="Q24" s="493"/>
      <c r="S24" s="492">
        <v>20</v>
      </c>
      <c r="T24" s="492">
        <v>2</v>
      </c>
      <c r="U24" s="497">
        <f>IF(('Comparison Calculator'!$E$11-T24)&gt;=0,0,IFERROR(-PPMT($Y$18/12,(S24-12),($F$1-1)*12,$Y$17),0))</f>
        <v>0</v>
      </c>
      <c r="V24" s="497" t="e">
        <f>IF(('Comparison Calculator'!$E$11-T24)&gt;=0,$C$1*$Y$18/12,IFERROR(-IPMT($Y$18/12,(S24-12),($F$1-1)*12,$Y$17,0),0))</f>
        <v>#N/A</v>
      </c>
      <c r="W24" s="497" t="e">
        <f t="shared" si="2"/>
        <v>#N/A</v>
      </c>
      <c r="X24" s="497">
        <f>X23-U24</f>
        <v>1800000</v>
      </c>
      <c r="Y24" s="493"/>
      <c r="Z24" s="493"/>
      <c r="AB24" s="492">
        <v>20</v>
      </c>
      <c r="AC24" s="492">
        <v>2</v>
      </c>
      <c r="AD24" s="497">
        <f>IF(('Comparison Calculator'!$E$11-AC24)&gt;=0,0,IFERROR(-PPMT($AH$18/12,(AB24-12),($F$1-1)*12,$AH$17),0))</f>
        <v>0</v>
      </c>
      <c r="AE24" s="497" t="e">
        <f>IF(('Comparison Calculator'!$E$11-AC24)&gt;=0,$C$1*$AH$18/12,IFERROR(-IPMT($AH$18/12,(AB24-12),($F$1-1)*12,$AH$17,0),0))</f>
        <v>#N/A</v>
      </c>
      <c r="AF24" s="497" t="e">
        <f t="shared" si="3"/>
        <v>#N/A</v>
      </c>
      <c r="AG24" s="497">
        <f>AG23-AD24</f>
        <v>1800000</v>
      </c>
      <c r="AH24" s="493"/>
      <c r="AI24" s="493"/>
      <c r="AK24" s="492">
        <v>20</v>
      </c>
      <c r="AL24" s="492">
        <v>2</v>
      </c>
      <c r="AM24" s="497">
        <f>IF(('Comparison Calculator'!$E$11-AL24)&gt;=0,0,IFERROR(-PPMT($AQ$18/12,(AK24-12),($F$1-1)*12,$AQ$17),0))</f>
        <v>0</v>
      </c>
      <c r="AN24" s="497">
        <f>IF(('Comparison Calculator'!$E$11-AL24)&gt;=0,$C$1*$AQ$18/12,IFERROR(-IPMT($AQ$18/12,(AK24-12),($F$1-1)*12,$AQ$17,0),0))</f>
        <v>8040</v>
      </c>
      <c r="AO24" s="497">
        <f t="shared" si="4"/>
        <v>8040</v>
      </c>
      <c r="AP24" s="497">
        <f>AP23-AM24</f>
        <v>1800000</v>
      </c>
      <c r="AQ24" s="493"/>
      <c r="AR24" s="493"/>
      <c r="AT24" s="492">
        <v>20</v>
      </c>
      <c r="AU24" s="492">
        <v>2</v>
      </c>
      <c r="AV24" s="497">
        <f>IF(('Comparison Calculator'!$E$11-AU24)&gt;=0,0,IFERROR(-PPMT($AZ$18/12,(AT24-12),($F$1-1)*12,$AZ$17),0))</f>
        <v>0</v>
      </c>
      <c r="AW24" s="497" t="e">
        <f>IF(('Comparison Calculator'!$E$11-AU24)&gt;=0,$C$1*$AZ$18/12,IFERROR(-IPMT($AZ$18/12,(AT24-12),($F$1-1)*12,$AZ$17,0),0))</f>
        <v>#N/A</v>
      </c>
      <c r="AX24" s="497" t="e">
        <f t="shared" si="5"/>
        <v>#N/A</v>
      </c>
      <c r="AY24" s="497">
        <f>AY23-AV24</f>
        <v>1800000</v>
      </c>
      <c r="AZ24" s="493"/>
      <c r="BA24" s="493"/>
      <c r="BC24" s="492">
        <v>20</v>
      </c>
      <c r="BD24" s="492">
        <v>2</v>
      </c>
      <c r="BE24" s="497">
        <f>IF(('Comparison Calculator'!$E$11-BD24)&gt;=0,0,IFERROR(-PPMT($BI$18/12,(BC24-12),($F$1-1)*12,$BI$17),0))</f>
        <v>0</v>
      </c>
      <c r="BF24" s="497">
        <f>IF(('Comparison Calculator'!$E$11-BD24)&gt;=0,$C$1*$BI$18/12,IFERROR(-IPMT($BI$18/12,(BC24-12),($F$1-1)*12,$BI$17,0),0))</f>
        <v>7470</v>
      </c>
      <c r="BG24" s="497">
        <f t="shared" si="6"/>
        <v>7470</v>
      </c>
      <c r="BH24" s="497">
        <f>BH23-BE24</f>
        <v>1800000</v>
      </c>
      <c r="BI24" s="493"/>
      <c r="BJ24" s="493"/>
      <c r="BK24" s="492">
        <v>20</v>
      </c>
      <c r="BL24" s="492">
        <v>2</v>
      </c>
      <c r="BM24" s="497">
        <f>IF(('Comparison Calculator'!$E$11-BL24)&gt;=0,0,IFERROR(-PPMT($BQ$18/12,(BK24-12),($F$1-1)*12,$BQ$17),0))</f>
        <v>0</v>
      </c>
      <c r="BN24" s="497">
        <f>IF(('Comparison Calculator'!$E$11-BL24)&gt;=0,$C$1*$BQ$18/12,IFERROR(-IPMT($BQ$18/12,(BK24-12),($F$1-1)*12,$BQ$17,0),0))</f>
        <v>9720</v>
      </c>
      <c r="BO24" s="497">
        <f t="shared" si="7"/>
        <v>9720</v>
      </c>
      <c r="BP24" s="497">
        <f>BP23-BM24</f>
        <v>1800000</v>
      </c>
      <c r="BQ24" s="493"/>
      <c r="BR24" s="493"/>
      <c r="BT24" s="492">
        <v>20</v>
      </c>
      <c r="BU24" s="492">
        <v>2</v>
      </c>
      <c r="BV24" s="497">
        <f>IF(('Comparison Calculator'!$E$11-BU24)&gt;=0,0,IFERROR(-PPMT($BZ$18/12,(BT24-12),($F$1-1)*12,$BZ$17),0))</f>
        <v>0</v>
      </c>
      <c r="BW24" s="497">
        <f>IF(('Comparison Calculator'!$E$11-BU24)&gt;=0,$C$1*$BZ$18/12,IFERROR(-IPMT($BZ$18/12,(BT24-12),($F$1-1)*12,$BZ$17,0),0))</f>
        <v>9720</v>
      </c>
      <c r="BX24" s="497">
        <f t="shared" si="8"/>
        <v>9720</v>
      </c>
      <c r="BY24" s="497">
        <f>BY23-BV24</f>
        <v>1800000</v>
      </c>
      <c r="BZ24" s="493"/>
      <c r="CA24" s="493"/>
      <c r="CC24" s="492">
        <v>20</v>
      </c>
      <c r="CD24" s="492">
        <v>2</v>
      </c>
      <c r="CE24" s="497">
        <f>IF(('Comparison Calculator'!$E$11-CD24)&gt;=0,0,IFERROR(-PPMT($CI$18/12,(CC24-12),($F$1-1)*12,$CI$17),0))</f>
        <v>0</v>
      </c>
      <c r="CF24" s="497">
        <f>IF(('Comparison Calculator'!$E$11-CD24)&gt;=0,$C$1*$CI$18/12,IFERROR(-IPMT($CI$18/12,(CC24-12),($F$1-1)*12,$CI$17,0),0))</f>
        <v>9569.9999999999982</v>
      </c>
      <c r="CG24" s="497">
        <f t="shared" si="9"/>
        <v>9569.9999999999982</v>
      </c>
      <c r="CH24" s="497">
        <f>CH23-CE24</f>
        <v>1800000</v>
      </c>
      <c r="CI24" s="493"/>
      <c r="CJ24" s="493"/>
      <c r="CL24" s="492">
        <v>20</v>
      </c>
      <c r="CM24" s="492">
        <v>2</v>
      </c>
      <c r="CN24" s="497">
        <f>IF(('Comparison Calculator'!$E$11-CM24)&gt;=0,0,IFERROR(-PPMT($CR$18/12,(CL24-12),($F$1-1)*12,$CR$17),0))</f>
        <v>0</v>
      </c>
      <c r="CO24" s="497" t="e">
        <f>IF(('Comparison Calculator'!$E$11-CM24)&gt;=0,$C$1*$CR$18/12,IFERROR(-IPMT($CR$18/12,(CL24-12),($F$1-1)*12,$CR$17,0),0))</f>
        <v>#N/A</v>
      </c>
      <c r="CP24" s="497" t="e">
        <f t="shared" si="10"/>
        <v>#N/A</v>
      </c>
      <c r="CQ24" s="497">
        <f>CQ23-CN24</f>
        <v>1800000</v>
      </c>
      <c r="CR24" s="493"/>
      <c r="CS24" s="493"/>
      <c r="CU24" s="492">
        <v>20</v>
      </c>
      <c r="CV24" s="492">
        <v>2</v>
      </c>
      <c r="CW24" s="497">
        <f>IF(('Comparison Calculator'!$E$11-CV24)&gt;=0,0,IFERROR(-PPMT($DA$18/12,(CU24-12),($F$1-1)*12,$DA$17),0))</f>
        <v>0</v>
      </c>
      <c r="CX24" s="497" t="e">
        <f>IF(('Comparison Calculator'!$E$11-CV24)&gt;=0,$C$1*$DA$18/12,IFERROR(-IPMT($DA$18/12,(CU24-12),($F$1-1)*12,$DA$17,0),0))</f>
        <v>#N/A</v>
      </c>
      <c r="CY24" s="497" t="e">
        <f t="shared" si="11"/>
        <v>#N/A</v>
      </c>
      <c r="CZ24" s="497">
        <f>CZ23-CW24</f>
        <v>1800000</v>
      </c>
      <c r="DA24" s="493"/>
      <c r="DB24" s="493"/>
      <c r="DD24" s="492">
        <v>20</v>
      </c>
      <c r="DE24" s="492">
        <v>2</v>
      </c>
      <c r="DF24" s="497">
        <f>IF(('Comparison Calculator'!$E$11-DE24)&gt;=0,0,IFERROR(-PPMT($DJ$18/12,(DD24-12),($F$1-1)*12,$DJ$17),0))</f>
        <v>0</v>
      </c>
      <c r="DG24" s="497" t="e">
        <f>IF(('Comparison Calculator'!$E$11-DE24)&gt;=0,$C$1*$DJ$18/12,IFERROR(-IPMT($DJ$18/12,(DD24-12),($F$1-1)*12,$DJ$17,0),0))</f>
        <v>#N/A</v>
      </c>
      <c r="DH24" s="497" t="e">
        <f t="shared" si="12"/>
        <v>#N/A</v>
      </c>
      <c r="DI24" s="497">
        <f>DI23-DF24</f>
        <v>1800000</v>
      </c>
      <c r="DJ24" s="493"/>
      <c r="DK24" s="493"/>
    </row>
    <row r="25" spans="1:115">
      <c r="A25" s="492">
        <v>21</v>
      </c>
      <c r="B25" s="492">
        <v>2</v>
      </c>
      <c r="C25" s="497">
        <f>IF(('Comparison Calculator'!$E$11-B25)&gt;=0,0,IFERROR(-PPMT($G$18/12,(A25-12),($F$1-1)*12,$G$17),0))</f>
        <v>0</v>
      </c>
      <c r="D25" s="497">
        <f>IF(('Comparison Calculator'!$E$11-B25)&gt;=0,$C$1*$G$18/12,IFERROR(-IPMT($G$18/12,(A25-12),($F$1-1)*12,$G$17,0),0))</f>
        <v>9720</v>
      </c>
      <c r="E25" s="497">
        <f t="shared" si="0"/>
        <v>9720</v>
      </c>
      <c r="F25" s="497">
        <f t="shared" si="13"/>
        <v>1800000</v>
      </c>
      <c r="G25" s="493"/>
      <c r="H25" s="493"/>
      <c r="I25" s="489"/>
      <c r="J25" s="492">
        <v>21</v>
      </c>
      <c r="K25" s="492">
        <v>2</v>
      </c>
      <c r="L25" s="497">
        <f>IF(('Comparison Calculator'!$E$11-K25)&gt;=0,0,IFERROR(-PPMT($P$18/12,(J25-12),($F$1-1)*12,$P$17),0))</f>
        <v>0</v>
      </c>
      <c r="M25" s="497">
        <f>IF(('Comparison Calculator'!$E$11-K25)&gt;=0,$C$1*$P$18/12,IFERROR(-IPMT($P$18/12,(J25-12),($F$1-1)*12,$P$17,0),0))</f>
        <v>9720</v>
      </c>
      <c r="N25" s="497">
        <f t="shared" si="1"/>
        <v>9720</v>
      </c>
      <c r="O25" s="497">
        <f t="shared" ref="O25:O88" si="26">O24-L25</f>
        <v>1800000</v>
      </c>
      <c r="P25" s="493"/>
      <c r="Q25" s="493"/>
      <c r="S25" s="492">
        <v>21</v>
      </c>
      <c r="T25" s="492">
        <v>2</v>
      </c>
      <c r="U25" s="497">
        <f>IF(('Comparison Calculator'!$E$11-T25)&gt;=0,0,IFERROR(-PPMT($Y$18/12,(S25-12),($F$1-1)*12,$Y$17),0))</f>
        <v>0</v>
      </c>
      <c r="V25" s="497" t="e">
        <f>IF(('Comparison Calculator'!$E$11-T25)&gt;=0,$C$1*$Y$18/12,IFERROR(-IPMT($Y$18/12,(S25-12),($F$1-1)*12,$Y$17,0),0))</f>
        <v>#N/A</v>
      </c>
      <c r="W25" s="497" t="e">
        <f t="shared" si="2"/>
        <v>#N/A</v>
      </c>
      <c r="X25" s="497">
        <f t="shared" ref="X25:X88" si="27">X24-U25</f>
        <v>1800000</v>
      </c>
      <c r="Y25" s="493"/>
      <c r="Z25" s="493"/>
      <c r="AB25" s="492">
        <v>21</v>
      </c>
      <c r="AC25" s="492">
        <v>2</v>
      </c>
      <c r="AD25" s="497">
        <f>IF(('Comparison Calculator'!$E$11-AC25)&gt;=0,0,IFERROR(-PPMT($AH$18/12,(AB25-12),($F$1-1)*12,$AH$17),0))</f>
        <v>0</v>
      </c>
      <c r="AE25" s="497" t="e">
        <f>IF(('Comparison Calculator'!$E$11-AC25)&gt;=0,$C$1*$AH$18/12,IFERROR(-IPMT($AH$18/12,(AB25-12),($F$1-1)*12,$AH$17,0),0))</f>
        <v>#N/A</v>
      </c>
      <c r="AF25" s="497" t="e">
        <f t="shared" si="3"/>
        <v>#N/A</v>
      </c>
      <c r="AG25" s="497">
        <f t="shared" ref="AG25:AG88" si="28">AG24-AD25</f>
        <v>1800000</v>
      </c>
      <c r="AH25" s="493"/>
      <c r="AI25" s="493"/>
      <c r="AK25" s="492">
        <v>21</v>
      </c>
      <c r="AL25" s="492">
        <v>2</v>
      </c>
      <c r="AM25" s="497">
        <f>IF(('Comparison Calculator'!$E$11-AL25)&gt;=0,0,IFERROR(-PPMT($AQ$18/12,(AK25-12),($F$1-1)*12,$AQ$17),0))</f>
        <v>0</v>
      </c>
      <c r="AN25" s="497">
        <f>IF(('Comparison Calculator'!$E$11-AL25)&gt;=0,$C$1*$AQ$18/12,IFERROR(-IPMT($AQ$18/12,(AK25-12),($F$1-1)*12,$AQ$17,0),0))</f>
        <v>8040</v>
      </c>
      <c r="AO25" s="497">
        <f t="shared" si="4"/>
        <v>8040</v>
      </c>
      <c r="AP25" s="497">
        <f t="shared" ref="AP25:AP88" si="29">AP24-AM25</f>
        <v>1800000</v>
      </c>
      <c r="AQ25" s="493"/>
      <c r="AR25" s="493"/>
      <c r="AT25" s="492">
        <v>21</v>
      </c>
      <c r="AU25" s="492">
        <v>2</v>
      </c>
      <c r="AV25" s="497">
        <f>IF(('Comparison Calculator'!$E$11-AU25)&gt;=0,0,IFERROR(-PPMT($AZ$18/12,(AT25-12),($F$1-1)*12,$AZ$17),0))</f>
        <v>0</v>
      </c>
      <c r="AW25" s="497" t="e">
        <f>IF(('Comparison Calculator'!$E$11-AU25)&gt;=0,$C$1*$AZ$18/12,IFERROR(-IPMT($AZ$18/12,(AT25-12),($F$1-1)*12,$AZ$17,0),0))</f>
        <v>#N/A</v>
      </c>
      <c r="AX25" s="497" t="e">
        <f t="shared" si="5"/>
        <v>#N/A</v>
      </c>
      <c r="AY25" s="497">
        <f t="shared" ref="AY25:AY88" si="30">AY24-AV25</f>
        <v>1800000</v>
      </c>
      <c r="AZ25" s="493"/>
      <c r="BA25" s="493"/>
      <c r="BC25" s="492">
        <v>21</v>
      </c>
      <c r="BD25" s="492">
        <v>2</v>
      </c>
      <c r="BE25" s="497">
        <f>IF(('Comparison Calculator'!$E$11-BD25)&gt;=0,0,IFERROR(-PPMT($BI$18/12,(BC25-12),($F$1-1)*12,$BI$17),0))</f>
        <v>0</v>
      </c>
      <c r="BF25" s="497">
        <f>IF(('Comparison Calculator'!$E$11-BD25)&gt;=0,$C$1*$BI$18/12,IFERROR(-IPMT($BI$18/12,(BC25-12),($F$1-1)*12,$BI$17,0),0))</f>
        <v>7470</v>
      </c>
      <c r="BG25" s="497">
        <f t="shared" si="6"/>
        <v>7470</v>
      </c>
      <c r="BH25" s="497">
        <f t="shared" ref="BH25:BH88" si="31">BH24-BE25</f>
        <v>1800000</v>
      </c>
      <c r="BI25" s="493"/>
      <c r="BJ25" s="493"/>
      <c r="BK25" s="492">
        <v>21</v>
      </c>
      <c r="BL25" s="492">
        <v>2</v>
      </c>
      <c r="BM25" s="497">
        <f>IF(('Comparison Calculator'!$E$11-BL25)&gt;=0,0,IFERROR(-PPMT($BQ$18/12,(BK25-12),($F$1-1)*12,$BQ$17),0))</f>
        <v>0</v>
      </c>
      <c r="BN25" s="497">
        <f>IF(('Comparison Calculator'!$E$11-BL25)&gt;=0,$C$1*$BQ$18/12,IFERROR(-IPMT($BQ$18/12,(BK25-12),($F$1-1)*12,$BQ$17,0),0))</f>
        <v>9720</v>
      </c>
      <c r="BO25" s="497">
        <f t="shared" si="7"/>
        <v>9720</v>
      </c>
      <c r="BP25" s="497">
        <f t="shared" ref="BP25:BP88" si="32">BP24-BM25</f>
        <v>1800000</v>
      </c>
      <c r="BQ25" s="493"/>
      <c r="BR25" s="493"/>
      <c r="BT25" s="492">
        <v>21</v>
      </c>
      <c r="BU25" s="492">
        <v>2</v>
      </c>
      <c r="BV25" s="497">
        <f>IF(('Comparison Calculator'!$E$11-BU25)&gt;=0,0,IFERROR(-PPMT($BZ$18/12,(BT25-12),($F$1-1)*12,$BZ$17),0))</f>
        <v>0</v>
      </c>
      <c r="BW25" s="497">
        <f>IF(('Comparison Calculator'!$E$11-BU25)&gt;=0,$C$1*$BZ$18/12,IFERROR(-IPMT($BZ$18/12,(BT25-12),($F$1-1)*12,$BZ$17,0),0))</f>
        <v>9720</v>
      </c>
      <c r="BX25" s="497">
        <f t="shared" si="8"/>
        <v>9720</v>
      </c>
      <c r="BY25" s="497">
        <f t="shared" ref="BY25:BY88" si="33">BY24-BV25</f>
        <v>1800000</v>
      </c>
      <c r="BZ25" s="493"/>
      <c r="CA25" s="493"/>
      <c r="CC25" s="492">
        <v>21</v>
      </c>
      <c r="CD25" s="492">
        <v>2</v>
      </c>
      <c r="CE25" s="497">
        <f>IF(('Comparison Calculator'!$E$11-CD25)&gt;=0,0,IFERROR(-PPMT($CI$18/12,(CC25-12),($F$1-1)*12,$CI$17),0))</f>
        <v>0</v>
      </c>
      <c r="CF25" s="497">
        <f>IF(('Comparison Calculator'!$E$11-CD25)&gt;=0,$C$1*$CI$18/12,IFERROR(-IPMT($CI$18/12,(CC25-12),($F$1-1)*12,$CI$17,0),0))</f>
        <v>9569.9999999999982</v>
      </c>
      <c r="CG25" s="497">
        <f t="shared" si="9"/>
        <v>9569.9999999999982</v>
      </c>
      <c r="CH25" s="497">
        <f t="shared" ref="CH25:CH88" si="34">CH24-CE25</f>
        <v>1800000</v>
      </c>
      <c r="CI25" s="493"/>
      <c r="CJ25" s="493"/>
      <c r="CL25" s="492">
        <v>21</v>
      </c>
      <c r="CM25" s="492">
        <v>2</v>
      </c>
      <c r="CN25" s="497">
        <f>IF(('Comparison Calculator'!$E$11-CM25)&gt;=0,0,IFERROR(-PPMT($CR$18/12,(CL25-12),($F$1-1)*12,$CR$17),0))</f>
        <v>0</v>
      </c>
      <c r="CO25" s="497" t="e">
        <f>IF(('Comparison Calculator'!$E$11-CM25)&gt;=0,$C$1*$CR$18/12,IFERROR(-IPMT($CR$18/12,(CL25-12),($F$1-1)*12,$CR$17,0),0))</f>
        <v>#N/A</v>
      </c>
      <c r="CP25" s="497" t="e">
        <f t="shared" si="10"/>
        <v>#N/A</v>
      </c>
      <c r="CQ25" s="497">
        <f t="shared" ref="CQ25:CQ88" si="35">CQ24-CN25</f>
        <v>1800000</v>
      </c>
      <c r="CR25" s="493"/>
      <c r="CS25" s="493"/>
      <c r="CU25" s="492">
        <v>21</v>
      </c>
      <c r="CV25" s="492">
        <v>2</v>
      </c>
      <c r="CW25" s="497">
        <f>IF(('Comparison Calculator'!$E$11-CV25)&gt;=0,0,IFERROR(-PPMT($DA$18/12,(CU25-12),($F$1-1)*12,$DA$17),0))</f>
        <v>0</v>
      </c>
      <c r="CX25" s="497" t="e">
        <f>IF(('Comparison Calculator'!$E$11-CV25)&gt;=0,$C$1*$DA$18/12,IFERROR(-IPMT($DA$18/12,(CU25-12),($F$1-1)*12,$DA$17,0),0))</f>
        <v>#N/A</v>
      </c>
      <c r="CY25" s="497" t="e">
        <f t="shared" si="11"/>
        <v>#N/A</v>
      </c>
      <c r="CZ25" s="497">
        <f t="shared" ref="CZ25:CZ88" si="36">CZ24-CW25</f>
        <v>1800000</v>
      </c>
      <c r="DA25" s="493"/>
      <c r="DB25" s="493"/>
      <c r="DD25" s="492">
        <v>21</v>
      </c>
      <c r="DE25" s="492">
        <v>2</v>
      </c>
      <c r="DF25" s="497">
        <f>IF(('Comparison Calculator'!$E$11-DE25)&gt;=0,0,IFERROR(-PPMT($DJ$18/12,(DD25-12),($F$1-1)*12,$DJ$17),0))</f>
        <v>0</v>
      </c>
      <c r="DG25" s="497" t="e">
        <f>IF(('Comparison Calculator'!$E$11-DE25)&gt;=0,$C$1*$DJ$18/12,IFERROR(-IPMT($DJ$18/12,(DD25-12),($F$1-1)*12,$DJ$17,0),0))</f>
        <v>#N/A</v>
      </c>
      <c r="DH25" s="497" t="e">
        <f t="shared" si="12"/>
        <v>#N/A</v>
      </c>
      <c r="DI25" s="497">
        <f t="shared" ref="DI25:DI88" si="37">DI24-DF25</f>
        <v>1800000</v>
      </c>
      <c r="DJ25" s="493"/>
      <c r="DK25" s="493"/>
    </row>
    <row r="26" spans="1:115">
      <c r="A26" s="492">
        <v>22</v>
      </c>
      <c r="B26" s="492">
        <v>2</v>
      </c>
      <c r="C26" s="497">
        <f>IF(('Comparison Calculator'!$E$11-B26)&gt;=0,0,IFERROR(-PPMT($G$18/12,(A26-12),($F$1-1)*12,$G$17),0))</f>
        <v>0</v>
      </c>
      <c r="D26" s="497">
        <f>IF(('Comparison Calculator'!$E$11-B26)&gt;=0,$C$1*$G$18/12,IFERROR(-IPMT($G$18/12,(A26-12),($F$1-1)*12,$G$17,0),0))</f>
        <v>9720</v>
      </c>
      <c r="E26" s="497">
        <f t="shared" si="0"/>
        <v>9720</v>
      </c>
      <c r="F26" s="497">
        <f t="shared" si="13"/>
        <v>1800000</v>
      </c>
      <c r="G26" s="493"/>
      <c r="H26" s="493"/>
      <c r="I26" s="489"/>
      <c r="J26" s="492">
        <v>22</v>
      </c>
      <c r="K26" s="492">
        <v>2</v>
      </c>
      <c r="L26" s="497">
        <f>IF(('Comparison Calculator'!$E$11-K26)&gt;=0,0,IFERROR(-PPMT($P$18/12,(J26-12),($F$1-1)*12,$P$17),0))</f>
        <v>0</v>
      </c>
      <c r="M26" s="497">
        <f>IF(('Comparison Calculator'!$E$11-K26)&gt;=0,$C$1*$P$18/12,IFERROR(-IPMT($P$18/12,(J26-12),($F$1-1)*12,$P$17,0),0))</f>
        <v>9720</v>
      </c>
      <c r="N26" s="497">
        <f t="shared" si="1"/>
        <v>9720</v>
      </c>
      <c r="O26" s="497">
        <f t="shared" si="26"/>
        <v>1800000</v>
      </c>
      <c r="P26" s="493"/>
      <c r="Q26" s="493"/>
      <c r="S26" s="492">
        <v>22</v>
      </c>
      <c r="T26" s="492">
        <v>2</v>
      </c>
      <c r="U26" s="497">
        <f>IF(('Comparison Calculator'!$E$11-T26)&gt;=0,0,IFERROR(-PPMT($Y$18/12,(S26-12),($F$1-1)*12,$Y$17),0))</f>
        <v>0</v>
      </c>
      <c r="V26" s="497" t="e">
        <f>IF(('Comparison Calculator'!$E$11-T26)&gt;=0,$C$1*$Y$18/12,IFERROR(-IPMT($Y$18/12,(S26-12),($F$1-1)*12,$Y$17,0),0))</f>
        <v>#N/A</v>
      </c>
      <c r="W26" s="497" t="e">
        <f t="shared" si="2"/>
        <v>#N/A</v>
      </c>
      <c r="X26" s="497">
        <f t="shared" si="27"/>
        <v>1800000</v>
      </c>
      <c r="Y26" s="493"/>
      <c r="Z26" s="493"/>
      <c r="AB26" s="492">
        <v>22</v>
      </c>
      <c r="AC26" s="492">
        <v>2</v>
      </c>
      <c r="AD26" s="497">
        <f>IF(('Comparison Calculator'!$E$11-AC26)&gt;=0,0,IFERROR(-PPMT($AH$18/12,(AB26-12),($F$1-1)*12,$AH$17),0))</f>
        <v>0</v>
      </c>
      <c r="AE26" s="497" t="e">
        <f>IF(('Comparison Calculator'!$E$11-AC26)&gt;=0,$C$1*$AH$18/12,IFERROR(-IPMT($AH$18/12,(AB26-12),($F$1-1)*12,$AH$17,0),0))</f>
        <v>#N/A</v>
      </c>
      <c r="AF26" s="497" t="e">
        <f t="shared" si="3"/>
        <v>#N/A</v>
      </c>
      <c r="AG26" s="497">
        <f t="shared" si="28"/>
        <v>1800000</v>
      </c>
      <c r="AH26" s="493"/>
      <c r="AI26" s="493"/>
      <c r="AK26" s="492">
        <v>22</v>
      </c>
      <c r="AL26" s="492">
        <v>2</v>
      </c>
      <c r="AM26" s="497">
        <f>IF(('Comparison Calculator'!$E$11-AL26)&gt;=0,0,IFERROR(-PPMT($AQ$18/12,(AK26-12),($F$1-1)*12,$AQ$17),0))</f>
        <v>0</v>
      </c>
      <c r="AN26" s="497">
        <f>IF(('Comparison Calculator'!$E$11-AL26)&gt;=0,$C$1*$AQ$18/12,IFERROR(-IPMT($AQ$18/12,(AK26-12),($F$1-1)*12,$AQ$17,0),0))</f>
        <v>8040</v>
      </c>
      <c r="AO26" s="497">
        <f t="shared" si="4"/>
        <v>8040</v>
      </c>
      <c r="AP26" s="497">
        <f t="shared" si="29"/>
        <v>1800000</v>
      </c>
      <c r="AQ26" s="493"/>
      <c r="AR26" s="493"/>
      <c r="AT26" s="492">
        <v>22</v>
      </c>
      <c r="AU26" s="492">
        <v>2</v>
      </c>
      <c r="AV26" s="497">
        <f>IF(('Comparison Calculator'!$E$11-AU26)&gt;=0,0,IFERROR(-PPMT($AZ$18/12,(AT26-12),($F$1-1)*12,$AZ$17),0))</f>
        <v>0</v>
      </c>
      <c r="AW26" s="497" t="e">
        <f>IF(('Comparison Calculator'!$E$11-AU26)&gt;=0,$C$1*$AZ$18/12,IFERROR(-IPMT($AZ$18/12,(AT26-12),($F$1-1)*12,$AZ$17,0),0))</f>
        <v>#N/A</v>
      </c>
      <c r="AX26" s="497" t="e">
        <f t="shared" si="5"/>
        <v>#N/A</v>
      </c>
      <c r="AY26" s="497">
        <f t="shared" si="30"/>
        <v>1800000</v>
      </c>
      <c r="AZ26" s="493"/>
      <c r="BA26" s="493"/>
      <c r="BC26" s="492">
        <v>22</v>
      </c>
      <c r="BD26" s="492">
        <v>2</v>
      </c>
      <c r="BE26" s="497">
        <f>IF(('Comparison Calculator'!$E$11-BD26)&gt;=0,0,IFERROR(-PPMT($BI$18/12,(BC26-12),($F$1-1)*12,$BI$17),0))</f>
        <v>0</v>
      </c>
      <c r="BF26" s="497">
        <f>IF(('Comparison Calculator'!$E$11-BD26)&gt;=0,$C$1*$BI$18/12,IFERROR(-IPMT($BI$18/12,(BC26-12),($F$1-1)*12,$BI$17,0),0))</f>
        <v>7470</v>
      </c>
      <c r="BG26" s="497">
        <f t="shared" si="6"/>
        <v>7470</v>
      </c>
      <c r="BH26" s="497">
        <f t="shared" si="31"/>
        <v>1800000</v>
      </c>
      <c r="BI26" s="493"/>
      <c r="BJ26" s="493"/>
      <c r="BK26" s="492">
        <v>22</v>
      </c>
      <c r="BL26" s="492">
        <v>2</v>
      </c>
      <c r="BM26" s="497">
        <f>IF(('Comparison Calculator'!$E$11-BL26)&gt;=0,0,IFERROR(-PPMT($BQ$18/12,(BK26-12),($F$1-1)*12,$BQ$17),0))</f>
        <v>0</v>
      </c>
      <c r="BN26" s="497">
        <f>IF(('Comparison Calculator'!$E$11-BL26)&gt;=0,$C$1*$BQ$18/12,IFERROR(-IPMT($BQ$18/12,(BK26-12),($F$1-1)*12,$BQ$17,0),0))</f>
        <v>9720</v>
      </c>
      <c r="BO26" s="497">
        <f t="shared" si="7"/>
        <v>9720</v>
      </c>
      <c r="BP26" s="497">
        <f t="shared" si="32"/>
        <v>1800000</v>
      </c>
      <c r="BQ26" s="493"/>
      <c r="BR26" s="493"/>
      <c r="BT26" s="492">
        <v>22</v>
      </c>
      <c r="BU26" s="492">
        <v>2</v>
      </c>
      <c r="BV26" s="497">
        <f>IF(('Comparison Calculator'!$E$11-BU26)&gt;=0,0,IFERROR(-PPMT($BZ$18/12,(BT26-12),($F$1-1)*12,$BZ$17),0))</f>
        <v>0</v>
      </c>
      <c r="BW26" s="497">
        <f>IF(('Comparison Calculator'!$E$11-BU26)&gt;=0,$C$1*$BZ$18/12,IFERROR(-IPMT($BZ$18/12,(BT26-12),($F$1-1)*12,$BZ$17,0),0))</f>
        <v>9720</v>
      </c>
      <c r="BX26" s="497">
        <f t="shared" si="8"/>
        <v>9720</v>
      </c>
      <c r="BY26" s="497">
        <f t="shared" si="33"/>
        <v>1800000</v>
      </c>
      <c r="BZ26" s="493"/>
      <c r="CA26" s="493"/>
      <c r="CC26" s="492">
        <v>22</v>
      </c>
      <c r="CD26" s="492">
        <v>2</v>
      </c>
      <c r="CE26" s="497">
        <f>IF(('Comparison Calculator'!$E$11-CD26)&gt;=0,0,IFERROR(-PPMT($CI$18/12,(CC26-12),($F$1-1)*12,$CI$17),0))</f>
        <v>0</v>
      </c>
      <c r="CF26" s="497">
        <f>IF(('Comparison Calculator'!$E$11-CD26)&gt;=0,$C$1*$CI$18/12,IFERROR(-IPMT($CI$18/12,(CC26-12),($F$1-1)*12,$CI$17,0),0))</f>
        <v>9569.9999999999982</v>
      </c>
      <c r="CG26" s="497">
        <f t="shared" si="9"/>
        <v>9569.9999999999982</v>
      </c>
      <c r="CH26" s="497">
        <f t="shared" si="34"/>
        <v>1800000</v>
      </c>
      <c r="CI26" s="493"/>
      <c r="CJ26" s="493"/>
      <c r="CL26" s="492">
        <v>22</v>
      </c>
      <c r="CM26" s="492">
        <v>2</v>
      </c>
      <c r="CN26" s="497">
        <f>IF(('Comparison Calculator'!$E$11-CM26)&gt;=0,0,IFERROR(-PPMT($CR$18/12,(CL26-12),($F$1-1)*12,$CR$17),0))</f>
        <v>0</v>
      </c>
      <c r="CO26" s="497" t="e">
        <f>IF(('Comparison Calculator'!$E$11-CM26)&gt;=0,$C$1*$CR$18/12,IFERROR(-IPMT($CR$18/12,(CL26-12),($F$1-1)*12,$CR$17,0),0))</f>
        <v>#N/A</v>
      </c>
      <c r="CP26" s="497" t="e">
        <f t="shared" si="10"/>
        <v>#N/A</v>
      </c>
      <c r="CQ26" s="497">
        <f t="shared" si="35"/>
        <v>1800000</v>
      </c>
      <c r="CR26" s="493"/>
      <c r="CS26" s="493"/>
      <c r="CU26" s="492">
        <v>22</v>
      </c>
      <c r="CV26" s="492">
        <v>2</v>
      </c>
      <c r="CW26" s="497">
        <f>IF(('Comparison Calculator'!$E$11-CV26)&gt;=0,0,IFERROR(-PPMT($DA$18/12,(CU26-12),($F$1-1)*12,$DA$17),0))</f>
        <v>0</v>
      </c>
      <c r="CX26" s="497" t="e">
        <f>IF(('Comparison Calculator'!$E$11-CV26)&gt;=0,$C$1*$DA$18/12,IFERROR(-IPMT($DA$18/12,(CU26-12),($F$1-1)*12,$DA$17,0),0))</f>
        <v>#N/A</v>
      </c>
      <c r="CY26" s="497" t="e">
        <f t="shared" si="11"/>
        <v>#N/A</v>
      </c>
      <c r="CZ26" s="497">
        <f t="shared" si="36"/>
        <v>1800000</v>
      </c>
      <c r="DA26" s="493"/>
      <c r="DB26" s="493"/>
      <c r="DD26" s="492">
        <v>22</v>
      </c>
      <c r="DE26" s="492">
        <v>2</v>
      </c>
      <c r="DF26" s="497">
        <f>IF(('Comparison Calculator'!$E$11-DE26)&gt;=0,0,IFERROR(-PPMT($DJ$18/12,(DD26-12),($F$1-1)*12,$DJ$17),0))</f>
        <v>0</v>
      </c>
      <c r="DG26" s="497" t="e">
        <f>IF(('Comparison Calculator'!$E$11-DE26)&gt;=0,$C$1*$DJ$18/12,IFERROR(-IPMT($DJ$18/12,(DD26-12),($F$1-1)*12,$DJ$17,0),0))</f>
        <v>#N/A</v>
      </c>
      <c r="DH26" s="497" t="e">
        <f t="shared" si="12"/>
        <v>#N/A</v>
      </c>
      <c r="DI26" s="497">
        <f t="shared" si="37"/>
        <v>1800000</v>
      </c>
      <c r="DJ26" s="493"/>
      <c r="DK26" s="493"/>
    </row>
    <row r="27" spans="1:115">
      <c r="A27" s="492">
        <v>23</v>
      </c>
      <c r="B27" s="492">
        <v>2</v>
      </c>
      <c r="C27" s="497">
        <f>IF(('Comparison Calculator'!$E$11-B27)&gt;=0,0,IFERROR(-PPMT($G$18/12,(A27-12),($F$1-1)*12,$G$17),0))</f>
        <v>0</v>
      </c>
      <c r="D27" s="497">
        <f>IF(('Comparison Calculator'!$E$11-B27)&gt;=0,$C$1*$G$18/12,IFERROR(-IPMT($G$18/12,(A27-12),($F$1-1)*12,$G$17,0),0))</f>
        <v>9720</v>
      </c>
      <c r="E27" s="497">
        <f t="shared" si="0"/>
        <v>9720</v>
      </c>
      <c r="F27" s="497">
        <f t="shared" si="13"/>
        <v>1800000</v>
      </c>
      <c r="G27" s="493"/>
      <c r="H27" s="493"/>
      <c r="I27" s="489"/>
      <c r="J27" s="492">
        <v>23</v>
      </c>
      <c r="K27" s="492">
        <v>2</v>
      </c>
      <c r="L27" s="497">
        <f>IF(('Comparison Calculator'!$E$11-K27)&gt;=0,0,IFERROR(-PPMT($P$18/12,(J27-12),($F$1-1)*12,$P$17),0))</f>
        <v>0</v>
      </c>
      <c r="M27" s="497">
        <f>IF(('Comparison Calculator'!$E$11-K27)&gt;=0,$C$1*$P$18/12,IFERROR(-IPMT($P$18/12,(J27-12),($F$1-1)*12,$P$17,0),0))</f>
        <v>9720</v>
      </c>
      <c r="N27" s="497">
        <f t="shared" si="1"/>
        <v>9720</v>
      </c>
      <c r="O27" s="497">
        <f t="shared" si="26"/>
        <v>1800000</v>
      </c>
      <c r="P27" s="493"/>
      <c r="Q27" s="493"/>
      <c r="S27" s="492">
        <v>23</v>
      </c>
      <c r="T27" s="492">
        <v>2</v>
      </c>
      <c r="U27" s="497">
        <f>IF(('Comparison Calculator'!$E$11-T27)&gt;=0,0,IFERROR(-PPMT($Y$18/12,(S27-12),($F$1-1)*12,$Y$17),0))</f>
        <v>0</v>
      </c>
      <c r="V27" s="497" t="e">
        <f>IF(('Comparison Calculator'!$E$11-T27)&gt;=0,$C$1*$Y$18/12,IFERROR(-IPMT($Y$18/12,(S27-12),($F$1-1)*12,$Y$17,0),0))</f>
        <v>#N/A</v>
      </c>
      <c r="W27" s="497" t="e">
        <f t="shared" si="2"/>
        <v>#N/A</v>
      </c>
      <c r="X27" s="497">
        <f t="shared" si="27"/>
        <v>1800000</v>
      </c>
      <c r="Y27" s="493"/>
      <c r="Z27" s="493"/>
      <c r="AB27" s="492">
        <v>23</v>
      </c>
      <c r="AC27" s="492">
        <v>2</v>
      </c>
      <c r="AD27" s="497">
        <f>IF(('Comparison Calculator'!$E$11-AC27)&gt;=0,0,IFERROR(-PPMT($AH$18/12,(AB27-12),($F$1-1)*12,$AH$17),0))</f>
        <v>0</v>
      </c>
      <c r="AE27" s="497" t="e">
        <f>IF(('Comparison Calculator'!$E$11-AC27)&gt;=0,$C$1*$AH$18/12,IFERROR(-IPMT($AH$18/12,(AB27-12),($F$1-1)*12,$AH$17,0),0))</f>
        <v>#N/A</v>
      </c>
      <c r="AF27" s="497" t="e">
        <f t="shared" si="3"/>
        <v>#N/A</v>
      </c>
      <c r="AG27" s="497">
        <f t="shared" si="28"/>
        <v>1800000</v>
      </c>
      <c r="AH27" s="493"/>
      <c r="AI27" s="493"/>
      <c r="AK27" s="492">
        <v>23</v>
      </c>
      <c r="AL27" s="492">
        <v>2</v>
      </c>
      <c r="AM27" s="497">
        <f>IF(('Comparison Calculator'!$E$11-AL27)&gt;=0,0,IFERROR(-PPMT($AQ$18/12,(AK27-12),($F$1-1)*12,$AQ$17),0))</f>
        <v>0</v>
      </c>
      <c r="AN27" s="497">
        <f>IF(('Comparison Calculator'!$E$11-AL27)&gt;=0,$C$1*$AQ$18/12,IFERROR(-IPMT($AQ$18/12,(AK27-12),($F$1-1)*12,$AQ$17,0),0))</f>
        <v>8040</v>
      </c>
      <c r="AO27" s="497">
        <f t="shared" si="4"/>
        <v>8040</v>
      </c>
      <c r="AP27" s="497">
        <f t="shared" si="29"/>
        <v>1800000</v>
      </c>
      <c r="AQ27" s="493"/>
      <c r="AR27" s="493"/>
      <c r="AT27" s="492">
        <v>23</v>
      </c>
      <c r="AU27" s="492">
        <v>2</v>
      </c>
      <c r="AV27" s="497">
        <f>IF(('Comparison Calculator'!$E$11-AU27)&gt;=0,0,IFERROR(-PPMT($AZ$18/12,(AT27-12),($F$1-1)*12,$AZ$17),0))</f>
        <v>0</v>
      </c>
      <c r="AW27" s="497" t="e">
        <f>IF(('Comparison Calculator'!$E$11-AU27)&gt;=0,$C$1*$AZ$18/12,IFERROR(-IPMT($AZ$18/12,(AT27-12),($F$1-1)*12,$AZ$17,0),0))</f>
        <v>#N/A</v>
      </c>
      <c r="AX27" s="497" t="e">
        <f t="shared" si="5"/>
        <v>#N/A</v>
      </c>
      <c r="AY27" s="497">
        <f t="shared" si="30"/>
        <v>1800000</v>
      </c>
      <c r="AZ27" s="493"/>
      <c r="BA27" s="493"/>
      <c r="BC27" s="492">
        <v>23</v>
      </c>
      <c r="BD27" s="492">
        <v>2</v>
      </c>
      <c r="BE27" s="497">
        <f>IF(('Comparison Calculator'!$E$11-BD27)&gt;=0,0,IFERROR(-PPMT($BI$18/12,(BC27-12),($F$1-1)*12,$BI$17),0))</f>
        <v>0</v>
      </c>
      <c r="BF27" s="497">
        <f>IF(('Comparison Calculator'!$E$11-BD27)&gt;=0,$C$1*$BI$18/12,IFERROR(-IPMT($BI$18/12,(BC27-12),($F$1-1)*12,$BI$17,0),0))</f>
        <v>7470</v>
      </c>
      <c r="BG27" s="497">
        <f t="shared" si="6"/>
        <v>7470</v>
      </c>
      <c r="BH27" s="497">
        <f t="shared" si="31"/>
        <v>1800000</v>
      </c>
      <c r="BI27" s="493"/>
      <c r="BJ27" s="493"/>
      <c r="BK27" s="492">
        <v>23</v>
      </c>
      <c r="BL27" s="492">
        <v>2</v>
      </c>
      <c r="BM27" s="497">
        <f>IF(('Comparison Calculator'!$E$11-BL27)&gt;=0,0,IFERROR(-PPMT($BQ$18/12,(BK27-12),($F$1-1)*12,$BQ$17),0))</f>
        <v>0</v>
      </c>
      <c r="BN27" s="497">
        <f>IF(('Comparison Calculator'!$E$11-BL27)&gt;=0,$C$1*$BQ$18/12,IFERROR(-IPMT($BQ$18/12,(BK27-12),($F$1-1)*12,$BQ$17,0),0))</f>
        <v>9720</v>
      </c>
      <c r="BO27" s="497">
        <f t="shared" si="7"/>
        <v>9720</v>
      </c>
      <c r="BP27" s="497">
        <f t="shared" si="32"/>
        <v>1800000</v>
      </c>
      <c r="BQ27" s="493"/>
      <c r="BR27" s="493"/>
      <c r="BT27" s="492">
        <v>23</v>
      </c>
      <c r="BU27" s="492">
        <v>2</v>
      </c>
      <c r="BV27" s="497">
        <f>IF(('Comparison Calculator'!$E$11-BU27)&gt;=0,0,IFERROR(-PPMT($BZ$18/12,(BT27-12),($F$1-1)*12,$BZ$17),0))</f>
        <v>0</v>
      </c>
      <c r="BW27" s="497">
        <f>IF(('Comparison Calculator'!$E$11-BU27)&gt;=0,$C$1*$BZ$18/12,IFERROR(-IPMT($BZ$18/12,(BT27-12),($F$1-1)*12,$BZ$17,0),0))</f>
        <v>9720</v>
      </c>
      <c r="BX27" s="497">
        <f t="shared" si="8"/>
        <v>9720</v>
      </c>
      <c r="BY27" s="497">
        <f t="shared" si="33"/>
        <v>1800000</v>
      </c>
      <c r="BZ27" s="493"/>
      <c r="CA27" s="493"/>
      <c r="CC27" s="492">
        <v>23</v>
      </c>
      <c r="CD27" s="492">
        <v>2</v>
      </c>
      <c r="CE27" s="497">
        <f>IF(('Comparison Calculator'!$E$11-CD27)&gt;=0,0,IFERROR(-PPMT($CI$18/12,(CC27-12),($F$1-1)*12,$CI$17),0))</f>
        <v>0</v>
      </c>
      <c r="CF27" s="497">
        <f>IF(('Comparison Calculator'!$E$11-CD27)&gt;=0,$C$1*$CI$18/12,IFERROR(-IPMT($CI$18/12,(CC27-12),($F$1-1)*12,$CI$17,0),0))</f>
        <v>9569.9999999999982</v>
      </c>
      <c r="CG27" s="497">
        <f t="shared" si="9"/>
        <v>9569.9999999999982</v>
      </c>
      <c r="CH27" s="497">
        <f t="shared" si="34"/>
        <v>1800000</v>
      </c>
      <c r="CI27" s="493"/>
      <c r="CJ27" s="493"/>
      <c r="CL27" s="492">
        <v>23</v>
      </c>
      <c r="CM27" s="492">
        <v>2</v>
      </c>
      <c r="CN27" s="497">
        <f>IF(('Comparison Calculator'!$E$11-CM27)&gt;=0,0,IFERROR(-PPMT($CR$18/12,(CL27-12),($F$1-1)*12,$CR$17),0))</f>
        <v>0</v>
      </c>
      <c r="CO27" s="497" t="e">
        <f>IF(('Comparison Calculator'!$E$11-CM27)&gt;=0,$C$1*$CR$18/12,IFERROR(-IPMT($CR$18/12,(CL27-12),($F$1-1)*12,$CR$17,0),0))</f>
        <v>#N/A</v>
      </c>
      <c r="CP27" s="497" t="e">
        <f t="shared" si="10"/>
        <v>#N/A</v>
      </c>
      <c r="CQ27" s="497">
        <f t="shared" si="35"/>
        <v>1800000</v>
      </c>
      <c r="CR27" s="493"/>
      <c r="CS27" s="493"/>
      <c r="CU27" s="492">
        <v>23</v>
      </c>
      <c r="CV27" s="492">
        <v>2</v>
      </c>
      <c r="CW27" s="497">
        <f>IF(('Comparison Calculator'!$E$11-CV27)&gt;=0,0,IFERROR(-PPMT($DA$18/12,(CU27-12),($F$1-1)*12,$DA$17),0))</f>
        <v>0</v>
      </c>
      <c r="CX27" s="497" t="e">
        <f>IF(('Comparison Calculator'!$E$11-CV27)&gt;=0,$C$1*$DA$18/12,IFERROR(-IPMT($DA$18/12,(CU27-12),($F$1-1)*12,$DA$17,0),0))</f>
        <v>#N/A</v>
      </c>
      <c r="CY27" s="497" t="e">
        <f t="shared" si="11"/>
        <v>#N/A</v>
      </c>
      <c r="CZ27" s="497">
        <f t="shared" si="36"/>
        <v>1800000</v>
      </c>
      <c r="DA27" s="493"/>
      <c r="DB27" s="493"/>
      <c r="DD27" s="492">
        <v>23</v>
      </c>
      <c r="DE27" s="492">
        <v>2</v>
      </c>
      <c r="DF27" s="497">
        <f>IF(('Comparison Calculator'!$E$11-DE27)&gt;=0,0,IFERROR(-PPMT($DJ$18/12,(DD27-12),($F$1-1)*12,$DJ$17),0))</f>
        <v>0</v>
      </c>
      <c r="DG27" s="497" t="e">
        <f>IF(('Comparison Calculator'!$E$11-DE27)&gt;=0,$C$1*$DJ$18/12,IFERROR(-IPMT($DJ$18/12,(DD27-12),($F$1-1)*12,$DJ$17,0),0))</f>
        <v>#N/A</v>
      </c>
      <c r="DH27" s="497" t="e">
        <f t="shared" si="12"/>
        <v>#N/A</v>
      </c>
      <c r="DI27" s="497">
        <f t="shared" si="37"/>
        <v>1800000</v>
      </c>
      <c r="DJ27" s="493"/>
      <c r="DK27" s="493"/>
    </row>
    <row r="28" spans="1:115">
      <c r="A28" s="492">
        <v>24</v>
      </c>
      <c r="B28" s="492">
        <v>2</v>
      </c>
      <c r="C28" s="497">
        <f>IF(('Comparison Calculator'!$E$11-B28)&gt;=0,0,IFERROR(-PPMT($G$18/12,(A28-12),($F$1-1)*12,$G$17),0))</f>
        <v>0</v>
      </c>
      <c r="D28" s="497">
        <f>IF(('Comparison Calculator'!$E$11-B28)&gt;=0,$C$1*$G$18/12,IFERROR(-IPMT($G$18/12,(A28-12),($F$1-1)*12,$G$17,0),0))</f>
        <v>9720</v>
      </c>
      <c r="E28" s="497">
        <f t="shared" si="0"/>
        <v>9720</v>
      </c>
      <c r="F28" s="497">
        <f t="shared" si="13"/>
        <v>1800000</v>
      </c>
      <c r="G28" s="501">
        <f>SUM(E5:E28)+$H$1*B28</f>
        <v>117638</v>
      </c>
      <c r="H28" s="493"/>
      <c r="I28" s="489"/>
      <c r="J28" s="492">
        <v>24</v>
      </c>
      <c r="K28" s="492">
        <v>2</v>
      </c>
      <c r="L28" s="497">
        <f>IF(('Comparison Calculator'!$E$11-K28)&gt;=0,0,IFERROR(-PPMT($P$18/12,(J28-12),($F$1-1)*12,$P$17),0))</f>
        <v>0</v>
      </c>
      <c r="M28" s="497">
        <f>IF(('Comparison Calculator'!$E$11-K28)&gt;=0,$C$1*$P$18/12,IFERROR(-IPMT($P$18/12,(J28-12),($F$1-1)*12,$P$17,0),0))</f>
        <v>9720</v>
      </c>
      <c r="N28" s="497">
        <f t="shared" si="1"/>
        <v>9720</v>
      </c>
      <c r="O28" s="497">
        <f t="shared" si="26"/>
        <v>1800000</v>
      </c>
      <c r="P28" s="501">
        <f>SUM(N5:N28)+$H$1*K28</f>
        <v>117638</v>
      </c>
      <c r="Q28" s="493"/>
      <c r="S28" s="492">
        <v>24</v>
      </c>
      <c r="T28" s="492">
        <v>2</v>
      </c>
      <c r="U28" s="497">
        <f>IF(('Comparison Calculator'!$E$11-T28)&gt;=0,0,IFERROR(-PPMT($Y$18/12,(S28-12),($F$1-1)*12,$Y$17),0))</f>
        <v>0</v>
      </c>
      <c r="V28" s="497" t="e">
        <f>IF(('Comparison Calculator'!$E$11-T28)&gt;=0,$C$1*$Y$18/12,IFERROR(-IPMT($Y$18/12,(S28-12),($F$1-1)*12,$Y$17,0),0))</f>
        <v>#N/A</v>
      </c>
      <c r="W28" s="497" t="e">
        <f t="shared" si="2"/>
        <v>#N/A</v>
      </c>
      <c r="X28" s="497">
        <f t="shared" si="27"/>
        <v>1800000</v>
      </c>
      <c r="Y28" s="501" t="e">
        <f>SUM(W5:W28)+$Z$1*T28</f>
        <v>#N/A</v>
      </c>
      <c r="Z28" s="493"/>
      <c r="AB28" s="492">
        <v>24</v>
      </c>
      <c r="AC28" s="492">
        <v>2</v>
      </c>
      <c r="AD28" s="497">
        <f>IF(('Comparison Calculator'!$E$11-AC28)&gt;=0,0,IFERROR(-PPMT($AH$18/12,(AB28-12),($F$1-1)*12,$AH$17),0))</f>
        <v>0</v>
      </c>
      <c r="AE28" s="497" t="e">
        <f>IF(('Comparison Calculator'!$E$11-AC28)&gt;=0,$C$1*$AH$18/12,IFERROR(-IPMT($AH$18/12,(AB28-12),($F$1-1)*12,$AH$17,0),0))</f>
        <v>#N/A</v>
      </c>
      <c r="AF28" s="497" t="e">
        <f t="shared" si="3"/>
        <v>#N/A</v>
      </c>
      <c r="AG28" s="497">
        <f t="shared" si="28"/>
        <v>1800000</v>
      </c>
      <c r="AH28" s="501" t="e">
        <f>SUM(AF5:AF28)+$AI$1*AC28</f>
        <v>#N/A</v>
      </c>
      <c r="AI28" s="493"/>
      <c r="AK28" s="492">
        <v>24</v>
      </c>
      <c r="AL28" s="492">
        <v>2</v>
      </c>
      <c r="AM28" s="497">
        <f>IF(('Comparison Calculator'!$E$11-AL28)&gt;=0,0,IFERROR(-PPMT($AQ$18/12,(AK28-12),($F$1-1)*12,$AQ$17),0))</f>
        <v>0</v>
      </c>
      <c r="AN28" s="497">
        <f>IF(('Comparison Calculator'!$E$11-AL28)&gt;=0,$C$1*$AQ$18/12,IFERROR(-IPMT($AQ$18/12,(AK28-12),($F$1-1)*12,$AQ$17,0),0))</f>
        <v>8040</v>
      </c>
      <c r="AO28" s="497">
        <f t="shared" si="4"/>
        <v>8040</v>
      </c>
      <c r="AP28" s="497">
        <f t="shared" si="29"/>
        <v>1800000</v>
      </c>
      <c r="AQ28" s="501">
        <f>SUM(AO5:AO28)+$AR$1*AL28</f>
        <v>97478</v>
      </c>
      <c r="AR28" s="493"/>
      <c r="AT28" s="492">
        <v>24</v>
      </c>
      <c r="AU28" s="492">
        <v>2</v>
      </c>
      <c r="AV28" s="497">
        <f>IF(('Comparison Calculator'!$E$11-AU28)&gt;=0,0,IFERROR(-PPMT($AZ$18/12,(AT28-12),($F$1-1)*12,$AZ$17),0))</f>
        <v>0</v>
      </c>
      <c r="AW28" s="497" t="e">
        <f>IF(('Comparison Calculator'!$E$11-AU28)&gt;=0,$C$1*$AZ$18/12,IFERROR(-IPMT($AZ$18/12,(AT28-12),($F$1-1)*12,$AZ$17,0),0))</f>
        <v>#N/A</v>
      </c>
      <c r="AX28" s="497" t="e">
        <f t="shared" si="5"/>
        <v>#N/A</v>
      </c>
      <c r="AY28" s="497">
        <f t="shared" si="30"/>
        <v>1800000</v>
      </c>
      <c r="AZ28" s="501" t="e">
        <f>SUM(AX5:AX28)+$BA$1*AU28</f>
        <v>#N/A</v>
      </c>
      <c r="BA28" s="493"/>
      <c r="BC28" s="492">
        <v>24</v>
      </c>
      <c r="BD28" s="492">
        <v>2</v>
      </c>
      <c r="BE28" s="497">
        <f>IF(('Comparison Calculator'!$E$11-BD28)&gt;=0,0,IFERROR(-PPMT($BI$18/12,(BC28-12),($F$1-1)*12,$BI$17),0))</f>
        <v>0</v>
      </c>
      <c r="BF28" s="497">
        <f>IF(('Comparison Calculator'!$E$11-BD28)&gt;=0,$C$1*$BI$18/12,IFERROR(-IPMT($BI$18/12,(BC28-12),($F$1-1)*12,$BI$17,0),0))</f>
        <v>7470</v>
      </c>
      <c r="BG28" s="497">
        <f t="shared" si="6"/>
        <v>7470</v>
      </c>
      <c r="BH28" s="497">
        <f t="shared" si="31"/>
        <v>1800000</v>
      </c>
      <c r="BI28" s="501">
        <f>SUM(BG5:BG28)+$BA$1*BD28</f>
        <v>90638</v>
      </c>
      <c r="BJ28" s="493"/>
      <c r="BK28" s="492">
        <v>24</v>
      </c>
      <c r="BL28" s="492">
        <v>2</v>
      </c>
      <c r="BM28" s="497">
        <f>IF(('Comparison Calculator'!$E$11-BL28)&gt;=0,0,IFERROR(-PPMT($BQ$18/12,(BK28-12),($F$1-1)*12,$BQ$17),0))</f>
        <v>0</v>
      </c>
      <c r="BN28" s="497">
        <f>IF(('Comparison Calculator'!$E$11-BL28)&gt;=0,$C$1*$BQ$18/12,IFERROR(-IPMT($BQ$18/12,(BK28-12),($F$1-1)*12,$BQ$17,0),0))</f>
        <v>9720</v>
      </c>
      <c r="BO28" s="497">
        <f t="shared" si="7"/>
        <v>9720</v>
      </c>
      <c r="BP28" s="497">
        <f t="shared" si="32"/>
        <v>1800000</v>
      </c>
      <c r="BQ28" s="501">
        <f>SUM(BO5:BO28)+$BR$1*BL28</f>
        <v>117638</v>
      </c>
      <c r="BR28" s="493"/>
      <c r="BT28" s="492">
        <v>24</v>
      </c>
      <c r="BU28" s="492">
        <v>2</v>
      </c>
      <c r="BV28" s="497">
        <f>IF(('Comparison Calculator'!$E$11-BU28)&gt;=0,0,IFERROR(-PPMT($BZ$18/12,(BT28-12),($F$1-1)*12,$BZ$17),0))</f>
        <v>0</v>
      </c>
      <c r="BW28" s="497">
        <f>IF(('Comparison Calculator'!$E$11-BU28)&gt;=0,$C$1*$BZ$18/12,IFERROR(-IPMT($BZ$18/12,(BT28-12),($F$1-1)*12,$BZ$17,0),0))</f>
        <v>9720</v>
      </c>
      <c r="BX28" s="497">
        <f t="shared" si="8"/>
        <v>9720</v>
      </c>
      <c r="BY28" s="497">
        <f t="shared" si="33"/>
        <v>1800000</v>
      </c>
      <c r="BZ28" s="501">
        <f>SUM(BX5:BX28)+$CA$1*BU28</f>
        <v>117638</v>
      </c>
      <c r="CA28" s="493"/>
      <c r="CC28" s="492">
        <v>24</v>
      </c>
      <c r="CD28" s="492">
        <v>2</v>
      </c>
      <c r="CE28" s="497">
        <f>IF(('Comparison Calculator'!$E$11-CD28)&gt;=0,0,IFERROR(-PPMT($CI$18/12,(CC28-12),($F$1-1)*12,$CI$17),0))</f>
        <v>0</v>
      </c>
      <c r="CF28" s="497">
        <f>IF(('Comparison Calculator'!$E$11-CD28)&gt;=0,$C$1*$CI$18/12,IFERROR(-IPMT($CI$18/12,(CC28-12),($F$1-1)*12,$CI$17,0),0))</f>
        <v>9569.9999999999982</v>
      </c>
      <c r="CG28" s="497">
        <f t="shared" si="9"/>
        <v>9569.9999999999982</v>
      </c>
      <c r="CH28" s="497">
        <f t="shared" si="34"/>
        <v>1800000</v>
      </c>
      <c r="CI28" s="501">
        <f>SUM(CG5:CG28)+$CJ$1*CD28</f>
        <v>115775.99999999999</v>
      </c>
      <c r="CJ28" s="493"/>
      <c r="CL28" s="492">
        <v>24</v>
      </c>
      <c r="CM28" s="492">
        <v>2</v>
      </c>
      <c r="CN28" s="497">
        <f>IF(('Comparison Calculator'!$E$11-CM28)&gt;=0,0,IFERROR(-PPMT($CR$18/12,(CL28-12),($F$1-1)*12,$CR$17),0))</f>
        <v>0</v>
      </c>
      <c r="CO28" s="497" t="e">
        <f>IF(('Comparison Calculator'!$E$11-CM28)&gt;=0,$C$1*$CR$18/12,IFERROR(-IPMT($CR$18/12,(CL28-12),($F$1-1)*12,$CR$17,0),0))</f>
        <v>#N/A</v>
      </c>
      <c r="CP28" s="497" t="e">
        <f t="shared" si="10"/>
        <v>#N/A</v>
      </c>
      <c r="CQ28" s="497">
        <f t="shared" si="35"/>
        <v>1800000</v>
      </c>
      <c r="CR28" s="501" t="e">
        <f>SUM(CP5:CP28)+$CS$1*CM28</f>
        <v>#N/A</v>
      </c>
      <c r="CS28" s="493"/>
      <c r="CU28" s="492">
        <v>24</v>
      </c>
      <c r="CV28" s="492">
        <v>2</v>
      </c>
      <c r="CW28" s="497">
        <f>IF(('Comparison Calculator'!$E$11-CV28)&gt;=0,0,IFERROR(-PPMT($DA$18/12,(CU28-12),($F$1-1)*12,$DA$17),0))</f>
        <v>0</v>
      </c>
      <c r="CX28" s="497" t="e">
        <f>IF(('Comparison Calculator'!$E$11-CV28)&gt;=0,$C$1*$DA$18/12,IFERROR(-IPMT($DA$18/12,(CU28-12),($F$1-1)*12,$DA$17,0),0))</f>
        <v>#N/A</v>
      </c>
      <c r="CY28" s="497" t="e">
        <f t="shared" si="11"/>
        <v>#N/A</v>
      </c>
      <c r="CZ28" s="497">
        <f t="shared" si="36"/>
        <v>1800000</v>
      </c>
      <c r="DA28" s="501" t="e">
        <f>SUM(CY5:CY28)+$DB$1*CV28</f>
        <v>#N/A</v>
      </c>
      <c r="DB28" s="493"/>
      <c r="DD28" s="492">
        <v>24</v>
      </c>
      <c r="DE28" s="492">
        <v>2</v>
      </c>
      <c r="DF28" s="497">
        <f>IF(('Comparison Calculator'!$E$11-DE28)&gt;=0,0,IFERROR(-PPMT($DJ$18/12,(DD28-12),($F$1-1)*12,$DJ$17),0))</f>
        <v>0</v>
      </c>
      <c r="DG28" s="497" t="e">
        <f>IF(('Comparison Calculator'!$E$11-DE28)&gt;=0,$C$1*$DJ$18/12,IFERROR(-IPMT($DJ$18/12,(DD28-12),($F$1-1)*12,$DJ$17,0),0))</f>
        <v>#N/A</v>
      </c>
      <c r="DH28" s="497" t="e">
        <f t="shared" si="12"/>
        <v>#N/A</v>
      </c>
      <c r="DI28" s="497">
        <f t="shared" si="37"/>
        <v>1800000</v>
      </c>
      <c r="DJ28" s="501" t="e">
        <f>SUM(DH5:DH28)+$DK$1*DE28</f>
        <v>#N/A</v>
      </c>
      <c r="DK28" s="493"/>
    </row>
    <row r="29" spans="1:115">
      <c r="A29" s="492">
        <v>25</v>
      </c>
      <c r="B29" s="492">
        <v>3</v>
      </c>
      <c r="C29" s="497">
        <f>IF(('Comparison Calculator'!$E$11-B29)&gt;=0,0,IFERROR(-PPMT($G$30/12,(A29-24),($F$1-2)*12,$G$29),0))</f>
        <v>0</v>
      </c>
      <c r="D29" s="497">
        <f>IF(('Comparison Calculator'!$E$11-B29)&gt;=0,$C$1*$G$30/12,IFERROR(-IPMT($G$30/12,(A29-24),($F$1-2)*12,$G$29,0),0))</f>
        <v>9720</v>
      </c>
      <c r="E29" s="497">
        <f t="shared" si="0"/>
        <v>9720</v>
      </c>
      <c r="F29" s="497">
        <f t="shared" si="13"/>
        <v>1800000</v>
      </c>
      <c r="G29" s="497">
        <f>F28</f>
        <v>1800000</v>
      </c>
      <c r="H29" s="502"/>
      <c r="I29" s="503"/>
      <c r="J29" s="492">
        <v>25</v>
      </c>
      <c r="K29" s="492">
        <v>3</v>
      </c>
      <c r="L29" s="497">
        <f>IF(('Comparison Calculator'!$E$11-K29)&gt;=0,0,IFERROR(-PPMT($P$30/12,(J29-24),($F$1-2)*12,$P$29),0))</f>
        <v>0</v>
      </c>
      <c r="M29" s="497">
        <f>IF(('Comparison Calculator'!$E$11-K29)&gt;=0,$C$1*$P$30/12,IFERROR(-IPMT($P$30/12,(J29-24),($F$1-2)*12,$P$29,0),0))</f>
        <v>9720</v>
      </c>
      <c r="N29" s="497">
        <f t="shared" si="1"/>
        <v>9720</v>
      </c>
      <c r="O29" s="497">
        <f t="shared" si="26"/>
        <v>1800000</v>
      </c>
      <c r="P29" s="497">
        <f>O28</f>
        <v>1800000</v>
      </c>
      <c r="Q29" s="502"/>
      <c r="S29" s="492">
        <v>25</v>
      </c>
      <c r="T29" s="492">
        <v>3</v>
      </c>
      <c r="U29" s="497">
        <f>IF(('Comparison Calculator'!$E$11-T29)&gt;=0,0,IFERROR(-PPMT($Y$30/12,(S29-24),($F$1-2)*12,$Y$29),0))</f>
        <v>0</v>
      </c>
      <c r="V29" s="497" t="e">
        <f>IF(('Comparison Calculator'!$E$11-T29)&gt;=0,$C$1*$Y$30/12,IFERROR(-IPMT($Y$30/12,(S29-24),($F$1-2)*12,$Y$29,0),0))</f>
        <v>#N/A</v>
      </c>
      <c r="W29" s="497" t="e">
        <f t="shared" si="2"/>
        <v>#N/A</v>
      </c>
      <c r="X29" s="497">
        <f t="shared" si="27"/>
        <v>1800000</v>
      </c>
      <c r="Y29" s="497">
        <f>X28</f>
        <v>1800000</v>
      </c>
      <c r="Z29" s="502"/>
      <c r="AB29" s="492">
        <v>25</v>
      </c>
      <c r="AC29" s="492">
        <v>3</v>
      </c>
      <c r="AD29" s="497">
        <f>IF(('Comparison Calculator'!$E$11-AC29)&gt;=0,0,IFERROR(-PPMT($AH$30/12,(AB29-24),($F$1-2)*12,$AH$29),0))</f>
        <v>0</v>
      </c>
      <c r="AE29" s="497" t="e">
        <f>IF(('Comparison Calculator'!$E$11-AC29)&gt;=0,$C$1*$AH$30/12,IFERROR(-IPMT($AH$30/12,(AB29-24),($F$1-2)*12,$AH$29,0),0))</f>
        <v>#N/A</v>
      </c>
      <c r="AF29" s="497" t="e">
        <f t="shared" si="3"/>
        <v>#N/A</v>
      </c>
      <c r="AG29" s="497">
        <f t="shared" si="28"/>
        <v>1800000</v>
      </c>
      <c r="AH29" s="497">
        <f>AG28</f>
        <v>1800000</v>
      </c>
      <c r="AI29" s="502"/>
      <c r="AK29" s="492">
        <v>25</v>
      </c>
      <c r="AL29" s="492">
        <v>3</v>
      </c>
      <c r="AM29" s="497">
        <f>IF(('Comparison Calculator'!$E$11-AL29)&gt;=0,0,IFERROR(-PPMT($AQ$30/12,(AK29-24),($F$1-2)*12,$AQ$29),0))</f>
        <v>0</v>
      </c>
      <c r="AN29" s="497">
        <f>IF(('Comparison Calculator'!$E$11-AL29)&gt;=0,$C$1*$AQ$30/12,IFERROR(-IPMT($AQ$30/12,(AK29-24),($F$1-2)*12,$AQ$29,0),0))</f>
        <v>8040</v>
      </c>
      <c r="AO29" s="497">
        <f t="shared" si="4"/>
        <v>8040</v>
      </c>
      <c r="AP29" s="497">
        <f t="shared" si="29"/>
        <v>1800000</v>
      </c>
      <c r="AQ29" s="497">
        <f>AP28</f>
        <v>1800000</v>
      </c>
      <c r="AR29" s="502"/>
      <c r="AT29" s="492">
        <v>25</v>
      </c>
      <c r="AU29" s="492">
        <v>3</v>
      </c>
      <c r="AV29" s="497">
        <f>IF(('Comparison Calculator'!$E$11-AU29)&gt;=0,0,IFERROR(-PPMT($AZ$30/12,(AT29-24),($F$1-2)*12,$AZ$29),0))</f>
        <v>0</v>
      </c>
      <c r="AW29" s="497" t="e">
        <f>IF(('Comparison Calculator'!$E$11-AU29)&gt;=0,$C$1*$AZ$30/12,IFERROR(-IPMT($AZ$30/12,(AT29-24),($F$1-2)*12,$AZ$29,0),0))</f>
        <v>#N/A</v>
      </c>
      <c r="AX29" s="497" t="e">
        <f t="shared" si="5"/>
        <v>#N/A</v>
      </c>
      <c r="AY29" s="497">
        <f t="shared" si="30"/>
        <v>1800000</v>
      </c>
      <c r="AZ29" s="497">
        <f>AY28</f>
        <v>1800000</v>
      </c>
      <c r="BA29" s="502"/>
      <c r="BC29" s="492">
        <v>25</v>
      </c>
      <c r="BD29" s="492">
        <v>3</v>
      </c>
      <c r="BE29" s="497">
        <f>IF(('Comparison Calculator'!$E$11-BD29)&gt;=0,0,IFERROR(-PPMT($BI$30/12,(BC29-24),($F$1-2)*12,$BI$29),0))</f>
        <v>0</v>
      </c>
      <c r="BF29" s="497">
        <f>IF(('Comparison Calculator'!$E$11-BD29)&gt;=0,$C$1*$BI$30/12,IFERROR(-IPMT($BI$30/12,(BC29-24),($F$1-2)*12,$BI$29,0),0))</f>
        <v>7470</v>
      </c>
      <c r="BG29" s="497">
        <f t="shared" si="6"/>
        <v>7470</v>
      </c>
      <c r="BH29" s="497">
        <f t="shared" si="31"/>
        <v>1800000</v>
      </c>
      <c r="BI29" s="497">
        <f>BH28</f>
        <v>1800000</v>
      </c>
      <c r="BJ29" s="502"/>
      <c r="BK29" s="492">
        <v>25</v>
      </c>
      <c r="BL29" s="492">
        <v>3</v>
      </c>
      <c r="BM29" s="497">
        <f>IF(('Comparison Calculator'!$E$11-BL29)&gt;=0,0,IFERROR(-PPMT($BQ$30/12,(BK29-24),($F$1-2)*12,$BQ$29),0))</f>
        <v>0</v>
      </c>
      <c r="BN29" s="497">
        <f>IF(('Comparison Calculator'!$E$11-BL29)&gt;=0,$C$1*$BQ$30/12,IFERROR(-IPMT($BQ$30/12,(BK29-24),($F$1-2)*12,$BQ$29,0),0))</f>
        <v>9720</v>
      </c>
      <c r="BO29" s="497">
        <f t="shared" si="7"/>
        <v>9720</v>
      </c>
      <c r="BP29" s="497">
        <f t="shared" si="32"/>
        <v>1800000</v>
      </c>
      <c r="BQ29" s="497">
        <f>BP28</f>
        <v>1800000</v>
      </c>
      <c r="BR29" s="502"/>
      <c r="BT29" s="492">
        <v>25</v>
      </c>
      <c r="BU29" s="492">
        <v>3</v>
      </c>
      <c r="BV29" s="497">
        <f>IF(('Comparison Calculator'!$E$11-BU29)&gt;=0,0,IFERROR(-PPMT($BZ$30/12,(BT29-24),($F$1-2)*12,$BZ$29),0))</f>
        <v>0</v>
      </c>
      <c r="BW29" s="497">
        <f>IF(('Comparison Calculator'!$E$11-BU29)&gt;=0,$C$1*$BZ$30/12,IFERROR(-IPMT($BZ$30/12,(BT29-24),($F$1-2)*12,$BZ$29,0),0))</f>
        <v>9720</v>
      </c>
      <c r="BX29" s="497">
        <f t="shared" si="8"/>
        <v>9720</v>
      </c>
      <c r="BY29" s="497">
        <f t="shared" si="33"/>
        <v>1800000</v>
      </c>
      <c r="BZ29" s="497">
        <f>BY28</f>
        <v>1800000</v>
      </c>
      <c r="CA29" s="502"/>
      <c r="CC29" s="492">
        <v>25</v>
      </c>
      <c r="CD29" s="492">
        <v>3</v>
      </c>
      <c r="CE29" s="497">
        <f>IF(('Comparison Calculator'!$E$11-CD29)&gt;=0,0,IFERROR(-PPMT($CI$30/12,(CC29-24),($F$1-2)*12,$CI$29),0))</f>
        <v>0</v>
      </c>
      <c r="CF29" s="497">
        <f>IF(('Comparison Calculator'!$E$11-CD29)&gt;=0,$C$1*$CI$30/12,IFERROR(-IPMT($CI$30/12,(CC29-24),($F$1-2)*12,$CI$29,0),0))</f>
        <v>9569.9999999999982</v>
      </c>
      <c r="CG29" s="497">
        <f t="shared" si="9"/>
        <v>9569.9999999999982</v>
      </c>
      <c r="CH29" s="497">
        <f t="shared" si="34"/>
        <v>1800000</v>
      </c>
      <c r="CI29" s="497">
        <f>CH28</f>
        <v>1800000</v>
      </c>
      <c r="CJ29" s="502"/>
      <c r="CL29" s="492">
        <v>25</v>
      </c>
      <c r="CM29" s="492">
        <v>3</v>
      </c>
      <c r="CN29" s="497">
        <f>IF(('Comparison Calculator'!$E$11-CM29)&gt;=0,0,IFERROR(-PPMT($CR$30/12,(CL29-24),($F$1-2)*12,$CR$29),0))</f>
        <v>0</v>
      </c>
      <c r="CO29" s="497" t="e">
        <f>IF(('Comparison Calculator'!$E$11-CM29)&gt;=0,$C$1*$CR$30/12,IFERROR(-IPMT($CR$30/12,(CL29-24),($F$1-2)*12,$CR$29,0),0))</f>
        <v>#N/A</v>
      </c>
      <c r="CP29" s="497" t="e">
        <f t="shared" si="10"/>
        <v>#N/A</v>
      </c>
      <c r="CQ29" s="497">
        <f t="shared" si="35"/>
        <v>1800000</v>
      </c>
      <c r="CR29" s="497">
        <f>CQ28</f>
        <v>1800000</v>
      </c>
      <c r="CS29" s="502"/>
      <c r="CU29" s="492">
        <v>25</v>
      </c>
      <c r="CV29" s="492">
        <v>3</v>
      </c>
      <c r="CW29" s="497">
        <f>IF(('Comparison Calculator'!$E$11-CV29)&gt;=0,0,IFERROR(-PPMT($DA$30/12,(CU29-24),($F$1-2)*12,$DA$29),0))</f>
        <v>0</v>
      </c>
      <c r="CX29" s="497" t="e">
        <f>IF(('Comparison Calculator'!$E$11-CV29)&gt;=0,$C$1*$DA$30/12,IFERROR(-IPMT($DA$30/12,(CU29-24),($F$1-2)*12,$DA$29,0),0))</f>
        <v>#N/A</v>
      </c>
      <c r="CY29" s="497" t="e">
        <f t="shared" si="11"/>
        <v>#N/A</v>
      </c>
      <c r="CZ29" s="497">
        <f t="shared" si="36"/>
        <v>1800000</v>
      </c>
      <c r="DA29" s="497">
        <f>CZ28</f>
        <v>1800000</v>
      </c>
      <c r="DB29" s="502"/>
      <c r="DD29" s="492">
        <v>25</v>
      </c>
      <c r="DE29" s="492">
        <v>3</v>
      </c>
      <c r="DF29" s="497">
        <f>IF(('Comparison Calculator'!$E$11-DE29)&gt;=0,0,IFERROR(-PPMT($DJ$30/12,(DD29-24),($F$1-2)*12,$DJ$29),0))</f>
        <v>0</v>
      </c>
      <c r="DG29" s="497" t="e">
        <f>IF(('Comparison Calculator'!$E$11-DE29)&gt;=0,$C$1*$DJ$30/12,IFERROR(-IPMT($DJ$30/12,(DD29-24),($F$1-2)*12,$DJ$29,0),0))</f>
        <v>#N/A</v>
      </c>
      <c r="DH29" s="497" t="e">
        <f t="shared" si="12"/>
        <v>#N/A</v>
      </c>
      <c r="DI29" s="497">
        <f t="shared" si="37"/>
        <v>1800000</v>
      </c>
      <c r="DJ29" s="497">
        <f>DI28</f>
        <v>1800000</v>
      </c>
      <c r="DK29" s="502"/>
    </row>
    <row r="30" spans="1:115">
      <c r="A30" s="492">
        <v>26</v>
      </c>
      <c r="B30" s="492">
        <v>3</v>
      </c>
      <c r="C30" s="497">
        <f>IF(('Comparison Calculator'!$E$11-B30)&gt;=0,0,IFERROR(-PPMT($G$30/12,(A30-24),($F$1-2)*12,$G$29),0))</f>
        <v>0</v>
      </c>
      <c r="D30" s="497">
        <f>IF(('Comparison Calculator'!$E$11-B30)&gt;=0,$C$1*$G$30/12,IFERROR(-IPMT($G$30/12,(A30-24),($F$1-2)*12,$G$29,0),0))</f>
        <v>9720</v>
      </c>
      <c r="E30" s="497">
        <f t="shared" si="0"/>
        <v>9720</v>
      </c>
      <c r="F30" s="497">
        <f t="shared" si="13"/>
        <v>1800000</v>
      </c>
      <c r="G30" s="504">
        <f>Rates!D24</f>
        <v>6.4799999999999996E-2</v>
      </c>
      <c r="H30" s="493"/>
      <c r="I30" s="489"/>
      <c r="J30" s="492">
        <v>26</v>
      </c>
      <c r="K30" s="492">
        <v>3</v>
      </c>
      <c r="L30" s="497">
        <f>IF(('Comparison Calculator'!$E$11-K30)&gt;=0,0,IFERROR(-PPMT($P$30/12,(J30-24),($F$1-2)*12,$P$29),0))</f>
        <v>0</v>
      </c>
      <c r="M30" s="497">
        <f>IF(('Comparison Calculator'!$E$11-K30)&gt;=0,$C$1*$P$30/12,IFERROR(-IPMT($P$30/12,(J30-24),($F$1-2)*12,$P$29,0),0))</f>
        <v>9720</v>
      </c>
      <c r="N30" s="497">
        <f t="shared" si="1"/>
        <v>9720</v>
      </c>
      <c r="O30" s="497">
        <f t="shared" si="26"/>
        <v>1800000</v>
      </c>
      <c r="P30" s="504">
        <f>Rates!L24</f>
        <v>6.4799999999999996E-2</v>
      </c>
      <c r="Q30" s="493"/>
      <c r="S30" s="492">
        <v>26</v>
      </c>
      <c r="T30" s="492">
        <v>3</v>
      </c>
      <c r="U30" s="497">
        <f>IF(('Comparison Calculator'!$E$11-T30)&gt;=0,0,IFERROR(-PPMT($Y$30/12,(S30-24),($F$1-2)*12,$Y$29),0))</f>
        <v>0</v>
      </c>
      <c r="V30" s="497" t="e">
        <f>IF(('Comparison Calculator'!$E$11-T30)&gt;=0,$C$1*$Y$30/12,IFERROR(-IPMT($Y$30/12,(S30-24),($F$1-2)*12,$Y$29,0),0))</f>
        <v>#N/A</v>
      </c>
      <c r="W30" s="497" t="e">
        <f t="shared" si="2"/>
        <v>#N/A</v>
      </c>
      <c r="X30" s="497">
        <f t="shared" si="27"/>
        <v>1800000</v>
      </c>
      <c r="Y30" s="504" t="e">
        <f>Rates!$E$45</f>
        <v>#N/A</v>
      </c>
      <c r="Z30" s="493"/>
      <c r="AB30" s="492">
        <v>26</v>
      </c>
      <c r="AC30" s="492">
        <v>3</v>
      </c>
      <c r="AD30" s="497">
        <f>IF(('Comparison Calculator'!$E$11-AC30)&gt;=0,0,IFERROR(-PPMT($AH$30/12,(AB30-24),($F$1-2)*12,$AH$29),0))</f>
        <v>0</v>
      </c>
      <c r="AE30" s="497" t="e">
        <f>IF(('Comparison Calculator'!$E$11-AC30)&gt;=0,$C$1*$AH$30/12,IFERROR(-IPMT($AH$30/12,(AB30-24),($F$1-2)*12,$AH$29,0),0))</f>
        <v>#N/A</v>
      </c>
      <c r="AF30" s="497" t="e">
        <f t="shared" si="3"/>
        <v>#N/A</v>
      </c>
      <c r="AG30" s="497">
        <f t="shared" si="28"/>
        <v>1800000</v>
      </c>
      <c r="AH30" s="504" t="e">
        <f>Rates!$M$45</f>
        <v>#N/A</v>
      </c>
      <c r="AI30" s="493"/>
      <c r="AK30" s="492">
        <v>26</v>
      </c>
      <c r="AL30" s="492">
        <v>3</v>
      </c>
      <c r="AM30" s="497">
        <f>IF(('Comparison Calculator'!$E$11-AL30)&gt;=0,0,IFERROR(-PPMT($AQ$30/12,(AK30-24),($F$1-2)*12,$AQ$29),0))</f>
        <v>0</v>
      </c>
      <c r="AN30" s="497">
        <f>IF(('Comparison Calculator'!$E$11-AL30)&gt;=0,$C$1*$AQ$30/12,IFERROR(-IPMT($AQ$30/12,(AK30-24),($F$1-2)*12,$AQ$29,0),0))</f>
        <v>8040</v>
      </c>
      <c r="AO30" s="497">
        <f t="shared" si="4"/>
        <v>8040</v>
      </c>
      <c r="AP30" s="497">
        <f t="shared" si="29"/>
        <v>1800000</v>
      </c>
      <c r="AQ30" s="504">
        <f>Rates!$C$67</f>
        <v>5.3600000000000002E-2</v>
      </c>
      <c r="AR30" s="493"/>
      <c r="AT30" s="492">
        <v>26</v>
      </c>
      <c r="AU30" s="492">
        <v>3</v>
      </c>
      <c r="AV30" s="497">
        <f>IF(('Comparison Calculator'!$E$11-AU30)&gt;=0,0,IFERROR(-PPMT($AZ$30/12,(AT30-24),($F$1-2)*12,$AZ$29),0))</f>
        <v>0</v>
      </c>
      <c r="AW30" s="497" t="e">
        <f>IF(('Comparison Calculator'!$E$11-AU30)&gt;=0,$C$1*$AZ$30/12,IFERROR(-IPMT($AZ$30/12,(AT30-24),($F$1-2)*12,$AZ$29,0),0))</f>
        <v>#N/A</v>
      </c>
      <c r="AX30" s="497" t="e">
        <f t="shared" si="5"/>
        <v>#N/A</v>
      </c>
      <c r="AY30" s="497">
        <f t="shared" si="30"/>
        <v>1800000</v>
      </c>
      <c r="AZ30" s="504" t="e">
        <f>Rates!$L$67</f>
        <v>#N/A</v>
      </c>
      <c r="BA30" s="493"/>
      <c r="BC30" s="492">
        <v>26</v>
      </c>
      <c r="BD30" s="492">
        <v>3</v>
      </c>
      <c r="BE30" s="497">
        <f>IF(('Comparison Calculator'!$E$11-BD30)&gt;=0,0,IFERROR(-PPMT($BI$30/12,(BC30-24),($F$1-2)*12,$BI$29),0))</f>
        <v>0</v>
      </c>
      <c r="BF30" s="497">
        <f>IF(('Comparison Calculator'!$E$11-BD30)&gt;=0,$C$1*$BI$30/12,IFERROR(-IPMT($BI$30/12,(BC30-24),($F$1-2)*12,$BI$29,0),0))</f>
        <v>7470</v>
      </c>
      <c r="BG30" s="497">
        <f t="shared" si="6"/>
        <v>7470</v>
      </c>
      <c r="BH30" s="497">
        <f t="shared" si="31"/>
        <v>1800000</v>
      </c>
      <c r="BI30" s="504">
        <v>4.9799999999999997E-2</v>
      </c>
      <c r="BJ30" s="493"/>
      <c r="BK30" s="492">
        <v>26</v>
      </c>
      <c r="BL30" s="492">
        <v>3</v>
      </c>
      <c r="BM30" s="497">
        <f>IF(('Comparison Calculator'!$E$11-BL30)&gt;=0,0,IFERROR(-PPMT($BQ$30/12,(BK30-24),($F$1-2)*12,$BQ$29),0))</f>
        <v>0</v>
      </c>
      <c r="BN30" s="497">
        <f>IF(('Comparison Calculator'!$E$11-BL30)&gt;=0,$C$1*$BQ$30/12,IFERROR(-IPMT($BQ$30/12,(BK30-24),($F$1-2)*12,$BQ$29,0),0))</f>
        <v>9720</v>
      </c>
      <c r="BO30" s="497">
        <f t="shared" si="7"/>
        <v>9720</v>
      </c>
      <c r="BP30" s="497">
        <f t="shared" si="32"/>
        <v>1800000</v>
      </c>
      <c r="BQ30" s="504">
        <f>Rates!$C$87</f>
        <v>6.4799999999999996E-2</v>
      </c>
      <c r="BR30" s="493"/>
      <c r="BT30" s="492">
        <v>26</v>
      </c>
      <c r="BU30" s="492">
        <v>3</v>
      </c>
      <c r="BV30" s="497">
        <f>IF(('Comparison Calculator'!$E$11-BU30)&gt;=0,0,IFERROR(-PPMT($BZ$30/12,(BT30-24),($F$1-2)*12,$BZ$29),0))</f>
        <v>0</v>
      </c>
      <c r="BW30" s="497">
        <f>IF(('Comparison Calculator'!$E$11-BU30)&gt;=0,$C$1*$BZ$30/12,IFERROR(-IPMT($BZ$30/12,(BT30-24),($F$1-2)*12,$BZ$29,0),0))</f>
        <v>9720</v>
      </c>
      <c r="BX30" s="497">
        <f t="shared" si="8"/>
        <v>9720</v>
      </c>
      <c r="BY30" s="497">
        <f t="shared" si="33"/>
        <v>1800000</v>
      </c>
      <c r="BZ30" s="504">
        <f>Rates!$K$87</f>
        <v>6.4799999999999996E-2</v>
      </c>
      <c r="CA30" s="493"/>
      <c r="CC30" s="492">
        <v>26</v>
      </c>
      <c r="CD30" s="492">
        <v>3</v>
      </c>
      <c r="CE30" s="497">
        <f>IF(('Comparison Calculator'!$E$11-CD30)&gt;=0,0,IFERROR(-PPMT($CI$30/12,(CC30-24),($F$1-2)*12,$CI$29),0))</f>
        <v>0</v>
      </c>
      <c r="CF30" s="497">
        <f>IF(('Comparison Calculator'!$E$11-CD30)&gt;=0,$C$1*$CI$30/12,IFERROR(-IPMT($CI$30/12,(CC30-24),($F$1-2)*12,$CI$29,0),0))</f>
        <v>9569.9999999999982</v>
      </c>
      <c r="CG30" s="497">
        <f t="shared" si="9"/>
        <v>9569.9999999999982</v>
      </c>
      <c r="CH30" s="497">
        <f t="shared" si="34"/>
        <v>1800000</v>
      </c>
      <c r="CI30" s="504">
        <f>Rates!$C$106</f>
        <v>6.3799999999999996E-2</v>
      </c>
      <c r="CJ30" s="493"/>
      <c r="CL30" s="492">
        <v>26</v>
      </c>
      <c r="CM30" s="492">
        <v>3</v>
      </c>
      <c r="CN30" s="497">
        <f>IF(('Comparison Calculator'!$E$11-CM30)&gt;=0,0,IFERROR(-PPMT($CR$30/12,(CL30-24),($F$1-2)*12,$CR$29),0))</f>
        <v>0</v>
      </c>
      <c r="CO30" s="497" t="e">
        <f>IF(('Comparison Calculator'!$E$11-CM30)&gt;=0,$C$1*$CR$30/12,IFERROR(-IPMT($CR$30/12,(CL30-24),($F$1-2)*12,$CR$29,0),0))</f>
        <v>#N/A</v>
      </c>
      <c r="CP30" s="497" t="e">
        <f t="shared" si="10"/>
        <v>#N/A</v>
      </c>
      <c r="CQ30" s="497">
        <f t="shared" si="35"/>
        <v>1800000</v>
      </c>
      <c r="CR30" s="504" t="e">
        <f>Rates!$B$127</f>
        <v>#N/A</v>
      </c>
      <c r="CS30" s="493"/>
      <c r="CU30" s="492">
        <v>26</v>
      </c>
      <c r="CV30" s="492">
        <v>3</v>
      </c>
      <c r="CW30" s="497">
        <f>IF(('Comparison Calculator'!$E$11-CV30)&gt;=0,0,IFERROR(-PPMT($DA$30/12,(CU30-24),($F$1-2)*12,$DA$29),0))</f>
        <v>0</v>
      </c>
      <c r="CX30" s="497" t="e">
        <f>IF(('Comparison Calculator'!$E$11-CV30)&gt;=0,$C$1*$DA$30/12,IFERROR(-IPMT($DA$30/12,(CU30-24),($F$1-2)*12,$DA$29,0),0))</f>
        <v>#N/A</v>
      </c>
      <c r="CY30" s="497" t="e">
        <f t="shared" si="11"/>
        <v>#N/A</v>
      </c>
      <c r="CZ30" s="497">
        <f t="shared" si="36"/>
        <v>1800000</v>
      </c>
      <c r="DA30" s="504" t="e">
        <f>Rates!$C$146</f>
        <v>#N/A</v>
      </c>
      <c r="DB30" s="493"/>
      <c r="DD30" s="492">
        <v>26</v>
      </c>
      <c r="DE30" s="492">
        <v>3</v>
      </c>
      <c r="DF30" s="497">
        <f>IF(('Comparison Calculator'!$E$11-DE30)&gt;=0,0,IFERROR(-PPMT($DJ$30/12,(DD30-24),($F$1-2)*12,$DJ$29),0))</f>
        <v>0</v>
      </c>
      <c r="DG30" s="497" t="e">
        <f>IF(('Comparison Calculator'!$E$11-DE30)&gt;=0,$C$1*$DJ$30/12,IFERROR(-IPMT($DJ$30/12,(DD30-24),($F$1-2)*12,$DJ$29,0),0))</f>
        <v>#N/A</v>
      </c>
      <c r="DH30" s="497" t="e">
        <f t="shared" si="12"/>
        <v>#N/A</v>
      </c>
      <c r="DI30" s="497">
        <f t="shared" si="37"/>
        <v>1800000</v>
      </c>
      <c r="DJ30" s="504" t="e">
        <f>Rates!$C$166</f>
        <v>#N/A</v>
      </c>
      <c r="DK30" s="493"/>
    </row>
    <row r="31" spans="1:115">
      <c r="A31" s="492">
        <v>27</v>
      </c>
      <c r="B31" s="492">
        <v>3</v>
      </c>
      <c r="C31" s="497">
        <f>IF(('Comparison Calculator'!$E$11-B31)&gt;=0,0,IFERROR(-PPMT($G$30/12,(A31-24),($F$1-2)*12,$G$29),0))</f>
        <v>0</v>
      </c>
      <c r="D31" s="497">
        <f>IF(('Comparison Calculator'!$E$11-B31)&gt;=0,$C$1*$G$30/12,IFERROR(-IPMT($G$30/12,(A31-24),($F$1-2)*12,$G$29,0),0))</f>
        <v>9720</v>
      </c>
      <c r="E31" s="497">
        <f t="shared" si="0"/>
        <v>9720</v>
      </c>
      <c r="F31" s="497">
        <f t="shared" si="13"/>
        <v>1800000</v>
      </c>
      <c r="G31" s="493"/>
      <c r="H31" s="493"/>
      <c r="I31" s="489"/>
      <c r="J31" s="492">
        <v>27</v>
      </c>
      <c r="K31" s="492">
        <v>3</v>
      </c>
      <c r="L31" s="497">
        <f>IF(('Comparison Calculator'!$E$11-K31)&gt;=0,0,IFERROR(-PPMT($P$30/12,(J31-24),($F$1-2)*12,$P$29),0))</f>
        <v>0</v>
      </c>
      <c r="M31" s="497">
        <f>IF(('Comparison Calculator'!$E$11-K31)&gt;=0,$C$1*$P$30/12,IFERROR(-IPMT($P$30/12,(J31-24),($F$1-2)*12,$P$29,0),0))</f>
        <v>9720</v>
      </c>
      <c r="N31" s="497">
        <f t="shared" si="1"/>
        <v>9720</v>
      </c>
      <c r="O31" s="497">
        <f t="shared" si="26"/>
        <v>1800000</v>
      </c>
      <c r="P31" s="493"/>
      <c r="Q31" s="493"/>
      <c r="S31" s="492">
        <v>27</v>
      </c>
      <c r="T31" s="492">
        <v>3</v>
      </c>
      <c r="U31" s="497">
        <f>IF(('Comparison Calculator'!$E$11-T31)&gt;=0,0,IFERROR(-PPMT($Y$30/12,(S31-24),($F$1-2)*12,$Y$29),0))</f>
        <v>0</v>
      </c>
      <c r="V31" s="497" t="e">
        <f>IF(('Comparison Calculator'!$E$11-T31)&gt;=0,$C$1*$Y$30/12,IFERROR(-IPMT($Y$30/12,(S31-24),($F$1-2)*12,$Y$29,0),0))</f>
        <v>#N/A</v>
      </c>
      <c r="W31" s="497" t="e">
        <f t="shared" si="2"/>
        <v>#N/A</v>
      </c>
      <c r="X31" s="497">
        <f t="shared" si="27"/>
        <v>1800000</v>
      </c>
      <c r="Y31" s="493"/>
      <c r="Z31" s="493"/>
      <c r="AB31" s="492">
        <v>27</v>
      </c>
      <c r="AC31" s="492">
        <v>3</v>
      </c>
      <c r="AD31" s="497">
        <f>IF(('Comparison Calculator'!$E$11-AC31)&gt;=0,0,IFERROR(-PPMT($AH$30/12,(AB31-24),($F$1-2)*12,$AH$29),0))</f>
        <v>0</v>
      </c>
      <c r="AE31" s="497" t="e">
        <f>IF(('Comparison Calculator'!$E$11-AC31)&gt;=0,$C$1*$AH$30/12,IFERROR(-IPMT($AH$30/12,(AB31-24),($F$1-2)*12,$AH$29,0),0))</f>
        <v>#N/A</v>
      </c>
      <c r="AF31" s="497" t="e">
        <f t="shared" si="3"/>
        <v>#N/A</v>
      </c>
      <c r="AG31" s="497">
        <f t="shared" si="28"/>
        <v>1800000</v>
      </c>
      <c r="AH31" s="493"/>
      <c r="AI31" s="493"/>
      <c r="AK31" s="492">
        <v>27</v>
      </c>
      <c r="AL31" s="492">
        <v>3</v>
      </c>
      <c r="AM31" s="497">
        <f>IF(('Comparison Calculator'!$E$11-AL31)&gt;=0,0,IFERROR(-PPMT($AQ$30/12,(AK31-24),($F$1-2)*12,$AQ$29),0))</f>
        <v>0</v>
      </c>
      <c r="AN31" s="497">
        <f>IF(('Comparison Calculator'!$E$11-AL31)&gt;=0,$C$1*$AQ$30/12,IFERROR(-IPMT($AQ$30/12,(AK31-24),($F$1-2)*12,$AQ$29,0),0))</f>
        <v>8040</v>
      </c>
      <c r="AO31" s="497">
        <f t="shared" si="4"/>
        <v>8040</v>
      </c>
      <c r="AP31" s="497">
        <f t="shared" si="29"/>
        <v>1800000</v>
      </c>
      <c r="AQ31" s="493"/>
      <c r="AR31" s="493"/>
      <c r="AT31" s="492">
        <v>27</v>
      </c>
      <c r="AU31" s="492">
        <v>3</v>
      </c>
      <c r="AV31" s="497">
        <f>IF(('Comparison Calculator'!$E$11-AU31)&gt;=0,0,IFERROR(-PPMT($AZ$30/12,(AT31-24),($F$1-2)*12,$AZ$29),0))</f>
        <v>0</v>
      </c>
      <c r="AW31" s="497" t="e">
        <f>IF(('Comparison Calculator'!$E$11-AU31)&gt;=0,$C$1*$AZ$30/12,IFERROR(-IPMT($AZ$30/12,(AT31-24),($F$1-2)*12,$AZ$29,0),0))</f>
        <v>#N/A</v>
      </c>
      <c r="AX31" s="497" t="e">
        <f t="shared" si="5"/>
        <v>#N/A</v>
      </c>
      <c r="AY31" s="497">
        <f t="shared" si="30"/>
        <v>1800000</v>
      </c>
      <c r="AZ31" s="493"/>
      <c r="BA31" s="493"/>
      <c r="BC31" s="492">
        <v>27</v>
      </c>
      <c r="BD31" s="492">
        <v>3</v>
      </c>
      <c r="BE31" s="497">
        <f>IF(('Comparison Calculator'!$E$11-BD31)&gt;=0,0,IFERROR(-PPMT($BI$30/12,(BC31-24),($F$1-2)*12,$BI$29),0))</f>
        <v>0</v>
      </c>
      <c r="BF31" s="497">
        <f>IF(('Comparison Calculator'!$E$11-BD31)&gt;=0,$C$1*$BI$30/12,IFERROR(-IPMT($BI$30/12,(BC31-24),($F$1-2)*12,$BI$29,0),0))</f>
        <v>7470</v>
      </c>
      <c r="BG31" s="497">
        <f t="shared" si="6"/>
        <v>7470</v>
      </c>
      <c r="BH31" s="497">
        <f t="shared" si="31"/>
        <v>1800000</v>
      </c>
      <c r="BI31" s="493"/>
      <c r="BJ31" s="493"/>
      <c r="BK31" s="492">
        <v>27</v>
      </c>
      <c r="BL31" s="492">
        <v>3</v>
      </c>
      <c r="BM31" s="497">
        <f>IF(('Comparison Calculator'!$E$11-BL31)&gt;=0,0,IFERROR(-PPMT($BQ$30/12,(BK31-24),($F$1-2)*12,$BQ$29),0))</f>
        <v>0</v>
      </c>
      <c r="BN31" s="497">
        <f>IF(('Comparison Calculator'!$E$11-BL31)&gt;=0,$C$1*$BQ$30/12,IFERROR(-IPMT($BQ$30/12,(BK31-24),($F$1-2)*12,$BQ$29,0),0))</f>
        <v>9720</v>
      </c>
      <c r="BO31" s="497">
        <f t="shared" si="7"/>
        <v>9720</v>
      </c>
      <c r="BP31" s="497">
        <f t="shared" si="32"/>
        <v>1800000</v>
      </c>
      <c r="BQ31" s="493"/>
      <c r="BR31" s="493"/>
      <c r="BT31" s="492">
        <v>27</v>
      </c>
      <c r="BU31" s="492">
        <v>3</v>
      </c>
      <c r="BV31" s="497">
        <f>IF(('Comparison Calculator'!$E$11-BU31)&gt;=0,0,IFERROR(-PPMT($BZ$30/12,(BT31-24),($F$1-2)*12,$BZ$29),0))</f>
        <v>0</v>
      </c>
      <c r="BW31" s="497">
        <f>IF(('Comparison Calculator'!$E$11-BU31)&gt;=0,$C$1*$BZ$30/12,IFERROR(-IPMT($BZ$30/12,(BT31-24),($F$1-2)*12,$BZ$29,0),0))</f>
        <v>9720</v>
      </c>
      <c r="BX31" s="497">
        <f t="shared" si="8"/>
        <v>9720</v>
      </c>
      <c r="BY31" s="497">
        <f t="shared" si="33"/>
        <v>1800000</v>
      </c>
      <c r="BZ31" s="493"/>
      <c r="CA31" s="493"/>
      <c r="CC31" s="492">
        <v>27</v>
      </c>
      <c r="CD31" s="492">
        <v>3</v>
      </c>
      <c r="CE31" s="497">
        <f>IF(('Comparison Calculator'!$E$11-CD31)&gt;=0,0,IFERROR(-PPMT($CI$30/12,(CC31-24),($F$1-2)*12,$CI$29),0))</f>
        <v>0</v>
      </c>
      <c r="CF31" s="497">
        <f>IF(('Comparison Calculator'!$E$11-CD31)&gt;=0,$C$1*$CI$30/12,IFERROR(-IPMT($CI$30/12,(CC31-24),($F$1-2)*12,$CI$29,0),0))</f>
        <v>9569.9999999999982</v>
      </c>
      <c r="CG31" s="497">
        <f t="shared" si="9"/>
        <v>9569.9999999999982</v>
      </c>
      <c r="CH31" s="497">
        <f t="shared" si="34"/>
        <v>1800000</v>
      </c>
      <c r="CI31" s="493"/>
      <c r="CJ31" s="493"/>
      <c r="CL31" s="492">
        <v>27</v>
      </c>
      <c r="CM31" s="492">
        <v>3</v>
      </c>
      <c r="CN31" s="497">
        <f>IF(('Comparison Calculator'!$E$11-CM31)&gt;=0,0,IFERROR(-PPMT($CR$30/12,(CL31-24),($F$1-2)*12,$CR$29),0))</f>
        <v>0</v>
      </c>
      <c r="CO31" s="497" t="e">
        <f>IF(('Comparison Calculator'!$E$11-CM31)&gt;=0,$C$1*$CR$30/12,IFERROR(-IPMT($CR$30/12,(CL31-24),($F$1-2)*12,$CR$29,0),0))</f>
        <v>#N/A</v>
      </c>
      <c r="CP31" s="497" t="e">
        <f t="shared" si="10"/>
        <v>#N/A</v>
      </c>
      <c r="CQ31" s="497">
        <f t="shared" si="35"/>
        <v>1800000</v>
      </c>
      <c r="CR31" s="493"/>
      <c r="CS31" s="493"/>
      <c r="CU31" s="492">
        <v>27</v>
      </c>
      <c r="CV31" s="492">
        <v>3</v>
      </c>
      <c r="CW31" s="497">
        <f>IF(('Comparison Calculator'!$E$11-CV31)&gt;=0,0,IFERROR(-PPMT($DA$30/12,(CU31-24),($F$1-2)*12,$DA$29),0))</f>
        <v>0</v>
      </c>
      <c r="CX31" s="497" t="e">
        <f>IF(('Comparison Calculator'!$E$11-CV31)&gt;=0,$C$1*$DA$30/12,IFERROR(-IPMT($DA$30/12,(CU31-24),($F$1-2)*12,$DA$29,0),0))</f>
        <v>#N/A</v>
      </c>
      <c r="CY31" s="497" t="e">
        <f t="shared" si="11"/>
        <v>#N/A</v>
      </c>
      <c r="CZ31" s="497">
        <f t="shared" si="36"/>
        <v>1800000</v>
      </c>
      <c r="DA31" s="493"/>
      <c r="DB31" s="493"/>
      <c r="DD31" s="492">
        <v>27</v>
      </c>
      <c r="DE31" s="492">
        <v>3</v>
      </c>
      <c r="DF31" s="497">
        <f>IF(('Comparison Calculator'!$E$11-DE31)&gt;=0,0,IFERROR(-PPMT($DJ$30/12,(DD31-24),($F$1-2)*12,$DJ$29),0))</f>
        <v>0</v>
      </c>
      <c r="DG31" s="497" t="e">
        <f>IF(('Comparison Calculator'!$E$11-DE31)&gt;=0,$C$1*$DJ$30/12,IFERROR(-IPMT($DJ$30/12,(DD31-24),($F$1-2)*12,$DJ$29,0),0))</f>
        <v>#N/A</v>
      </c>
      <c r="DH31" s="497" t="e">
        <f t="shared" si="12"/>
        <v>#N/A</v>
      </c>
      <c r="DI31" s="497">
        <f t="shared" si="37"/>
        <v>1800000</v>
      </c>
      <c r="DJ31" s="493"/>
      <c r="DK31" s="493"/>
    </row>
    <row r="32" spans="1:115">
      <c r="A32" s="492">
        <v>28</v>
      </c>
      <c r="B32" s="492">
        <v>3</v>
      </c>
      <c r="C32" s="497">
        <f>IF(('Comparison Calculator'!$E$11-B32)&gt;=0,0,IFERROR(-PPMT($G$30/12,(A32-24),($F$1-2)*12,$G$29),0))</f>
        <v>0</v>
      </c>
      <c r="D32" s="497">
        <f>IF(('Comparison Calculator'!$E$11-B32)&gt;=0,$C$1*$G$30/12,IFERROR(-IPMT($G$30/12,(A32-24),($F$1-2)*12,$G$29,0),0))</f>
        <v>9720</v>
      </c>
      <c r="E32" s="497">
        <f t="shared" si="0"/>
        <v>9720</v>
      </c>
      <c r="F32" s="497">
        <f t="shared" si="13"/>
        <v>1800000</v>
      </c>
      <c r="G32" s="493"/>
      <c r="H32" s="493"/>
      <c r="I32" s="489"/>
      <c r="J32" s="492">
        <v>28</v>
      </c>
      <c r="K32" s="492">
        <v>3</v>
      </c>
      <c r="L32" s="497">
        <f>IF(('Comparison Calculator'!$E$11-K32)&gt;=0,0,IFERROR(-PPMT($P$30/12,(J32-24),($F$1-2)*12,$P$29),0))</f>
        <v>0</v>
      </c>
      <c r="M32" s="497">
        <f>IF(('Comparison Calculator'!$E$11-K32)&gt;=0,$C$1*$P$30/12,IFERROR(-IPMT($P$30/12,(J32-24),($F$1-2)*12,$P$29,0),0))</f>
        <v>9720</v>
      </c>
      <c r="N32" s="497">
        <f t="shared" si="1"/>
        <v>9720</v>
      </c>
      <c r="O32" s="497">
        <f t="shared" si="26"/>
        <v>1800000</v>
      </c>
      <c r="P32" s="493"/>
      <c r="Q32" s="493"/>
      <c r="S32" s="492">
        <v>28</v>
      </c>
      <c r="T32" s="492">
        <v>3</v>
      </c>
      <c r="U32" s="497">
        <f>IF(('Comparison Calculator'!$E$11-T32)&gt;=0,0,IFERROR(-PPMT($Y$30/12,(S32-24),($F$1-2)*12,$Y$29),0))</f>
        <v>0</v>
      </c>
      <c r="V32" s="497" t="e">
        <f>IF(('Comparison Calculator'!$E$11-T32)&gt;=0,$C$1*$Y$30/12,IFERROR(-IPMT($Y$30/12,(S32-24),($F$1-2)*12,$Y$29,0),0))</f>
        <v>#N/A</v>
      </c>
      <c r="W32" s="497" t="e">
        <f t="shared" si="2"/>
        <v>#N/A</v>
      </c>
      <c r="X32" s="497">
        <f t="shared" si="27"/>
        <v>1800000</v>
      </c>
      <c r="Y32" s="493"/>
      <c r="Z32" s="493"/>
      <c r="AB32" s="492">
        <v>28</v>
      </c>
      <c r="AC32" s="492">
        <v>3</v>
      </c>
      <c r="AD32" s="497">
        <f>IF(('Comparison Calculator'!$E$11-AC32)&gt;=0,0,IFERROR(-PPMT($AH$30/12,(AB32-24),($F$1-2)*12,$AH$29),0))</f>
        <v>0</v>
      </c>
      <c r="AE32" s="497" t="e">
        <f>IF(('Comparison Calculator'!$E$11-AC32)&gt;=0,$C$1*$AH$30/12,IFERROR(-IPMT($AH$30/12,(AB32-24),($F$1-2)*12,$AH$29,0),0))</f>
        <v>#N/A</v>
      </c>
      <c r="AF32" s="497" t="e">
        <f t="shared" si="3"/>
        <v>#N/A</v>
      </c>
      <c r="AG32" s="497">
        <f t="shared" si="28"/>
        <v>1800000</v>
      </c>
      <c r="AH32" s="493"/>
      <c r="AI32" s="493"/>
      <c r="AK32" s="492">
        <v>28</v>
      </c>
      <c r="AL32" s="492">
        <v>3</v>
      </c>
      <c r="AM32" s="497">
        <f>IF(('Comparison Calculator'!$E$11-AL32)&gt;=0,0,IFERROR(-PPMT($AQ$30/12,(AK32-24),($F$1-2)*12,$AQ$29),0))</f>
        <v>0</v>
      </c>
      <c r="AN32" s="497">
        <f>IF(('Comparison Calculator'!$E$11-AL32)&gt;=0,$C$1*$AQ$30/12,IFERROR(-IPMT($AQ$30/12,(AK32-24),($F$1-2)*12,$AQ$29,0),0))</f>
        <v>8040</v>
      </c>
      <c r="AO32" s="497">
        <f t="shared" si="4"/>
        <v>8040</v>
      </c>
      <c r="AP32" s="497">
        <f t="shared" si="29"/>
        <v>1800000</v>
      </c>
      <c r="AQ32" s="493"/>
      <c r="AR32" s="493"/>
      <c r="AT32" s="492">
        <v>28</v>
      </c>
      <c r="AU32" s="492">
        <v>3</v>
      </c>
      <c r="AV32" s="497">
        <f>IF(('Comparison Calculator'!$E$11-AU32)&gt;=0,0,IFERROR(-PPMT($AZ$30/12,(AT32-24),($F$1-2)*12,$AZ$29),0))</f>
        <v>0</v>
      </c>
      <c r="AW32" s="497" t="e">
        <f>IF(('Comparison Calculator'!$E$11-AU32)&gt;=0,$C$1*$AZ$30/12,IFERROR(-IPMT($AZ$30/12,(AT32-24),($F$1-2)*12,$AZ$29,0),0))</f>
        <v>#N/A</v>
      </c>
      <c r="AX32" s="497" t="e">
        <f t="shared" si="5"/>
        <v>#N/A</v>
      </c>
      <c r="AY32" s="497">
        <f t="shared" si="30"/>
        <v>1800000</v>
      </c>
      <c r="AZ32" s="493"/>
      <c r="BA32" s="493"/>
      <c r="BC32" s="492">
        <v>28</v>
      </c>
      <c r="BD32" s="492">
        <v>3</v>
      </c>
      <c r="BE32" s="497">
        <f>IF(('Comparison Calculator'!$E$11-BD32)&gt;=0,0,IFERROR(-PPMT($BI$30/12,(BC32-24),($F$1-2)*12,$BI$29),0))</f>
        <v>0</v>
      </c>
      <c r="BF32" s="497">
        <f>IF(('Comparison Calculator'!$E$11-BD32)&gt;=0,$C$1*$BI$30/12,IFERROR(-IPMT($BI$30/12,(BC32-24),($F$1-2)*12,$BI$29,0),0))</f>
        <v>7470</v>
      </c>
      <c r="BG32" s="497">
        <f t="shared" si="6"/>
        <v>7470</v>
      </c>
      <c r="BH32" s="497">
        <f t="shared" si="31"/>
        <v>1800000</v>
      </c>
      <c r="BI32" s="493"/>
      <c r="BJ32" s="493"/>
      <c r="BK32" s="492">
        <v>28</v>
      </c>
      <c r="BL32" s="492">
        <v>3</v>
      </c>
      <c r="BM32" s="497">
        <f>IF(('Comparison Calculator'!$E$11-BL32)&gt;=0,0,IFERROR(-PPMT($BQ$30/12,(BK32-24),($F$1-2)*12,$BQ$29),0))</f>
        <v>0</v>
      </c>
      <c r="BN32" s="497">
        <f>IF(('Comparison Calculator'!$E$11-BL32)&gt;=0,$C$1*$BQ$30/12,IFERROR(-IPMT($BQ$30/12,(BK32-24),($F$1-2)*12,$BQ$29,0),0))</f>
        <v>9720</v>
      </c>
      <c r="BO32" s="497">
        <f t="shared" si="7"/>
        <v>9720</v>
      </c>
      <c r="BP32" s="497">
        <f t="shared" si="32"/>
        <v>1800000</v>
      </c>
      <c r="BQ32" s="493"/>
      <c r="BR32" s="493"/>
      <c r="BT32" s="492">
        <v>28</v>
      </c>
      <c r="BU32" s="492">
        <v>3</v>
      </c>
      <c r="BV32" s="497">
        <f>IF(('Comparison Calculator'!$E$11-BU32)&gt;=0,0,IFERROR(-PPMT($BZ$30/12,(BT32-24),($F$1-2)*12,$BZ$29),0))</f>
        <v>0</v>
      </c>
      <c r="BW32" s="497">
        <f>IF(('Comparison Calculator'!$E$11-BU32)&gt;=0,$C$1*$BZ$30/12,IFERROR(-IPMT($BZ$30/12,(BT32-24),($F$1-2)*12,$BZ$29,0),0))</f>
        <v>9720</v>
      </c>
      <c r="BX32" s="497">
        <f t="shared" si="8"/>
        <v>9720</v>
      </c>
      <c r="BY32" s="497">
        <f t="shared" si="33"/>
        <v>1800000</v>
      </c>
      <c r="BZ32" s="493"/>
      <c r="CA32" s="493"/>
      <c r="CC32" s="492">
        <v>28</v>
      </c>
      <c r="CD32" s="492">
        <v>3</v>
      </c>
      <c r="CE32" s="497">
        <f>IF(('Comparison Calculator'!$E$11-CD32)&gt;=0,0,IFERROR(-PPMT($CI$30/12,(CC32-24),($F$1-2)*12,$CI$29),0))</f>
        <v>0</v>
      </c>
      <c r="CF32" s="497">
        <f>IF(('Comparison Calculator'!$E$11-CD32)&gt;=0,$C$1*$CI$30/12,IFERROR(-IPMT($CI$30/12,(CC32-24),($F$1-2)*12,$CI$29,0),0))</f>
        <v>9569.9999999999982</v>
      </c>
      <c r="CG32" s="497">
        <f t="shared" si="9"/>
        <v>9569.9999999999982</v>
      </c>
      <c r="CH32" s="497">
        <f t="shared" si="34"/>
        <v>1800000</v>
      </c>
      <c r="CI32" s="493"/>
      <c r="CJ32" s="493"/>
      <c r="CL32" s="492">
        <v>28</v>
      </c>
      <c r="CM32" s="492">
        <v>3</v>
      </c>
      <c r="CN32" s="497">
        <f>IF(('Comparison Calculator'!$E$11-CM32)&gt;=0,0,IFERROR(-PPMT($CR$30/12,(CL32-24),($F$1-2)*12,$CR$29),0))</f>
        <v>0</v>
      </c>
      <c r="CO32" s="497" t="e">
        <f>IF(('Comparison Calculator'!$E$11-CM32)&gt;=0,$C$1*$CR$30/12,IFERROR(-IPMT($CR$30/12,(CL32-24),($F$1-2)*12,$CR$29,0),0))</f>
        <v>#N/A</v>
      </c>
      <c r="CP32" s="497" t="e">
        <f t="shared" si="10"/>
        <v>#N/A</v>
      </c>
      <c r="CQ32" s="497">
        <f t="shared" si="35"/>
        <v>1800000</v>
      </c>
      <c r="CR32" s="493"/>
      <c r="CS32" s="493"/>
      <c r="CU32" s="492">
        <v>28</v>
      </c>
      <c r="CV32" s="492">
        <v>3</v>
      </c>
      <c r="CW32" s="497">
        <f>IF(('Comparison Calculator'!$E$11-CV32)&gt;=0,0,IFERROR(-PPMT($DA$30/12,(CU32-24),($F$1-2)*12,$DA$29),0))</f>
        <v>0</v>
      </c>
      <c r="CX32" s="497" t="e">
        <f>IF(('Comparison Calculator'!$E$11-CV32)&gt;=0,$C$1*$DA$30/12,IFERROR(-IPMT($DA$30/12,(CU32-24),($F$1-2)*12,$DA$29,0),0))</f>
        <v>#N/A</v>
      </c>
      <c r="CY32" s="497" t="e">
        <f t="shared" si="11"/>
        <v>#N/A</v>
      </c>
      <c r="CZ32" s="497">
        <f t="shared" si="36"/>
        <v>1800000</v>
      </c>
      <c r="DA32" s="493"/>
      <c r="DB32" s="493"/>
      <c r="DD32" s="492">
        <v>28</v>
      </c>
      <c r="DE32" s="492">
        <v>3</v>
      </c>
      <c r="DF32" s="497">
        <f>IF(('Comparison Calculator'!$E$11-DE32)&gt;=0,0,IFERROR(-PPMT($DJ$30/12,(DD32-24),($F$1-2)*12,$DJ$29),0))</f>
        <v>0</v>
      </c>
      <c r="DG32" s="497" t="e">
        <f>IF(('Comparison Calculator'!$E$11-DE32)&gt;=0,$C$1*$DJ$30/12,IFERROR(-IPMT($DJ$30/12,(DD32-24),($F$1-2)*12,$DJ$29,0),0))</f>
        <v>#N/A</v>
      </c>
      <c r="DH32" s="497" t="e">
        <f t="shared" si="12"/>
        <v>#N/A</v>
      </c>
      <c r="DI32" s="497">
        <f t="shared" si="37"/>
        <v>1800000</v>
      </c>
      <c r="DJ32" s="493"/>
      <c r="DK32" s="493"/>
    </row>
    <row r="33" spans="1:115">
      <c r="A33" s="492">
        <v>29</v>
      </c>
      <c r="B33" s="492">
        <v>3</v>
      </c>
      <c r="C33" s="497">
        <f>IF(('Comparison Calculator'!$E$11-B33)&gt;=0,0,IFERROR(-PPMT($G$30/12,(A33-24),($F$1-2)*12,$G$29),0))</f>
        <v>0</v>
      </c>
      <c r="D33" s="497">
        <f>IF(('Comparison Calculator'!$E$11-B33)&gt;=0,$C$1*$G$30/12,IFERROR(-IPMT($G$30/12,(A33-24),($F$1-2)*12,$G$29,0),0))</f>
        <v>9720</v>
      </c>
      <c r="E33" s="497">
        <f t="shared" si="0"/>
        <v>9720</v>
      </c>
      <c r="F33" s="497">
        <f t="shared" si="13"/>
        <v>1800000</v>
      </c>
      <c r="G33" s="493"/>
      <c r="H33" s="493"/>
      <c r="I33" s="489"/>
      <c r="J33" s="492">
        <v>29</v>
      </c>
      <c r="K33" s="492">
        <v>3</v>
      </c>
      <c r="L33" s="497">
        <f>IF(('Comparison Calculator'!$E$11-K33)&gt;=0,0,IFERROR(-PPMT($P$30/12,(J33-24),($F$1-2)*12,$P$29),0))</f>
        <v>0</v>
      </c>
      <c r="M33" s="497">
        <f>IF(('Comparison Calculator'!$E$11-K33)&gt;=0,$C$1*$P$30/12,IFERROR(-IPMT($P$30/12,(J33-24),($F$1-2)*12,$P$29,0),0))</f>
        <v>9720</v>
      </c>
      <c r="N33" s="497">
        <f t="shared" si="1"/>
        <v>9720</v>
      </c>
      <c r="O33" s="497">
        <f t="shared" si="26"/>
        <v>1800000</v>
      </c>
      <c r="P33" s="493"/>
      <c r="Q33" s="493"/>
      <c r="S33" s="492">
        <v>29</v>
      </c>
      <c r="T33" s="492">
        <v>3</v>
      </c>
      <c r="U33" s="497">
        <f>IF(('Comparison Calculator'!$E$11-T33)&gt;=0,0,IFERROR(-PPMT($Y$30/12,(S33-24),($F$1-2)*12,$Y$29),0))</f>
        <v>0</v>
      </c>
      <c r="V33" s="497" t="e">
        <f>IF(('Comparison Calculator'!$E$11-T33)&gt;=0,$C$1*$Y$30/12,IFERROR(-IPMT($Y$30/12,(S33-24),($F$1-2)*12,$Y$29,0),0))</f>
        <v>#N/A</v>
      </c>
      <c r="W33" s="497" t="e">
        <f t="shared" si="2"/>
        <v>#N/A</v>
      </c>
      <c r="X33" s="497">
        <f t="shared" si="27"/>
        <v>1800000</v>
      </c>
      <c r="Y33" s="493"/>
      <c r="Z33" s="493"/>
      <c r="AB33" s="492">
        <v>29</v>
      </c>
      <c r="AC33" s="492">
        <v>3</v>
      </c>
      <c r="AD33" s="497">
        <f>IF(('Comparison Calculator'!$E$11-AC33)&gt;=0,0,IFERROR(-PPMT($AH$30/12,(AB33-24),($F$1-2)*12,$AH$29),0))</f>
        <v>0</v>
      </c>
      <c r="AE33" s="497" t="e">
        <f>IF(('Comparison Calculator'!$E$11-AC33)&gt;=0,$C$1*$AH$30/12,IFERROR(-IPMT($AH$30/12,(AB33-24),($F$1-2)*12,$AH$29,0),0))</f>
        <v>#N/A</v>
      </c>
      <c r="AF33" s="497" t="e">
        <f t="shared" si="3"/>
        <v>#N/A</v>
      </c>
      <c r="AG33" s="497">
        <f t="shared" si="28"/>
        <v>1800000</v>
      </c>
      <c r="AH33" s="493"/>
      <c r="AI33" s="493"/>
      <c r="AK33" s="492">
        <v>29</v>
      </c>
      <c r="AL33" s="492">
        <v>3</v>
      </c>
      <c r="AM33" s="497">
        <f>IF(('Comparison Calculator'!$E$11-AL33)&gt;=0,0,IFERROR(-PPMT($AQ$30/12,(AK33-24),($F$1-2)*12,$AQ$29),0))</f>
        <v>0</v>
      </c>
      <c r="AN33" s="497">
        <f>IF(('Comparison Calculator'!$E$11-AL33)&gt;=0,$C$1*$AQ$30/12,IFERROR(-IPMT($AQ$30/12,(AK33-24),($F$1-2)*12,$AQ$29,0),0))</f>
        <v>8040</v>
      </c>
      <c r="AO33" s="497">
        <f t="shared" si="4"/>
        <v>8040</v>
      </c>
      <c r="AP33" s="497">
        <f t="shared" si="29"/>
        <v>1800000</v>
      </c>
      <c r="AQ33" s="493"/>
      <c r="AR33" s="493"/>
      <c r="AT33" s="492">
        <v>29</v>
      </c>
      <c r="AU33" s="492">
        <v>3</v>
      </c>
      <c r="AV33" s="497">
        <f>IF(('Comparison Calculator'!$E$11-AU33)&gt;=0,0,IFERROR(-PPMT($AZ$30/12,(AT33-24),($F$1-2)*12,$AZ$29),0))</f>
        <v>0</v>
      </c>
      <c r="AW33" s="497" t="e">
        <f>IF(('Comparison Calculator'!$E$11-AU33)&gt;=0,$C$1*$AZ$30/12,IFERROR(-IPMT($AZ$30/12,(AT33-24),($F$1-2)*12,$AZ$29,0),0))</f>
        <v>#N/A</v>
      </c>
      <c r="AX33" s="497" t="e">
        <f t="shared" si="5"/>
        <v>#N/A</v>
      </c>
      <c r="AY33" s="497">
        <f t="shared" si="30"/>
        <v>1800000</v>
      </c>
      <c r="AZ33" s="493"/>
      <c r="BA33" s="493"/>
      <c r="BC33" s="492">
        <v>29</v>
      </c>
      <c r="BD33" s="492">
        <v>3</v>
      </c>
      <c r="BE33" s="497">
        <f>IF(('Comparison Calculator'!$E$11-BD33)&gt;=0,0,IFERROR(-PPMT($BI$30/12,(BC33-24),($F$1-2)*12,$BI$29),0))</f>
        <v>0</v>
      </c>
      <c r="BF33" s="497">
        <f>IF(('Comparison Calculator'!$E$11-BD33)&gt;=0,$C$1*$BI$30/12,IFERROR(-IPMT($BI$30/12,(BC33-24),($F$1-2)*12,$BI$29,0),0))</f>
        <v>7470</v>
      </c>
      <c r="BG33" s="497">
        <f t="shared" si="6"/>
        <v>7470</v>
      </c>
      <c r="BH33" s="497">
        <f t="shared" si="31"/>
        <v>1800000</v>
      </c>
      <c r="BI33" s="493"/>
      <c r="BJ33" s="493"/>
      <c r="BK33" s="492">
        <v>29</v>
      </c>
      <c r="BL33" s="492">
        <v>3</v>
      </c>
      <c r="BM33" s="497">
        <f>IF(('Comparison Calculator'!$E$11-BL33)&gt;=0,0,IFERROR(-PPMT($BQ$30/12,(BK33-24),($F$1-2)*12,$BQ$29),0))</f>
        <v>0</v>
      </c>
      <c r="BN33" s="497">
        <f>IF(('Comparison Calculator'!$E$11-BL33)&gt;=0,$C$1*$BQ$30/12,IFERROR(-IPMT($BQ$30/12,(BK33-24),($F$1-2)*12,$BQ$29,0),0))</f>
        <v>9720</v>
      </c>
      <c r="BO33" s="497">
        <f t="shared" si="7"/>
        <v>9720</v>
      </c>
      <c r="BP33" s="497">
        <f t="shared" si="32"/>
        <v>1800000</v>
      </c>
      <c r="BQ33" s="493"/>
      <c r="BR33" s="493"/>
      <c r="BT33" s="492">
        <v>29</v>
      </c>
      <c r="BU33" s="492">
        <v>3</v>
      </c>
      <c r="BV33" s="497">
        <f>IF(('Comparison Calculator'!$E$11-BU33)&gt;=0,0,IFERROR(-PPMT($BZ$30/12,(BT33-24),($F$1-2)*12,$BZ$29),0))</f>
        <v>0</v>
      </c>
      <c r="BW33" s="497">
        <f>IF(('Comparison Calculator'!$E$11-BU33)&gt;=0,$C$1*$BZ$30/12,IFERROR(-IPMT($BZ$30/12,(BT33-24),($F$1-2)*12,$BZ$29,0),0))</f>
        <v>9720</v>
      </c>
      <c r="BX33" s="497">
        <f t="shared" si="8"/>
        <v>9720</v>
      </c>
      <c r="BY33" s="497">
        <f t="shared" si="33"/>
        <v>1800000</v>
      </c>
      <c r="BZ33" s="493"/>
      <c r="CA33" s="493"/>
      <c r="CC33" s="492">
        <v>29</v>
      </c>
      <c r="CD33" s="492">
        <v>3</v>
      </c>
      <c r="CE33" s="497">
        <f>IF(('Comparison Calculator'!$E$11-CD33)&gt;=0,0,IFERROR(-PPMT($CI$30/12,(CC33-24),($F$1-2)*12,$CI$29),0))</f>
        <v>0</v>
      </c>
      <c r="CF33" s="497">
        <f>IF(('Comparison Calculator'!$E$11-CD33)&gt;=0,$C$1*$CI$30/12,IFERROR(-IPMT($CI$30/12,(CC33-24),($F$1-2)*12,$CI$29,0),0))</f>
        <v>9569.9999999999982</v>
      </c>
      <c r="CG33" s="497">
        <f t="shared" si="9"/>
        <v>9569.9999999999982</v>
      </c>
      <c r="CH33" s="497">
        <f t="shared" si="34"/>
        <v>1800000</v>
      </c>
      <c r="CI33" s="493"/>
      <c r="CJ33" s="493"/>
      <c r="CL33" s="492">
        <v>29</v>
      </c>
      <c r="CM33" s="492">
        <v>3</v>
      </c>
      <c r="CN33" s="497">
        <f>IF(('Comparison Calculator'!$E$11-CM33)&gt;=0,0,IFERROR(-PPMT($CR$30/12,(CL33-24),($F$1-2)*12,$CR$29),0))</f>
        <v>0</v>
      </c>
      <c r="CO33" s="497" t="e">
        <f>IF(('Comparison Calculator'!$E$11-CM33)&gt;=0,$C$1*$CR$30/12,IFERROR(-IPMT($CR$30/12,(CL33-24),($F$1-2)*12,$CR$29,0),0))</f>
        <v>#N/A</v>
      </c>
      <c r="CP33" s="497" t="e">
        <f t="shared" si="10"/>
        <v>#N/A</v>
      </c>
      <c r="CQ33" s="497">
        <f t="shared" si="35"/>
        <v>1800000</v>
      </c>
      <c r="CR33" s="493"/>
      <c r="CS33" s="493"/>
      <c r="CU33" s="492">
        <v>29</v>
      </c>
      <c r="CV33" s="492">
        <v>3</v>
      </c>
      <c r="CW33" s="497">
        <f>IF(('Comparison Calculator'!$E$11-CV33)&gt;=0,0,IFERROR(-PPMT($DA$30/12,(CU33-24),($F$1-2)*12,$DA$29),0))</f>
        <v>0</v>
      </c>
      <c r="CX33" s="497" t="e">
        <f>IF(('Comparison Calculator'!$E$11-CV33)&gt;=0,$C$1*$DA$30/12,IFERROR(-IPMT($DA$30/12,(CU33-24),($F$1-2)*12,$DA$29,0),0))</f>
        <v>#N/A</v>
      </c>
      <c r="CY33" s="497" t="e">
        <f t="shared" si="11"/>
        <v>#N/A</v>
      </c>
      <c r="CZ33" s="497">
        <f t="shared" si="36"/>
        <v>1800000</v>
      </c>
      <c r="DA33" s="493"/>
      <c r="DB33" s="493"/>
      <c r="DD33" s="492">
        <v>29</v>
      </c>
      <c r="DE33" s="492">
        <v>3</v>
      </c>
      <c r="DF33" s="497">
        <f>IF(('Comparison Calculator'!$E$11-DE33)&gt;=0,0,IFERROR(-PPMT($DJ$30/12,(DD33-24),($F$1-2)*12,$DJ$29),0))</f>
        <v>0</v>
      </c>
      <c r="DG33" s="497" t="e">
        <f>IF(('Comparison Calculator'!$E$11-DE33)&gt;=0,$C$1*$DJ$30/12,IFERROR(-IPMT($DJ$30/12,(DD33-24),($F$1-2)*12,$DJ$29,0),0))</f>
        <v>#N/A</v>
      </c>
      <c r="DH33" s="497" t="e">
        <f t="shared" si="12"/>
        <v>#N/A</v>
      </c>
      <c r="DI33" s="497">
        <f t="shared" si="37"/>
        <v>1800000</v>
      </c>
      <c r="DJ33" s="493"/>
      <c r="DK33" s="493"/>
    </row>
    <row r="34" spans="1:115">
      <c r="A34" s="492">
        <v>30</v>
      </c>
      <c r="B34" s="492">
        <v>3</v>
      </c>
      <c r="C34" s="497">
        <f>IF(('Comparison Calculator'!$E$11-B34)&gt;=0,0,IFERROR(-PPMT($G$30/12,(A34-24),($F$1-2)*12,$G$29),0))</f>
        <v>0</v>
      </c>
      <c r="D34" s="497">
        <f>IF(('Comparison Calculator'!$E$11-B34)&gt;=0,$C$1*$G$30/12,IFERROR(-IPMT($G$30/12,(A34-24),($F$1-2)*12,$G$29,0),0))</f>
        <v>9720</v>
      </c>
      <c r="E34" s="497">
        <f t="shared" si="0"/>
        <v>9720</v>
      </c>
      <c r="F34" s="497">
        <f t="shared" si="13"/>
        <v>1800000</v>
      </c>
      <c r="G34" s="493"/>
      <c r="H34" s="493"/>
      <c r="I34" s="489"/>
      <c r="J34" s="492">
        <v>30</v>
      </c>
      <c r="K34" s="492">
        <v>3</v>
      </c>
      <c r="L34" s="497">
        <f>IF(('Comparison Calculator'!$E$11-K34)&gt;=0,0,IFERROR(-PPMT($P$30/12,(J34-24),($F$1-2)*12,$P$29),0))</f>
        <v>0</v>
      </c>
      <c r="M34" s="497">
        <f>IF(('Comparison Calculator'!$E$11-K34)&gt;=0,$C$1*$P$30/12,IFERROR(-IPMT($P$30/12,(J34-24),($F$1-2)*12,$P$29,0),0))</f>
        <v>9720</v>
      </c>
      <c r="N34" s="497">
        <f t="shared" si="1"/>
        <v>9720</v>
      </c>
      <c r="O34" s="497">
        <f t="shared" si="26"/>
        <v>1800000</v>
      </c>
      <c r="P34" s="493"/>
      <c r="Q34" s="493"/>
      <c r="S34" s="492">
        <v>30</v>
      </c>
      <c r="T34" s="492">
        <v>3</v>
      </c>
      <c r="U34" s="497">
        <f>IF(('Comparison Calculator'!$E$11-T34)&gt;=0,0,IFERROR(-PPMT($Y$30/12,(S34-24),($F$1-2)*12,$Y$29),0))</f>
        <v>0</v>
      </c>
      <c r="V34" s="497" t="e">
        <f>IF(('Comparison Calculator'!$E$11-T34)&gt;=0,$C$1*$Y$30/12,IFERROR(-IPMT($Y$30/12,(S34-24),($F$1-2)*12,$Y$29,0),0))</f>
        <v>#N/A</v>
      </c>
      <c r="W34" s="497" t="e">
        <f t="shared" si="2"/>
        <v>#N/A</v>
      </c>
      <c r="X34" s="497">
        <f t="shared" si="27"/>
        <v>1800000</v>
      </c>
      <c r="Y34" s="493"/>
      <c r="Z34" s="493"/>
      <c r="AB34" s="492">
        <v>30</v>
      </c>
      <c r="AC34" s="492">
        <v>3</v>
      </c>
      <c r="AD34" s="497">
        <f>IF(('Comparison Calculator'!$E$11-AC34)&gt;=0,0,IFERROR(-PPMT($AH$30/12,(AB34-24),($F$1-2)*12,$AH$29),0))</f>
        <v>0</v>
      </c>
      <c r="AE34" s="497" t="e">
        <f>IF(('Comparison Calculator'!$E$11-AC34)&gt;=0,$C$1*$AH$30/12,IFERROR(-IPMT($AH$30/12,(AB34-24),($F$1-2)*12,$AH$29,0),0))</f>
        <v>#N/A</v>
      </c>
      <c r="AF34" s="497" t="e">
        <f t="shared" si="3"/>
        <v>#N/A</v>
      </c>
      <c r="AG34" s="497">
        <f t="shared" si="28"/>
        <v>1800000</v>
      </c>
      <c r="AH34" s="493"/>
      <c r="AI34" s="493"/>
      <c r="AK34" s="492">
        <v>30</v>
      </c>
      <c r="AL34" s="492">
        <v>3</v>
      </c>
      <c r="AM34" s="497">
        <f>IF(('Comparison Calculator'!$E$11-AL34)&gt;=0,0,IFERROR(-PPMT($AQ$30/12,(AK34-24),($F$1-2)*12,$AQ$29),0))</f>
        <v>0</v>
      </c>
      <c r="AN34" s="497">
        <f>IF(('Comparison Calculator'!$E$11-AL34)&gt;=0,$C$1*$AQ$30/12,IFERROR(-IPMT($AQ$30/12,(AK34-24),($F$1-2)*12,$AQ$29,0),0))</f>
        <v>8040</v>
      </c>
      <c r="AO34" s="497">
        <f t="shared" si="4"/>
        <v>8040</v>
      </c>
      <c r="AP34" s="497">
        <f t="shared" si="29"/>
        <v>1800000</v>
      </c>
      <c r="AQ34" s="493"/>
      <c r="AR34" s="493"/>
      <c r="AT34" s="492">
        <v>30</v>
      </c>
      <c r="AU34" s="492">
        <v>3</v>
      </c>
      <c r="AV34" s="497">
        <f>IF(('Comparison Calculator'!$E$11-AU34)&gt;=0,0,IFERROR(-PPMT($AZ$30/12,(AT34-24),($F$1-2)*12,$AZ$29),0))</f>
        <v>0</v>
      </c>
      <c r="AW34" s="497" t="e">
        <f>IF(('Comparison Calculator'!$E$11-AU34)&gt;=0,$C$1*$AZ$30/12,IFERROR(-IPMT($AZ$30/12,(AT34-24),($F$1-2)*12,$AZ$29,0),0))</f>
        <v>#N/A</v>
      </c>
      <c r="AX34" s="497" t="e">
        <f t="shared" si="5"/>
        <v>#N/A</v>
      </c>
      <c r="AY34" s="497">
        <f t="shared" si="30"/>
        <v>1800000</v>
      </c>
      <c r="AZ34" s="493"/>
      <c r="BA34" s="493"/>
      <c r="BC34" s="492">
        <v>30</v>
      </c>
      <c r="BD34" s="492">
        <v>3</v>
      </c>
      <c r="BE34" s="497">
        <f>IF(('Comparison Calculator'!$E$11-BD34)&gt;=0,0,IFERROR(-PPMT($BI$30/12,(BC34-24),($F$1-2)*12,$BI$29),0))</f>
        <v>0</v>
      </c>
      <c r="BF34" s="497">
        <f>IF(('Comparison Calculator'!$E$11-BD34)&gt;=0,$C$1*$BI$30/12,IFERROR(-IPMT($BI$30/12,(BC34-24),($F$1-2)*12,$BI$29,0),0))</f>
        <v>7470</v>
      </c>
      <c r="BG34" s="497">
        <f t="shared" si="6"/>
        <v>7470</v>
      </c>
      <c r="BH34" s="497">
        <f t="shared" si="31"/>
        <v>1800000</v>
      </c>
      <c r="BI34" s="493"/>
      <c r="BJ34" s="493"/>
      <c r="BK34" s="492">
        <v>30</v>
      </c>
      <c r="BL34" s="492">
        <v>3</v>
      </c>
      <c r="BM34" s="497">
        <f>IF(('Comparison Calculator'!$E$11-BL34)&gt;=0,0,IFERROR(-PPMT($BQ$30/12,(BK34-24),($F$1-2)*12,$BQ$29),0))</f>
        <v>0</v>
      </c>
      <c r="BN34" s="497">
        <f>IF(('Comparison Calculator'!$E$11-BL34)&gt;=0,$C$1*$BQ$30/12,IFERROR(-IPMT($BQ$30/12,(BK34-24),($F$1-2)*12,$BQ$29,0),0))</f>
        <v>9720</v>
      </c>
      <c r="BO34" s="497">
        <f t="shared" si="7"/>
        <v>9720</v>
      </c>
      <c r="BP34" s="497">
        <f t="shared" si="32"/>
        <v>1800000</v>
      </c>
      <c r="BQ34" s="493"/>
      <c r="BR34" s="493"/>
      <c r="BT34" s="492">
        <v>30</v>
      </c>
      <c r="BU34" s="492">
        <v>3</v>
      </c>
      <c r="BV34" s="497">
        <f>IF(('Comparison Calculator'!$E$11-BU34)&gt;=0,0,IFERROR(-PPMT($BZ$30/12,(BT34-24),($F$1-2)*12,$BZ$29),0))</f>
        <v>0</v>
      </c>
      <c r="BW34" s="497">
        <f>IF(('Comparison Calculator'!$E$11-BU34)&gt;=0,$C$1*$BZ$30/12,IFERROR(-IPMT($BZ$30/12,(BT34-24),($F$1-2)*12,$BZ$29,0),0))</f>
        <v>9720</v>
      </c>
      <c r="BX34" s="497">
        <f t="shared" si="8"/>
        <v>9720</v>
      </c>
      <c r="BY34" s="497">
        <f t="shared" si="33"/>
        <v>1800000</v>
      </c>
      <c r="BZ34" s="493"/>
      <c r="CA34" s="493"/>
      <c r="CC34" s="492">
        <v>30</v>
      </c>
      <c r="CD34" s="492">
        <v>3</v>
      </c>
      <c r="CE34" s="497">
        <f>IF(('Comparison Calculator'!$E$11-CD34)&gt;=0,0,IFERROR(-PPMT($CI$30/12,(CC34-24),($F$1-2)*12,$CI$29),0))</f>
        <v>0</v>
      </c>
      <c r="CF34" s="497">
        <f>IF(('Comparison Calculator'!$E$11-CD34)&gt;=0,$C$1*$CI$30/12,IFERROR(-IPMT($CI$30/12,(CC34-24),($F$1-2)*12,$CI$29,0),0))</f>
        <v>9569.9999999999982</v>
      </c>
      <c r="CG34" s="497">
        <f t="shared" si="9"/>
        <v>9569.9999999999982</v>
      </c>
      <c r="CH34" s="497">
        <f t="shared" si="34"/>
        <v>1800000</v>
      </c>
      <c r="CI34" s="493"/>
      <c r="CJ34" s="493"/>
      <c r="CL34" s="492">
        <v>30</v>
      </c>
      <c r="CM34" s="492">
        <v>3</v>
      </c>
      <c r="CN34" s="497">
        <f>IF(('Comparison Calculator'!$E$11-CM34)&gt;=0,0,IFERROR(-PPMT($CR$30/12,(CL34-24),($F$1-2)*12,$CR$29),0))</f>
        <v>0</v>
      </c>
      <c r="CO34" s="497" t="e">
        <f>IF(('Comparison Calculator'!$E$11-CM34)&gt;=0,$C$1*$CR$30/12,IFERROR(-IPMT($CR$30/12,(CL34-24),($F$1-2)*12,$CR$29,0),0))</f>
        <v>#N/A</v>
      </c>
      <c r="CP34" s="497" t="e">
        <f t="shared" si="10"/>
        <v>#N/A</v>
      </c>
      <c r="CQ34" s="497">
        <f t="shared" si="35"/>
        <v>1800000</v>
      </c>
      <c r="CR34" s="493"/>
      <c r="CS34" s="493"/>
      <c r="CU34" s="492">
        <v>30</v>
      </c>
      <c r="CV34" s="492">
        <v>3</v>
      </c>
      <c r="CW34" s="497">
        <f>IF(('Comparison Calculator'!$E$11-CV34)&gt;=0,0,IFERROR(-PPMT($DA$30/12,(CU34-24),($F$1-2)*12,$DA$29),0))</f>
        <v>0</v>
      </c>
      <c r="CX34" s="497" t="e">
        <f>IF(('Comparison Calculator'!$E$11-CV34)&gt;=0,$C$1*$DA$30/12,IFERROR(-IPMT($DA$30/12,(CU34-24),($F$1-2)*12,$DA$29,0),0))</f>
        <v>#N/A</v>
      </c>
      <c r="CY34" s="497" t="e">
        <f t="shared" si="11"/>
        <v>#N/A</v>
      </c>
      <c r="CZ34" s="497">
        <f t="shared" si="36"/>
        <v>1800000</v>
      </c>
      <c r="DA34" s="493"/>
      <c r="DB34" s="493"/>
      <c r="DD34" s="492">
        <v>30</v>
      </c>
      <c r="DE34" s="492">
        <v>3</v>
      </c>
      <c r="DF34" s="497">
        <f>IF(('Comparison Calculator'!$E$11-DE34)&gt;=0,0,IFERROR(-PPMT($DJ$30/12,(DD34-24),($F$1-2)*12,$DJ$29),0))</f>
        <v>0</v>
      </c>
      <c r="DG34" s="497" t="e">
        <f>IF(('Comparison Calculator'!$E$11-DE34)&gt;=0,$C$1*$DJ$30/12,IFERROR(-IPMT($DJ$30/12,(DD34-24),($F$1-2)*12,$DJ$29,0),0))</f>
        <v>#N/A</v>
      </c>
      <c r="DH34" s="497" t="e">
        <f t="shared" si="12"/>
        <v>#N/A</v>
      </c>
      <c r="DI34" s="497">
        <f t="shared" si="37"/>
        <v>1800000</v>
      </c>
      <c r="DJ34" s="493"/>
      <c r="DK34" s="493"/>
    </row>
    <row r="35" spans="1:115">
      <c r="A35" s="492">
        <v>31</v>
      </c>
      <c r="B35" s="492">
        <v>3</v>
      </c>
      <c r="C35" s="497">
        <f>IF(('Comparison Calculator'!$E$11-B35)&gt;=0,0,IFERROR(-PPMT($G$30/12,(A35-24),($F$1-2)*12,$G$29),0))</f>
        <v>0</v>
      </c>
      <c r="D35" s="497">
        <f>IF(('Comparison Calculator'!$E$11-B35)&gt;=0,$C$1*$G$30/12,IFERROR(-IPMT($G$30/12,(A35-24),($F$1-2)*12,$G$29,0),0))</f>
        <v>9720</v>
      </c>
      <c r="E35" s="497">
        <f t="shared" si="0"/>
        <v>9720</v>
      </c>
      <c r="F35" s="497">
        <f t="shared" si="13"/>
        <v>1800000</v>
      </c>
      <c r="G35" s="493"/>
      <c r="H35" s="493"/>
      <c r="I35" s="489"/>
      <c r="J35" s="492">
        <v>31</v>
      </c>
      <c r="K35" s="492">
        <v>3</v>
      </c>
      <c r="L35" s="497">
        <f>IF(('Comparison Calculator'!$E$11-K35)&gt;=0,0,IFERROR(-PPMT($P$30/12,(J35-24),($F$1-2)*12,$P$29),0))</f>
        <v>0</v>
      </c>
      <c r="M35" s="497">
        <f>IF(('Comparison Calculator'!$E$11-K35)&gt;=0,$C$1*$P$30/12,IFERROR(-IPMT($P$30/12,(J35-24),($F$1-2)*12,$P$29,0),0))</f>
        <v>9720</v>
      </c>
      <c r="N35" s="497">
        <f t="shared" si="1"/>
        <v>9720</v>
      </c>
      <c r="O35" s="497">
        <f t="shared" si="26"/>
        <v>1800000</v>
      </c>
      <c r="P35" s="493"/>
      <c r="Q35" s="493"/>
      <c r="S35" s="492">
        <v>31</v>
      </c>
      <c r="T35" s="492">
        <v>3</v>
      </c>
      <c r="U35" s="497">
        <f>IF(('Comparison Calculator'!$E$11-T35)&gt;=0,0,IFERROR(-PPMT($Y$30/12,(S35-24),($F$1-2)*12,$Y$29),0))</f>
        <v>0</v>
      </c>
      <c r="V35" s="497" t="e">
        <f>IF(('Comparison Calculator'!$E$11-T35)&gt;=0,$C$1*$Y$30/12,IFERROR(-IPMT($Y$30/12,(S35-24),($F$1-2)*12,$Y$29,0),0))</f>
        <v>#N/A</v>
      </c>
      <c r="W35" s="497" t="e">
        <f t="shared" si="2"/>
        <v>#N/A</v>
      </c>
      <c r="X35" s="497">
        <f t="shared" si="27"/>
        <v>1800000</v>
      </c>
      <c r="Y35" s="493"/>
      <c r="Z35" s="493"/>
      <c r="AB35" s="492">
        <v>31</v>
      </c>
      <c r="AC35" s="492">
        <v>3</v>
      </c>
      <c r="AD35" s="497">
        <f>IF(('Comparison Calculator'!$E$11-AC35)&gt;=0,0,IFERROR(-PPMT($AH$30/12,(AB35-24),($F$1-2)*12,$AH$29),0))</f>
        <v>0</v>
      </c>
      <c r="AE35" s="497" t="e">
        <f>IF(('Comparison Calculator'!$E$11-AC35)&gt;=0,$C$1*$AH$30/12,IFERROR(-IPMT($AH$30/12,(AB35-24),($F$1-2)*12,$AH$29,0),0))</f>
        <v>#N/A</v>
      </c>
      <c r="AF35" s="497" t="e">
        <f t="shared" si="3"/>
        <v>#N/A</v>
      </c>
      <c r="AG35" s="497">
        <f t="shared" si="28"/>
        <v>1800000</v>
      </c>
      <c r="AH35" s="493"/>
      <c r="AI35" s="493"/>
      <c r="AK35" s="492">
        <v>31</v>
      </c>
      <c r="AL35" s="492">
        <v>3</v>
      </c>
      <c r="AM35" s="497">
        <f>IF(('Comparison Calculator'!$E$11-AL35)&gt;=0,0,IFERROR(-PPMT($AQ$30/12,(AK35-24),($F$1-2)*12,$AQ$29),0))</f>
        <v>0</v>
      </c>
      <c r="AN35" s="497">
        <f>IF(('Comparison Calculator'!$E$11-AL35)&gt;=0,$C$1*$AQ$30/12,IFERROR(-IPMT($AQ$30/12,(AK35-24),($F$1-2)*12,$AQ$29,0),0))</f>
        <v>8040</v>
      </c>
      <c r="AO35" s="497">
        <f t="shared" si="4"/>
        <v>8040</v>
      </c>
      <c r="AP35" s="497">
        <f t="shared" si="29"/>
        <v>1800000</v>
      </c>
      <c r="AQ35" s="493"/>
      <c r="AR35" s="493"/>
      <c r="AT35" s="492">
        <v>31</v>
      </c>
      <c r="AU35" s="492">
        <v>3</v>
      </c>
      <c r="AV35" s="497">
        <f>IF(('Comparison Calculator'!$E$11-AU35)&gt;=0,0,IFERROR(-PPMT($AZ$30/12,(AT35-24),($F$1-2)*12,$AZ$29),0))</f>
        <v>0</v>
      </c>
      <c r="AW35" s="497" t="e">
        <f>IF(('Comparison Calculator'!$E$11-AU35)&gt;=0,$C$1*$AZ$30/12,IFERROR(-IPMT($AZ$30/12,(AT35-24),($F$1-2)*12,$AZ$29,0),0))</f>
        <v>#N/A</v>
      </c>
      <c r="AX35" s="497" t="e">
        <f t="shared" si="5"/>
        <v>#N/A</v>
      </c>
      <c r="AY35" s="497">
        <f t="shared" si="30"/>
        <v>1800000</v>
      </c>
      <c r="AZ35" s="493"/>
      <c r="BA35" s="493"/>
      <c r="BC35" s="492">
        <v>31</v>
      </c>
      <c r="BD35" s="492">
        <v>3</v>
      </c>
      <c r="BE35" s="497">
        <f>IF(('Comparison Calculator'!$E$11-BD35)&gt;=0,0,IFERROR(-PPMT($BI$30/12,(BC35-24),($F$1-2)*12,$BI$29),0))</f>
        <v>0</v>
      </c>
      <c r="BF35" s="497">
        <f>IF(('Comparison Calculator'!$E$11-BD35)&gt;=0,$C$1*$BI$30/12,IFERROR(-IPMT($BI$30/12,(BC35-24),($F$1-2)*12,$BI$29,0),0))</f>
        <v>7470</v>
      </c>
      <c r="BG35" s="497">
        <f t="shared" si="6"/>
        <v>7470</v>
      </c>
      <c r="BH35" s="497">
        <f t="shared" si="31"/>
        <v>1800000</v>
      </c>
      <c r="BI35" s="493"/>
      <c r="BJ35" s="493"/>
      <c r="BK35" s="492">
        <v>31</v>
      </c>
      <c r="BL35" s="492">
        <v>3</v>
      </c>
      <c r="BM35" s="497">
        <f>IF(('Comparison Calculator'!$E$11-BL35)&gt;=0,0,IFERROR(-PPMT($BQ$30/12,(BK35-24),($F$1-2)*12,$BQ$29),0))</f>
        <v>0</v>
      </c>
      <c r="BN35" s="497">
        <f>IF(('Comparison Calculator'!$E$11-BL35)&gt;=0,$C$1*$BQ$30/12,IFERROR(-IPMT($BQ$30/12,(BK35-24),($F$1-2)*12,$BQ$29,0),0))</f>
        <v>9720</v>
      </c>
      <c r="BO35" s="497">
        <f t="shared" si="7"/>
        <v>9720</v>
      </c>
      <c r="BP35" s="497">
        <f t="shared" si="32"/>
        <v>1800000</v>
      </c>
      <c r="BQ35" s="493"/>
      <c r="BR35" s="493"/>
      <c r="BT35" s="492">
        <v>31</v>
      </c>
      <c r="BU35" s="492">
        <v>3</v>
      </c>
      <c r="BV35" s="497">
        <f>IF(('Comparison Calculator'!$E$11-BU35)&gt;=0,0,IFERROR(-PPMT($BZ$30/12,(BT35-24),($F$1-2)*12,$BZ$29),0))</f>
        <v>0</v>
      </c>
      <c r="BW35" s="497">
        <f>IF(('Comparison Calculator'!$E$11-BU35)&gt;=0,$C$1*$BZ$30/12,IFERROR(-IPMT($BZ$30/12,(BT35-24),($F$1-2)*12,$BZ$29,0),0))</f>
        <v>9720</v>
      </c>
      <c r="BX35" s="497">
        <f t="shared" si="8"/>
        <v>9720</v>
      </c>
      <c r="BY35" s="497">
        <f t="shared" si="33"/>
        <v>1800000</v>
      </c>
      <c r="BZ35" s="493"/>
      <c r="CA35" s="493"/>
      <c r="CC35" s="492">
        <v>31</v>
      </c>
      <c r="CD35" s="492">
        <v>3</v>
      </c>
      <c r="CE35" s="497">
        <f>IF(('Comparison Calculator'!$E$11-CD35)&gt;=0,0,IFERROR(-PPMT($CI$30/12,(CC35-24),($F$1-2)*12,$CI$29),0))</f>
        <v>0</v>
      </c>
      <c r="CF35" s="497">
        <f>IF(('Comparison Calculator'!$E$11-CD35)&gt;=0,$C$1*$CI$30/12,IFERROR(-IPMT($CI$30/12,(CC35-24),($F$1-2)*12,$CI$29,0),0))</f>
        <v>9569.9999999999982</v>
      </c>
      <c r="CG35" s="497">
        <f t="shared" si="9"/>
        <v>9569.9999999999982</v>
      </c>
      <c r="CH35" s="497">
        <f t="shared" si="34"/>
        <v>1800000</v>
      </c>
      <c r="CI35" s="493"/>
      <c r="CJ35" s="493"/>
      <c r="CL35" s="492">
        <v>31</v>
      </c>
      <c r="CM35" s="492">
        <v>3</v>
      </c>
      <c r="CN35" s="497">
        <f>IF(('Comparison Calculator'!$E$11-CM35)&gt;=0,0,IFERROR(-PPMT($CR$30/12,(CL35-24),($F$1-2)*12,$CR$29),0))</f>
        <v>0</v>
      </c>
      <c r="CO35" s="497" t="e">
        <f>IF(('Comparison Calculator'!$E$11-CM35)&gt;=0,$C$1*$CR$30/12,IFERROR(-IPMT($CR$30/12,(CL35-24),($F$1-2)*12,$CR$29,0),0))</f>
        <v>#N/A</v>
      </c>
      <c r="CP35" s="497" t="e">
        <f t="shared" si="10"/>
        <v>#N/A</v>
      </c>
      <c r="CQ35" s="497">
        <f t="shared" si="35"/>
        <v>1800000</v>
      </c>
      <c r="CR35" s="493"/>
      <c r="CS35" s="493"/>
      <c r="CU35" s="492">
        <v>31</v>
      </c>
      <c r="CV35" s="492">
        <v>3</v>
      </c>
      <c r="CW35" s="497">
        <f>IF(('Comparison Calculator'!$E$11-CV35)&gt;=0,0,IFERROR(-PPMT($DA$30/12,(CU35-24),($F$1-2)*12,$DA$29),0))</f>
        <v>0</v>
      </c>
      <c r="CX35" s="497" t="e">
        <f>IF(('Comparison Calculator'!$E$11-CV35)&gt;=0,$C$1*$DA$30/12,IFERROR(-IPMT($DA$30/12,(CU35-24),($F$1-2)*12,$DA$29,0),0))</f>
        <v>#N/A</v>
      </c>
      <c r="CY35" s="497" t="e">
        <f t="shared" si="11"/>
        <v>#N/A</v>
      </c>
      <c r="CZ35" s="497">
        <f t="shared" si="36"/>
        <v>1800000</v>
      </c>
      <c r="DA35" s="493"/>
      <c r="DB35" s="493"/>
      <c r="DD35" s="492">
        <v>31</v>
      </c>
      <c r="DE35" s="492">
        <v>3</v>
      </c>
      <c r="DF35" s="497">
        <f>IF(('Comparison Calculator'!$E$11-DE35)&gt;=0,0,IFERROR(-PPMT($DJ$30/12,(DD35-24),($F$1-2)*12,$DJ$29),0))</f>
        <v>0</v>
      </c>
      <c r="DG35" s="497" t="e">
        <f>IF(('Comparison Calculator'!$E$11-DE35)&gt;=0,$C$1*$DJ$30/12,IFERROR(-IPMT($DJ$30/12,(DD35-24),($F$1-2)*12,$DJ$29,0),0))</f>
        <v>#N/A</v>
      </c>
      <c r="DH35" s="497" t="e">
        <f t="shared" si="12"/>
        <v>#N/A</v>
      </c>
      <c r="DI35" s="497">
        <f t="shared" si="37"/>
        <v>1800000</v>
      </c>
      <c r="DJ35" s="493"/>
      <c r="DK35" s="493"/>
    </row>
    <row r="36" spans="1:115">
      <c r="A36" s="492">
        <v>32</v>
      </c>
      <c r="B36" s="492">
        <v>3</v>
      </c>
      <c r="C36" s="497">
        <f>IF(('Comparison Calculator'!$E$11-B36)&gt;=0,0,IFERROR(-PPMT($G$30/12,(A36-24),($F$1-2)*12,$G$29),0))</f>
        <v>0</v>
      </c>
      <c r="D36" s="497">
        <f>IF(('Comparison Calculator'!$E$11-B36)&gt;=0,$C$1*$G$30/12,IFERROR(-IPMT($G$30/12,(A36-24),($F$1-2)*12,$G$29,0),0))</f>
        <v>9720</v>
      </c>
      <c r="E36" s="497">
        <f t="shared" si="0"/>
        <v>9720</v>
      </c>
      <c r="F36" s="497">
        <f t="shared" si="13"/>
        <v>1800000</v>
      </c>
      <c r="G36" s="493"/>
      <c r="H36" s="493"/>
      <c r="I36" s="489"/>
      <c r="J36" s="492">
        <v>32</v>
      </c>
      <c r="K36" s="492">
        <v>3</v>
      </c>
      <c r="L36" s="497">
        <f>IF(('Comparison Calculator'!$E$11-K36)&gt;=0,0,IFERROR(-PPMT($P$30/12,(J36-24),($F$1-2)*12,$P$29),0))</f>
        <v>0</v>
      </c>
      <c r="M36" s="497">
        <f>IF(('Comparison Calculator'!$E$11-K36)&gt;=0,$C$1*$P$30/12,IFERROR(-IPMT($P$30/12,(J36-24),($F$1-2)*12,$P$29,0),0))</f>
        <v>9720</v>
      </c>
      <c r="N36" s="497">
        <f t="shared" si="1"/>
        <v>9720</v>
      </c>
      <c r="O36" s="497">
        <f t="shared" si="26"/>
        <v>1800000</v>
      </c>
      <c r="P36" s="493"/>
      <c r="Q36" s="493"/>
      <c r="S36" s="492">
        <v>32</v>
      </c>
      <c r="T36" s="492">
        <v>3</v>
      </c>
      <c r="U36" s="497">
        <f>IF(('Comparison Calculator'!$E$11-T36)&gt;=0,0,IFERROR(-PPMT($Y$30/12,(S36-24),($F$1-2)*12,$Y$29),0))</f>
        <v>0</v>
      </c>
      <c r="V36" s="497" t="e">
        <f>IF(('Comparison Calculator'!$E$11-T36)&gt;=0,$C$1*$Y$30/12,IFERROR(-IPMT($Y$30/12,(S36-24),($F$1-2)*12,$Y$29,0),0))</f>
        <v>#N/A</v>
      </c>
      <c r="W36" s="497" t="e">
        <f t="shared" si="2"/>
        <v>#N/A</v>
      </c>
      <c r="X36" s="497">
        <f t="shared" si="27"/>
        <v>1800000</v>
      </c>
      <c r="Y36" s="493"/>
      <c r="Z36" s="493"/>
      <c r="AB36" s="492">
        <v>32</v>
      </c>
      <c r="AC36" s="492">
        <v>3</v>
      </c>
      <c r="AD36" s="497">
        <f>IF(('Comparison Calculator'!$E$11-AC36)&gt;=0,0,IFERROR(-PPMT($AH$30/12,(AB36-24),($F$1-2)*12,$AH$29),0))</f>
        <v>0</v>
      </c>
      <c r="AE36" s="497" t="e">
        <f>IF(('Comparison Calculator'!$E$11-AC36)&gt;=0,$C$1*$AH$30/12,IFERROR(-IPMT($AH$30/12,(AB36-24),($F$1-2)*12,$AH$29,0),0))</f>
        <v>#N/A</v>
      </c>
      <c r="AF36" s="497" t="e">
        <f t="shared" si="3"/>
        <v>#N/A</v>
      </c>
      <c r="AG36" s="497">
        <f t="shared" si="28"/>
        <v>1800000</v>
      </c>
      <c r="AH36" s="493"/>
      <c r="AI36" s="493"/>
      <c r="AK36" s="492">
        <v>32</v>
      </c>
      <c r="AL36" s="492">
        <v>3</v>
      </c>
      <c r="AM36" s="497">
        <f>IF(('Comparison Calculator'!$E$11-AL36)&gt;=0,0,IFERROR(-PPMT($AQ$30/12,(AK36-24),($F$1-2)*12,$AQ$29),0))</f>
        <v>0</v>
      </c>
      <c r="AN36" s="497">
        <f>IF(('Comparison Calculator'!$E$11-AL36)&gt;=0,$C$1*$AQ$30/12,IFERROR(-IPMT($AQ$30/12,(AK36-24),($F$1-2)*12,$AQ$29,0),0))</f>
        <v>8040</v>
      </c>
      <c r="AO36" s="497">
        <f t="shared" si="4"/>
        <v>8040</v>
      </c>
      <c r="AP36" s="497">
        <f t="shared" si="29"/>
        <v>1800000</v>
      </c>
      <c r="AQ36" s="493"/>
      <c r="AR36" s="493"/>
      <c r="AT36" s="492">
        <v>32</v>
      </c>
      <c r="AU36" s="492">
        <v>3</v>
      </c>
      <c r="AV36" s="497">
        <f>IF(('Comparison Calculator'!$E$11-AU36)&gt;=0,0,IFERROR(-PPMT($AZ$30/12,(AT36-24),($F$1-2)*12,$AZ$29),0))</f>
        <v>0</v>
      </c>
      <c r="AW36" s="497" t="e">
        <f>IF(('Comparison Calculator'!$E$11-AU36)&gt;=0,$C$1*$AZ$30/12,IFERROR(-IPMT($AZ$30/12,(AT36-24),($F$1-2)*12,$AZ$29,0),0))</f>
        <v>#N/A</v>
      </c>
      <c r="AX36" s="497" t="e">
        <f t="shared" si="5"/>
        <v>#N/A</v>
      </c>
      <c r="AY36" s="497">
        <f t="shared" si="30"/>
        <v>1800000</v>
      </c>
      <c r="AZ36" s="493"/>
      <c r="BA36" s="493"/>
      <c r="BC36" s="492">
        <v>32</v>
      </c>
      <c r="BD36" s="492">
        <v>3</v>
      </c>
      <c r="BE36" s="497">
        <f>IF(('Comparison Calculator'!$E$11-BD36)&gt;=0,0,IFERROR(-PPMT($BI$30/12,(BC36-24),($F$1-2)*12,$BI$29),0))</f>
        <v>0</v>
      </c>
      <c r="BF36" s="497">
        <f>IF(('Comparison Calculator'!$E$11-BD36)&gt;=0,$C$1*$BI$30/12,IFERROR(-IPMT($BI$30/12,(BC36-24),($F$1-2)*12,$BI$29,0),0))</f>
        <v>7470</v>
      </c>
      <c r="BG36" s="497">
        <f t="shared" si="6"/>
        <v>7470</v>
      </c>
      <c r="BH36" s="497">
        <f t="shared" si="31"/>
        <v>1800000</v>
      </c>
      <c r="BI36" s="493"/>
      <c r="BJ36" s="493"/>
      <c r="BK36" s="492">
        <v>32</v>
      </c>
      <c r="BL36" s="492">
        <v>3</v>
      </c>
      <c r="BM36" s="497">
        <f>IF(('Comparison Calculator'!$E$11-BL36)&gt;=0,0,IFERROR(-PPMT($BQ$30/12,(BK36-24),($F$1-2)*12,$BQ$29),0))</f>
        <v>0</v>
      </c>
      <c r="BN36" s="497">
        <f>IF(('Comparison Calculator'!$E$11-BL36)&gt;=0,$C$1*$BQ$30/12,IFERROR(-IPMT($BQ$30/12,(BK36-24),($F$1-2)*12,$BQ$29,0),0))</f>
        <v>9720</v>
      </c>
      <c r="BO36" s="497">
        <f t="shared" si="7"/>
        <v>9720</v>
      </c>
      <c r="BP36" s="497">
        <f t="shared" si="32"/>
        <v>1800000</v>
      </c>
      <c r="BQ36" s="493"/>
      <c r="BR36" s="493"/>
      <c r="BT36" s="492">
        <v>32</v>
      </c>
      <c r="BU36" s="492">
        <v>3</v>
      </c>
      <c r="BV36" s="497">
        <f>IF(('Comparison Calculator'!$E$11-BU36)&gt;=0,0,IFERROR(-PPMT($BZ$30/12,(BT36-24),($F$1-2)*12,$BZ$29),0))</f>
        <v>0</v>
      </c>
      <c r="BW36" s="497">
        <f>IF(('Comparison Calculator'!$E$11-BU36)&gt;=0,$C$1*$BZ$30/12,IFERROR(-IPMT($BZ$30/12,(BT36-24),($F$1-2)*12,$BZ$29,0),0))</f>
        <v>9720</v>
      </c>
      <c r="BX36" s="497">
        <f t="shared" si="8"/>
        <v>9720</v>
      </c>
      <c r="BY36" s="497">
        <f t="shared" si="33"/>
        <v>1800000</v>
      </c>
      <c r="BZ36" s="493"/>
      <c r="CA36" s="493"/>
      <c r="CC36" s="492">
        <v>32</v>
      </c>
      <c r="CD36" s="492">
        <v>3</v>
      </c>
      <c r="CE36" s="497">
        <f>IF(('Comparison Calculator'!$E$11-CD36)&gt;=0,0,IFERROR(-PPMT($CI$30/12,(CC36-24),($F$1-2)*12,$CI$29),0))</f>
        <v>0</v>
      </c>
      <c r="CF36" s="497">
        <f>IF(('Comparison Calculator'!$E$11-CD36)&gt;=0,$C$1*$CI$30/12,IFERROR(-IPMT($CI$30/12,(CC36-24),($F$1-2)*12,$CI$29,0),0))</f>
        <v>9569.9999999999982</v>
      </c>
      <c r="CG36" s="497">
        <f t="shared" si="9"/>
        <v>9569.9999999999982</v>
      </c>
      <c r="CH36" s="497">
        <f t="shared" si="34"/>
        <v>1800000</v>
      </c>
      <c r="CI36" s="493"/>
      <c r="CJ36" s="493"/>
      <c r="CL36" s="492">
        <v>32</v>
      </c>
      <c r="CM36" s="492">
        <v>3</v>
      </c>
      <c r="CN36" s="497">
        <f>IF(('Comparison Calculator'!$E$11-CM36)&gt;=0,0,IFERROR(-PPMT($CR$30/12,(CL36-24),($F$1-2)*12,$CR$29),0))</f>
        <v>0</v>
      </c>
      <c r="CO36" s="497" t="e">
        <f>IF(('Comparison Calculator'!$E$11-CM36)&gt;=0,$C$1*$CR$30/12,IFERROR(-IPMT($CR$30/12,(CL36-24),($F$1-2)*12,$CR$29,0),0))</f>
        <v>#N/A</v>
      </c>
      <c r="CP36" s="497" t="e">
        <f t="shared" si="10"/>
        <v>#N/A</v>
      </c>
      <c r="CQ36" s="497">
        <f t="shared" si="35"/>
        <v>1800000</v>
      </c>
      <c r="CR36" s="493"/>
      <c r="CS36" s="493"/>
      <c r="CU36" s="492">
        <v>32</v>
      </c>
      <c r="CV36" s="492">
        <v>3</v>
      </c>
      <c r="CW36" s="497">
        <f>IF(('Comparison Calculator'!$E$11-CV36)&gt;=0,0,IFERROR(-PPMT($DA$30/12,(CU36-24),($F$1-2)*12,$DA$29),0))</f>
        <v>0</v>
      </c>
      <c r="CX36" s="497" t="e">
        <f>IF(('Comparison Calculator'!$E$11-CV36)&gt;=0,$C$1*$DA$30/12,IFERROR(-IPMT($DA$30/12,(CU36-24),($F$1-2)*12,$DA$29,0),0))</f>
        <v>#N/A</v>
      </c>
      <c r="CY36" s="497" t="e">
        <f t="shared" si="11"/>
        <v>#N/A</v>
      </c>
      <c r="CZ36" s="497">
        <f t="shared" si="36"/>
        <v>1800000</v>
      </c>
      <c r="DA36" s="493"/>
      <c r="DB36" s="493"/>
      <c r="DD36" s="492">
        <v>32</v>
      </c>
      <c r="DE36" s="492">
        <v>3</v>
      </c>
      <c r="DF36" s="497">
        <f>IF(('Comparison Calculator'!$E$11-DE36)&gt;=0,0,IFERROR(-PPMT($DJ$30/12,(DD36-24),($F$1-2)*12,$DJ$29),0))</f>
        <v>0</v>
      </c>
      <c r="DG36" s="497" t="e">
        <f>IF(('Comparison Calculator'!$E$11-DE36)&gt;=0,$C$1*$DJ$30/12,IFERROR(-IPMT($DJ$30/12,(DD36-24),($F$1-2)*12,$DJ$29,0),0))</f>
        <v>#N/A</v>
      </c>
      <c r="DH36" s="497" t="e">
        <f t="shared" si="12"/>
        <v>#N/A</v>
      </c>
      <c r="DI36" s="497">
        <f t="shared" si="37"/>
        <v>1800000</v>
      </c>
      <c r="DJ36" s="493"/>
      <c r="DK36" s="493"/>
    </row>
    <row r="37" spans="1:115">
      <c r="A37" s="492">
        <v>33</v>
      </c>
      <c r="B37" s="492">
        <v>3</v>
      </c>
      <c r="C37" s="497">
        <f>IF(('Comparison Calculator'!$E$11-B37)&gt;=0,0,IFERROR(-PPMT($G$30/12,(A37-24),($F$1-2)*12,$G$29),0))</f>
        <v>0</v>
      </c>
      <c r="D37" s="497">
        <f>IF(('Comparison Calculator'!$E$11-B37)&gt;=0,$C$1*$G$30/12,IFERROR(-IPMT($G$30/12,(A37-24),($F$1-2)*12,$G$29,0),0))</f>
        <v>9720</v>
      </c>
      <c r="E37" s="497">
        <f t="shared" si="0"/>
        <v>9720</v>
      </c>
      <c r="F37" s="497">
        <f t="shared" si="13"/>
        <v>1800000</v>
      </c>
      <c r="G37" s="493"/>
      <c r="H37" s="493"/>
      <c r="I37" s="489"/>
      <c r="J37" s="492">
        <v>33</v>
      </c>
      <c r="K37" s="492">
        <v>3</v>
      </c>
      <c r="L37" s="497">
        <f>IF(('Comparison Calculator'!$E$11-K37)&gt;=0,0,IFERROR(-PPMT($P$30/12,(J37-24),($F$1-2)*12,$P$29),0))</f>
        <v>0</v>
      </c>
      <c r="M37" s="497">
        <f>IF(('Comparison Calculator'!$E$11-K37)&gt;=0,$C$1*$P$30/12,IFERROR(-IPMT($P$30/12,(J37-24),($F$1-2)*12,$P$29,0),0))</f>
        <v>9720</v>
      </c>
      <c r="N37" s="497">
        <f t="shared" si="1"/>
        <v>9720</v>
      </c>
      <c r="O37" s="497">
        <f t="shared" si="26"/>
        <v>1800000</v>
      </c>
      <c r="P37" s="493"/>
      <c r="Q37" s="493"/>
      <c r="S37" s="492">
        <v>33</v>
      </c>
      <c r="T37" s="492">
        <v>3</v>
      </c>
      <c r="U37" s="497">
        <f>IF(('Comparison Calculator'!$E$11-T37)&gt;=0,0,IFERROR(-PPMT($Y$30/12,(S37-24),($F$1-2)*12,$Y$29),0))</f>
        <v>0</v>
      </c>
      <c r="V37" s="497" t="e">
        <f>IF(('Comparison Calculator'!$E$11-T37)&gt;=0,$C$1*$Y$30/12,IFERROR(-IPMT($Y$30/12,(S37-24),($F$1-2)*12,$Y$29,0),0))</f>
        <v>#N/A</v>
      </c>
      <c r="W37" s="497" t="e">
        <f t="shared" si="2"/>
        <v>#N/A</v>
      </c>
      <c r="X37" s="497">
        <f t="shared" si="27"/>
        <v>1800000</v>
      </c>
      <c r="Y37" s="493"/>
      <c r="Z37" s="493"/>
      <c r="AB37" s="492">
        <v>33</v>
      </c>
      <c r="AC37" s="492">
        <v>3</v>
      </c>
      <c r="AD37" s="497">
        <f>IF(('Comparison Calculator'!$E$11-AC37)&gt;=0,0,IFERROR(-PPMT($AH$30/12,(AB37-24),($F$1-2)*12,$AH$29),0))</f>
        <v>0</v>
      </c>
      <c r="AE37" s="497" t="e">
        <f>IF(('Comparison Calculator'!$E$11-AC37)&gt;=0,$C$1*$AH$30/12,IFERROR(-IPMT($AH$30/12,(AB37-24),($F$1-2)*12,$AH$29,0),0))</f>
        <v>#N/A</v>
      </c>
      <c r="AF37" s="497" t="e">
        <f t="shared" si="3"/>
        <v>#N/A</v>
      </c>
      <c r="AG37" s="497">
        <f t="shared" si="28"/>
        <v>1800000</v>
      </c>
      <c r="AH37" s="493"/>
      <c r="AI37" s="493"/>
      <c r="AK37" s="492">
        <v>33</v>
      </c>
      <c r="AL37" s="492">
        <v>3</v>
      </c>
      <c r="AM37" s="497">
        <f>IF(('Comparison Calculator'!$E$11-AL37)&gt;=0,0,IFERROR(-PPMT($AQ$30/12,(AK37-24),($F$1-2)*12,$AQ$29),0))</f>
        <v>0</v>
      </c>
      <c r="AN37" s="497">
        <f>IF(('Comparison Calculator'!$E$11-AL37)&gt;=0,$C$1*$AQ$30/12,IFERROR(-IPMT($AQ$30/12,(AK37-24),($F$1-2)*12,$AQ$29,0),0))</f>
        <v>8040</v>
      </c>
      <c r="AO37" s="497">
        <f t="shared" si="4"/>
        <v>8040</v>
      </c>
      <c r="AP37" s="497">
        <f t="shared" si="29"/>
        <v>1800000</v>
      </c>
      <c r="AQ37" s="493"/>
      <c r="AR37" s="493"/>
      <c r="AT37" s="492">
        <v>33</v>
      </c>
      <c r="AU37" s="492">
        <v>3</v>
      </c>
      <c r="AV37" s="497">
        <f>IF(('Comparison Calculator'!$E$11-AU37)&gt;=0,0,IFERROR(-PPMT($AZ$30/12,(AT37-24),($F$1-2)*12,$AZ$29),0))</f>
        <v>0</v>
      </c>
      <c r="AW37" s="497" t="e">
        <f>IF(('Comparison Calculator'!$E$11-AU37)&gt;=0,$C$1*$AZ$30/12,IFERROR(-IPMT($AZ$30/12,(AT37-24),($F$1-2)*12,$AZ$29,0),0))</f>
        <v>#N/A</v>
      </c>
      <c r="AX37" s="497" t="e">
        <f t="shared" si="5"/>
        <v>#N/A</v>
      </c>
      <c r="AY37" s="497">
        <f t="shared" si="30"/>
        <v>1800000</v>
      </c>
      <c r="AZ37" s="493"/>
      <c r="BA37" s="493"/>
      <c r="BC37" s="492">
        <v>33</v>
      </c>
      <c r="BD37" s="492">
        <v>3</v>
      </c>
      <c r="BE37" s="497">
        <f>IF(('Comparison Calculator'!$E$11-BD37)&gt;=0,0,IFERROR(-PPMT($BI$30/12,(BC37-24),($F$1-2)*12,$BI$29),0))</f>
        <v>0</v>
      </c>
      <c r="BF37" s="497">
        <f>IF(('Comparison Calculator'!$E$11-BD37)&gt;=0,$C$1*$BI$30/12,IFERROR(-IPMT($BI$30/12,(BC37-24),($F$1-2)*12,$BI$29,0),0))</f>
        <v>7470</v>
      </c>
      <c r="BG37" s="497">
        <f t="shared" si="6"/>
        <v>7470</v>
      </c>
      <c r="BH37" s="497">
        <f t="shared" si="31"/>
        <v>1800000</v>
      </c>
      <c r="BI37" s="493"/>
      <c r="BJ37" s="493"/>
      <c r="BK37" s="492">
        <v>33</v>
      </c>
      <c r="BL37" s="492">
        <v>3</v>
      </c>
      <c r="BM37" s="497">
        <f>IF(('Comparison Calculator'!$E$11-BL37)&gt;=0,0,IFERROR(-PPMT($BQ$30/12,(BK37-24),($F$1-2)*12,$BQ$29),0))</f>
        <v>0</v>
      </c>
      <c r="BN37" s="497">
        <f>IF(('Comparison Calculator'!$E$11-BL37)&gt;=0,$C$1*$BQ$30/12,IFERROR(-IPMT($BQ$30/12,(BK37-24),($F$1-2)*12,$BQ$29,0),0))</f>
        <v>9720</v>
      </c>
      <c r="BO37" s="497">
        <f t="shared" si="7"/>
        <v>9720</v>
      </c>
      <c r="BP37" s="497">
        <f t="shared" si="32"/>
        <v>1800000</v>
      </c>
      <c r="BQ37" s="493"/>
      <c r="BR37" s="493"/>
      <c r="BT37" s="492">
        <v>33</v>
      </c>
      <c r="BU37" s="492">
        <v>3</v>
      </c>
      <c r="BV37" s="497">
        <f>IF(('Comparison Calculator'!$E$11-BU37)&gt;=0,0,IFERROR(-PPMT($BZ$30/12,(BT37-24),($F$1-2)*12,$BZ$29),0))</f>
        <v>0</v>
      </c>
      <c r="BW37" s="497">
        <f>IF(('Comparison Calculator'!$E$11-BU37)&gt;=0,$C$1*$BZ$30/12,IFERROR(-IPMT($BZ$30/12,(BT37-24),($F$1-2)*12,$BZ$29,0),0))</f>
        <v>9720</v>
      </c>
      <c r="BX37" s="497">
        <f t="shared" si="8"/>
        <v>9720</v>
      </c>
      <c r="BY37" s="497">
        <f t="shared" si="33"/>
        <v>1800000</v>
      </c>
      <c r="BZ37" s="493"/>
      <c r="CA37" s="493"/>
      <c r="CC37" s="492">
        <v>33</v>
      </c>
      <c r="CD37" s="492">
        <v>3</v>
      </c>
      <c r="CE37" s="497">
        <f>IF(('Comparison Calculator'!$E$11-CD37)&gt;=0,0,IFERROR(-PPMT($CI$30/12,(CC37-24),($F$1-2)*12,$CI$29),0))</f>
        <v>0</v>
      </c>
      <c r="CF37" s="497">
        <f>IF(('Comparison Calculator'!$E$11-CD37)&gt;=0,$C$1*$CI$30/12,IFERROR(-IPMT($CI$30/12,(CC37-24),($F$1-2)*12,$CI$29,0),0))</f>
        <v>9569.9999999999982</v>
      </c>
      <c r="CG37" s="497">
        <f t="shared" si="9"/>
        <v>9569.9999999999982</v>
      </c>
      <c r="CH37" s="497">
        <f t="shared" si="34"/>
        <v>1800000</v>
      </c>
      <c r="CI37" s="493"/>
      <c r="CJ37" s="493"/>
      <c r="CL37" s="492">
        <v>33</v>
      </c>
      <c r="CM37" s="492">
        <v>3</v>
      </c>
      <c r="CN37" s="497">
        <f>IF(('Comparison Calculator'!$E$11-CM37)&gt;=0,0,IFERROR(-PPMT($CR$30/12,(CL37-24),($F$1-2)*12,$CR$29),0))</f>
        <v>0</v>
      </c>
      <c r="CO37" s="497" t="e">
        <f>IF(('Comparison Calculator'!$E$11-CM37)&gt;=0,$C$1*$CR$30/12,IFERROR(-IPMT($CR$30/12,(CL37-24),($F$1-2)*12,$CR$29,0),0))</f>
        <v>#N/A</v>
      </c>
      <c r="CP37" s="497" t="e">
        <f t="shared" si="10"/>
        <v>#N/A</v>
      </c>
      <c r="CQ37" s="497">
        <f t="shared" si="35"/>
        <v>1800000</v>
      </c>
      <c r="CR37" s="493"/>
      <c r="CS37" s="493"/>
      <c r="CU37" s="492">
        <v>33</v>
      </c>
      <c r="CV37" s="492">
        <v>3</v>
      </c>
      <c r="CW37" s="497">
        <f>IF(('Comparison Calculator'!$E$11-CV37)&gt;=0,0,IFERROR(-PPMT($DA$30/12,(CU37-24),($F$1-2)*12,$DA$29),0))</f>
        <v>0</v>
      </c>
      <c r="CX37" s="497" t="e">
        <f>IF(('Comparison Calculator'!$E$11-CV37)&gt;=0,$C$1*$DA$30/12,IFERROR(-IPMT($DA$30/12,(CU37-24),($F$1-2)*12,$DA$29,0),0))</f>
        <v>#N/A</v>
      </c>
      <c r="CY37" s="497" t="e">
        <f t="shared" si="11"/>
        <v>#N/A</v>
      </c>
      <c r="CZ37" s="497">
        <f t="shared" si="36"/>
        <v>1800000</v>
      </c>
      <c r="DA37" s="493"/>
      <c r="DB37" s="493"/>
      <c r="DD37" s="492">
        <v>33</v>
      </c>
      <c r="DE37" s="492">
        <v>3</v>
      </c>
      <c r="DF37" s="497">
        <f>IF(('Comparison Calculator'!$E$11-DE37)&gt;=0,0,IFERROR(-PPMT($DJ$30/12,(DD37-24),($F$1-2)*12,$DJ$29),0))</f>
        <v>0</v>
      </c>
      <c r="DG37" s="497" t="e">
        <f>IF(('Comparison Calculator'!$E$11-DE37)&gt;=0,$C$1*$DJ$30/12,IFERROR(-IPMT($DJ$30/12,(DD37-24),($F$1-2)*12,$DJ$29,0),0))</f>
        <v>#N/A</v>
      </c>
      <c r="DH37" s="497" t="e">
        <f t="shared" si="12"/>
        <v>#N/A</v>
      </c>
      <c r="DI37" s="497">
        <f t="shared" si="37"/>
        <v>1800000</v>
      </c>
      <c r="DJ37" s="493"/>
      <c r="DK37" s="493"/>
    </row>
    <row r="38" spans="1:115">
      <c r="A38" s="492">
        <v>34</v>
      </c>
      <c r="B38" s="492">
        <v>3</v>
      </c>
      <c r="C38" s="497">
        <f>IF(('Comparison Calculator'!$E$11-B38)&gt;=0,0,IFERROR(-PPMT($G$30/12,(A38-24),($F$1-2)*12,$G$29),0))</f>
        <v>0</v>
      </c>
      <c r="D38" s="497">
        <f>IF(('Comparison Calculator'!$E$11-B38)&gt;=0,$C$1*$G$30/12,IFERROR(-IPMT($G$30/12,(A38-24),($F$1-2)*12,$G$29,0),0))</f>
        <v>9720</v>
      </c>
      <c r="E38" s="497">
        <f t="shared" si="0"/>
        <v>9720</v>
      </c>
      <c r="F38" s="497">
        <f t="shared" si="13"/>
        <v>1800000</v>
      </c>
      <c r="G38" s="493"/>
      <c r="H38" s="493"/>
      <c r="I38" s="489"/>
      <c r="J38" s="492">
        <v>34</v>
      </c>
      <c r="K38" s="492">
        <v>3</v>
      </c>
      <c r="L38" s="497">
        <f>IF(('Comparison Calculator'!$E$11-K38)&gt;=0,0,IFERROR(-PPMT($P$30/12,(J38-24),($F$1-2)*12,$P$29),0))</f>
        <v>0</v>
      </c>
      <c r="M38" s="497">
        <f>IF(('Comparison Calculator'!$E$11-K38)&gt;=0,$C$1*$P$30/12,IFERROR(-IPMT($P$30/12,(J38-24),($F$1-2)*12,$P$29,0),0))</f>
        <v>9720</v>
      </c>
      <c r="N38" s="497">
        <f t="shared" si="1"/>
        <v>9720</v>
      </c>
      <c r="O38" s="497">
        <f t="shared" si="26"/>
        <v>1800000</v>
      </c>
      <c r="P38" s="493"/>
      <c r="Q38" s="493"/>
      <c r="S38" s="492">
        <v>34</v>
      </c>
      <c r="T38" s="492">
        <v>3</v>
      </c>
      <c r="U38" s="497">
        <f>IF(('Comparison Calculator'!$E$11-T38)&gt;=0,0,IFERROR(-PPMT($Y$30/12,(S38-24),($F$1-2)*12,$Y$29),0))</f>
        <v>0</v>
      </c>
      <c r="V38" s="497" t="e">
        <f>IF(('Comparison Calculator'!$E$11-T38)&gt;=0,$C$1*$Y$30/12,IFERROR(-IPMT($Y$30/12,(S38-24),($F$1-2)*12,$Y$29,0),0))</f>
        <v>#N/A</v>
      </c>
      <c r="W38" s="497" t="e">
        <f t="shared" si="2"/>
        <v>#N/A</v>
      </c>
      <c r="X38" s="497">
        <f t="shared" si="27"/>
        <v>1800000</v>
      </c>
      <c r="Y38" s="493"/>
      <c r="Z38" s="493"/>
      <c r="AB38" s="492">
        <v>34</v>
      </c>
      <c r="AC38" s="492">
        <v>3</v>
      </c>
      <c r="AD38" s="497">
        <f>IF(('Comparison Calculator'!$E$11-AC38)&gt;=0,0,IFERROR(-PPMT($AH$30/12,(AB38-24),($F$1-2)*12,$AH$29),0))</f>
        <v>0</v>
      </c>
      <c r="AE38" s="497" t="e">
        <f>IF(('Comparison Calculator'!$E$11-AC38)&gt;=0,$C$1*$AH$30/12,IFERROR(-IPMT($AH$30/12,(AB38-24),($F$1-2)*12,$AH$29,0),0))</f>
        <v>#N/A</v>
      </c>
      <c r="AF38" s="497" t="e">
        <f t="shared" si="3"/>
        <v>#N/A</v>
      </c>
      <c r="AG38" s="497">
        <f t="shared" si="28"/>
        <v>1800000</v>
      </c>
      <c r="AH38" s="493"/>
      <c r="AI38" s="493"/>
      <c r="AK38" s="492">
        <v>34</v>
      </c>
      <c r="AL38" s="492">
        <v>3</v>
      </c>
      <c r="AM38" s="497">
        <f>IF(('Comparison Calculator'!$E$11-AL38)&gt;=0,0,IFERROR(-PPMT($AQ$30/12,(AK38-24),($F$1-2)*12,$AQ$29),0))</f>
        <v>0</v>
      </c>
      <c r="AN38" s="497">
        <f>IF(('Comparison Calculator'!$E$11-AL38)&gt;=0,$C$1*$AQ$30/12,IFERROR(-IPMT($AQ$30/12,(AK38-24),($F$1-2)*12,$AQ$29,0),0))</f>
        <v>8040</v>
      </c>
      <c r="AO38" s="497">
        <f t="shared" si="4"/>
        <v>8040</v>
      </c>
      <c r="AP38" s="497">
        <f t="shared" si="29"/>
        <v>1800000</v>
      </c>
      <c r="AQ38" s="493"/>
      <c r="AR38" s="493"/>
      <c r="AT38" s="492">
        <v>34</v>
      </c>
      <c r="AU38" s="492">
        <v>3</v>
      </c>
      <c r="AV38" s="497">
        <f>IF(('Comparison Calculator'!$E$11-AU38)&gt;=0,0,IFERROR(-PPMT($AZ$30/12,(AT38-24),($F$1-2)*12,$AZ$29),0))</f>
        <v>0</v>
      </c>
      <c r="AW38" s="497" t="e">
        <f>IF(('Comparison Calculator'!$E$11-AU38)&gt;=0,$C$1*$AZ$30/12,IFERROR(-IPMT($AZ$30/12,(AT38-24),($F$1-2)*12,$AZ$29,0),0))</f>
        <v>#N/A</v>
      </c>
      <c r="AX38" s="497" t="e">
        <f t="shared" si="5"/>
        <v>#N/A</v>
      </c>
      <c r="AY38" s="497">
        <f t="shared" si="30"/>
        <v>1800000</v>
      </c>
      <c r="AZ38" s="493"/>
      <c r="BA38" s="493"/>
      <c r="BC38" s="492">
        <v>34</v>
      </c>
      <c r="BD38" s="492">
        <v>3</v>
      </c>
      <c r="BE38" s="497">
        <f>IF(('Comparison Calculator'!$E$11-BD38)&gt;=0,0,IFERROR(-PPMT($BI$30/12,(BC38-24),($F$1-2)*12,$BI$29),0))</f>
        <v>0</v>
      </c>
      <c r="BF38" s="497">
        <f>IF(('Comparison Calculator'!$E$11-BD38)&gt;=0,$C$1*$BI$30/12,IFERROR(-IPMT($BI$30/12,(BC38-24),($F$1-2)*12,$BI$29,0),0))</f>
        <v>7470</v>
      </c>
      <c r="BG38" s="497">
        <f t="shared" si="6"/>
        <v>7470</v>
      </c>
      <c r="BH38" s="497">
        <f t="shared" si="31"/>
        <v>1800000</v>
      </c>
      <c r="BI38" s="493"/>
      <c r="BJ38" s="493"/>
      <c r="BK38" s="492">
        <v>34</v>
      </c>
      <c r="BL38" s="492">
        <v>3</v>
      </c>
      <c r="BM38" s="497">
        <f>IF(('Comparison Calculator'!$E$11-BL38)&gt;=0,0,IFERROR(-PPMT($BQ$30/12,(BK38-24),($F$1-2)*12,$BQ$29),0))</f>
        <v>0</v>
      </c>
      <c r="BN38" s="497">
        <f>IF(('Comparison Calculator'!$E$11-BL38)&gt;=0,$C$1*$BQ$30/12,IFERROR(-IPMT($BQ$30/12,(BK38-24),($F$1-2)*12,$BQ$29,0),0))</f>
        <v>9720</v>
      </c>
      <c r="BO38" s="497">
        <f t="shared" si="7"/>
        <v>9720</v>
      </c>
      <c r="BP38" s="497">
        <f t="shared" si="32"/>
        <v>1800000</v>
      </c>
      <c r="BQ38" s="493"/>
      <c r="BR38" s="493"/>
      <c r="BT38" s="492">
        <v>34</v>
      </c>
      <c r="BU38" s="492">
        <v>3</v>
      </c>
      <c r="BV38" s="497">
        <f>IF(('Comparison Calculator'!$E$11-BU38)&gt;=0,0,IFERROR(-PPMT($BZ$30/12,(BT38-24),($F$1-2)*12,$BZ$29),0))</f>
        <v>0</v>
      </c>
      <c r="BW38" s="497">
        <f>IF(('Comparison Calculator'!$E$11-BU38)&gt;=0,$C$1*$BZ$30/12,IFERROR(-IPMT($BZ$30/12,(BT38-24),($F$1-2)*12,$BZ$29,0),0))</f>
        <v>9720</v>
      </c>
      <c r="BX38" s="497">
        <f t="shared" si="8"/>
        <v>9720</v>
      </c>
      <c r="BY38" s="497">
        <f t="shared" si="33"/>
        <v>1800000</v>
      </c>
      <c r="BZ38" s="493"/>
      <c r="CA38" s="493"/>
      <c r="CC38" s="492">
        <v>34</v>
      </c>
      <c r="CD38" s="492">
        <v>3</v>
      </c>
      <c r="CE38" s="497">
        <f>IF(('Comparison Calculator'!$E$11-CD38)&gt;=0,0,IFERROR(-PPMT($CI$30/12,(CC38-24),($F$1-2)*12,$CI$29),0))</f>
        <v>0</v>
      </c>
      <c r="CF38" s="497">
        <f>IF(('Comparison Calculator'!$E$11-CD38)&gt;=0,$C$1*$CI$30/12,IFERROR(-IPMT($CI$30/12,(CC38-24),($F$1-2)*12,$CI$29,0),0))</f>
        <v>9569.9999999999982</v>
      </c>
      <c r="CG38" s="497">
        <f t="shared" si="9"/>
        <v>9569.9999999999982</v>
      </c>
      <c r="CH38" s="497">
        <f t="shared" si="34"/>
        <v>1800000</v>
      </c>
      <c r="CI38" s="493"/>
      <c r="CJ38" s="493"/>
      <c r="CL38" s="492">
        <v>34</v>
      </c>
      <c r="CM38" s="492">
        <v>3</v>
      </c>
      <c r="CN38" s="497">
        <f>IF(('Comparison Calculator'!$E$11-CM38)&gt;=0,0,IFERROR(-PPMT($CR$30/12,(CL38-24),($F$1-2)*12,$CR$29),0))</f>
        <v>0</v>
      </c>
      <c r="CO38" s="497" t="e">
        <f>IF(('Comparison Calculator'!$E$11-CM38)&gt;=0,$C$1*$CR$30/12,IFERROR(-IPMT($CR$30/12,(CL38-24),($F$1-2)*12,$CR$29,0),0))</f>
        <v>#N/A</v>
      </c>
      <c r="CP38" s="497" t="e">
        <f t="shared" si="10"/>
        <v>#N/A</v>
      </c>
      <c r="CQ38" s="497">
        <f t="shared" si="35"/>
        <v>1800000</v>
      </c>
      <c r="CR38" s="493"/>
      <c r="CS38" s="493"/>
      <c r="CU38" s="492">
        <v>34</v>
      </c>
      <c r="CV38" s="492">
        <v>3</v>
      </c>
      <c r="CW38" s="497">
        <f>IF(('Comparison Calculator'!$E$11-CV38)&gt;=0,0,IFERROR(-PPMT($DA$30/12,(CU38-24),($F$1-2)*12,$DA$29),0))</f>
        <v>0</v>
      </c>
      <c r="CX38" s="497" t="e">
        <f>IF(('Comparison Calculator'!$E$11-CV38)&gt;=0,$C$1*$DA$30/12,IFERROR(-IPMT($DA$30/12,(CU38-24),($F$1-2)*12,$DA$29,0),0))</f>
        <v>#N/A</v>
      </c>
      <c r="CY38" s="497" t="e">
        <f t="shared" si="11"/>
        <v>#N/A</v>
      </c>
      <c r="CZ38" s="497">
        <f t="shared" si="36"/>
        <v>1800000</v>
      </c>
      <c r="DA38" s="493"/>
      <c r="DB38" s="493"/>
      <c r="DD38" s="492">
        <v>34</v>
      </c>
      <c r="DE38" s="492">
        <v>3</v>
      </c>
      <c r="DF38" s="497">
        <f>IF(('Comparison Calculator'!$E$11-DE38)&gt;=0,0,IFERROR(-PPMT($DJ$30/12,(DD38-24),($F$1-2)*12,$DJ$29),0))</f>
        <v>0</v>
      </c>
      <c r="DG38" s="497" t="e">
        <f>IF(('Comparison Calculator'!$E$11-DE38)&gt;=0,$C$1*$DJ$30/12,IFERROR(-IPMT($DJ$30/12,(DD38-24),($F$1-2)*12,$DJ$29,0),0))</f>
        <v>#N/A</v>
      </c>
      <c r="DH38" s="497" t="e">
        <f t="shared" si="12"/>
        <v>#N/A</v>
      </c>
      <c r="DI38" s="497">
        <f t="shared" si="37"/>
        <v>1800000</v>
      </c>
      <c r="DJ38" s="493"/>
      <c r="DK38" s="493"/>
    </row>
    <row r="39" spans="1:115">
      <c r="A39" s="492">
        <v>35</v>
      </c>
      <c r="B39" s="492">
        <v>3</v>
      </c>
      <c r="C39" s="497">
        <f>IF(('Comparison Calculator'!$E$11-B39)&gt;=0,0,IFERROR(-PPMT($G$30/12,(A39-24),($F$1-2)*12,$G$29),0))</f>
        <v>0</v>
      </c>
      <c r="D39" s="497">
        <f>IF(('Comparison Calculator'!$E$11-B39)&gt;=0,$C$1*$G$30/12,IFERROR(-IPMT($G$30/12,(A39-24),($F$1-2)*12,$G$29,0),0))</f>
        <v>9720</v>
      </c>
      <c r="E39" s="497">
        <f t="shared" si="0"/>
        <v>9720</v>
      </c>
      <c r="F39" s="497">
        <f t="shared" si="13"/>
        <v>1800000</v>
      </c>
      <c r="G39" s="493"/>
      <c r="H39" s="493"/>
      <c r="I39" s="489"/>
      <c r="J39" s="492">
        <v>35</v>
      </c>
      <c r="K39" s="492">
        <v>3</v>
      </c>
      <c r="L39" s="497">
        <f>IF(('Comparison Calculator'!$E$11-K39)&gt;=0,0,IFERROR(-PPMT($P$30/12,(J39-24),($F$1-2)*12,$P$29),0))</f>
        <v>0</v>
      </c>
      <c r="M39" s="497">
        <f>IF(('Comparison Calculator'!$E$11-K39)&gt;=0,$C$1*$P$30/12,IFERROR(-IPMT($P$30/12,(J39-24),($F$1-2)*12,$P$29,0),0))</f>
        <v>9720</v>
      </c>
      <c r="N39" s="497">
        <f t="shared" si="1"/>
        <v>9720</v>
      </c>
      <c r="O39" s="497">
        <f t="shared" si="26"/>
        <v>1800000</v>
      </c>
      <c r="P39" s="493"/>
      <c r="Q39" s="493"/>
      <c r="S39" s="492">
        <v>35</v>
      </c>
      <c r="T39" s="492">
        <v>3</v>
      </c>
      <c r="U39" s="497">
        <f>IF(('Comparison Calculator'!$E$11-T39)&gt;=0,0,IFERROR(-PPMT($Y$30/12,(S39-24),($F$1-2)*12,$Y$29),0))</f>
        <v>0</v>
      </c>
      <c r="V39" s="497" t="e">
        <f>IF(('Comparison Calculator'!$E$11-T39)&gt;=0,$C$1*$Y$30/12,IFERROR(-IPMT($Y$30/12,(S39-24),($F$1-2)*12,$Y$29,0),0))</f>
        <v>#N/A</v>
      </c>
      <c r="W39" s="497" t="e">
        <f t="shared" si="2"/>
        <v>#N/A</v>
      </c>
      <c r="X39" s="497">
        <f t="shared" si="27"/>
        <v>1800000</v>
      </c>
      <c r="Y39" s="493"/>
      <c r="Z39" s="493"/>
      <c r="AB39" s="492">
        <v>35</v>
      </c>
      <c r="AC39" s="492">
        <v>3</v>
      </c>
      <c r="AD39" s="497">
        <f>IF(('Comparison Calculator'!$E$11-AC39)&gt;=0,0,IFERROR(-PPMT($AH$30/12,(AB39-24),($F$1-2)*12,$AH$29),0))</f>
        <v>0</v>
      </c>
      <c r="AE39" s="497" t="e">
        <f>IF(('Comparison Calculator'!$E$11-AC39)&gt;=0,$C$1*$AH$30/12,IFERROR(-IPMT($AH$30/12,(AB39-24),($F$1-2)*12,$AH$29,0),0))</f>
        <v>#N/A</v>
      </c>
      <c r="AF39" s="497" t="e">
        <f t="shared" si="3"/>
        <v>#N/A</v>
      </c>
      <c r="AG39" s="497">
        <f t="shared" si="28"/>
        <v>1800000</v>
      </c>
      <c r="AH39" s="493"/>
      <c r="AI39" s="493"/>
      <c r="AK39" s="492">
        <v>35</v>
      </c>
      <c r="AL39" s="492">
        <v>3</v>
      </c>
      <c r="AM39" s="497">
        <f>IF(('Comparison Calculator'!$E$11-AL39)&gt;=0,0,IFERROR(-PPMT($AQ$30/12,(AK39-24),($F$1-2)*12,$AQ$29),0))</f>
        <v>0</v>
      </c>
      <c r="AN39" s="497">
        <f>IF(('Comparison Calculator'!$E$11-AL39)&gt;=0,$C$1*$AQ$30/12,IFERROR(-IPMT($AQ$30/12,(AK39-24),($F$1-2)*12,$AQ$29,0),0))</f>
        <v>8040</v>
      </c>
      <c r="AO39" s="497">
        <f t="shared" si="4"/>
        <v>8040</v>
      </c>
      <c r="AP39" s="497">
        <f t="shared" si="29"/>
        <v>1800000</v>
      </c>
      <c r="AQ39" s="493"/>
      <c r="AR39" s="493"/>
      <c r="AT39" s="492">
        <v>35</v>
      </c>
      <c r="AU39" s="492">
        <v>3</v>
      </c>
      <c r="AV39" s="497">
        <f>IF(('Comparison Calculator'!$E$11-AU39)&gt;=0,0,IFERROR(-PPMT($AZ$30/12,(AT39-24),($F$1-2)*12,$AZ$29),0))</f>
        <v>0</v>
      </c>
      <c r="AW39" s="497" t="e">
        <f>IF(('Comparison Calculator'!$E$11-AU39)&gt;=0,$C$1*$AZ$30/12,IFERROR(-IPMT($AZ$30/12,(AT39-24),($F$1-2)*12,$AZ$29,0),0))</f>
        <v>#N/A</v>
      </c>
      <c r="AX39" s="497" t="e">
        <f t="shared" si="5"/>
        <v>#N/A</v>
      </c>
      <c r="AY39" s="497">
        <f t="shared" si="30"/>
        <v>1800000</v>
      </c>
      <c r="AZ39" s="493"/>
      <c r="BA39" s="493"/>
      <c r="BC39" s="492">
        <v>35</v>
      </c>
      <c r="BD39" s="492">
        <v>3</v>
      </c>
      <c r="BE39" s="497">
        <f>IF(('Comparison Calculator'!$E$11-BD39)&gt;=0,0,IFERROR(-PPMT($BI$30/12,(BC39-24),($F$1-2)*12,$BI$29),0))</f>
        <v>0</v>
      </c>
      <c r="BF39" s="497">
        <f>IF(('Comparison Calculator'!$E$11-BD39)&gt;=0,$C$1*$BI$30/12,IFERROR(-IPMT($BI$30/12,(BC39-24),($F$1-2)*12,$BI$29,0),0))</f>
        <v>7470</v>
      </c>
      <c r="BG39" s="497">
        <f t="shared" si="6"/>
        <v>7470</v>
      </c>
      <c r="BH39" s="497">
        <f t="shared" si="31"/>
        <v>1800000</v>
      </c>
      <c r="BI39" s="493"/>
      <c r="BJ39" s="493"/>
      <c r="BK39" s="492">
        <v>35</v>
      </c>
      <c r="BL39" s="492">
        <v>3</v>
      </c>
      <c r="BM39" s="497">
        <f>IF(('Comparison Calculator'!$E$11-BL39)&gt;=0,0,IFERROR(-PPMT($BQ$30/12,(BK39-24),($F$1-2)*12,$BQ$29),0))</f>
        <v>0</v>
      </c>
      <c r="BN39" s="497">
        <f>IF(('Comparison Calculator'!$E$11-BL39)&gt;=0,$C$1*$BQ$30/12,IFERROR(-IPMT($BQ$30/12,(BK39-24),($F$1-2)*12,$BQ$29,0),0))</f>
        <v>9720</v>
      </c>
      <c r="BO39" s="497">
        <f t="shared" si="7"/>
        <v>9720</v>
      </c>
      <c r="BP39" s="497">
        <f t="shared" si="32"/>
        <v>1800000</v>
      </c>
      <c r="BQ39" s="493"/>
      <c r="BR39" s="493"/>
      <c r="BT39" s="492">
        <v>35</v>
      </c>
      <c r="BU39" s="492">
        <v>3</v>
      </c>
      <c r="BV39" s="497">
        <f>IF(('Comparison Calculator'!$E$11-BU39)&gt;=0,0,IFERROR(-PPMT($BZ$30/12,(BT39-24),($F$1-2)*12,$BZ$29),0))</f>
        <v>0</v>
      </c>
      <c r="BW39" s="497">
        <f>IF(('Comparison Calculator'!$E$11-BU39)&gt;=0,$C$1*$BZ$30/12,IFERROR(-IPMT($BZ$30/12,(BT39-24),($F$1-2)*12,$BZ$29,0),0))</f>
        <v>9720</v>
      </c>
      <c r="BX39" s="497">
        <f t="shared" si="8"/>
        <v>9720</v>
      </c>
      <c r="BY39" s="497">
        <f t="shared" si="33"/>
        <v>1800000</v>
      </c>
      <c r="BZ39" s="493"/>
      <c r="CA39" s="493"/>
      <c r="CC39" s="492">
        <v>35</v>
      </c>
      <c r="CD39" s="492">
        <v>3</v>
      </c>
      <c r="CE39" s="497">
        <f>IF(('Comparison Calculator'!$E$11-CD39)&gt;=0,0,IFERROR(-PPMT($CI$30/12,(CC39-24),($F$1-2)*12,$CI$29),0))</f>
        <v>0</v>
      </c>
      <c r="CF39" s="497">
        <f>IF(('Comparison Calculator'!$E$11-CD39)&gt;=0,$C$1*$CI$30/12,IFERROR(-IPMT($CI$30/12,(CC39-24),($F$1-2)*12,$CI$29,0),0))</f>
        <v>9569.9999999999982</v>
      </c>
      <c r="CG39" s="497">
        <f t="shared" si="9"/>
        <v>9569.9999999999982</v>
      </c>
      <c r="CH39" s="497">
        <f t="shared" si="34"/>
        <v>1800000</v>
      </c>
      <c r="CI39" s="493"/>
      <c r="CJ39" s="493"/>
      <c r="CL39" s="492">
        <v>35</v>
      </c>
      <c r="CM39" s="492">
        <v>3</v>
      </c>
      <c r="CN39" s="497">
        <f>IF(('Comparison Calculator'!$E$11-CM39)&gt;=0,0,IFERROR(-PPMT($CR$30/12,(CL39-24),($F$1-2)*12,$CR$29),0))</f>
        <v>0</v>
      </c>
      <c r="CO39" s="497" t="e">
        <f>IF(('Comparison Calculator'!$E$11-CM39)&gt;=0,$C$1*$CR$30/12,IFERROR(-IPMT($CR$30/12,(CL39-24),($F$1-2)*12,$CR$29,0),0))</f>
        <v>#N/A</v>
      </c>
      <c r="CP39" s="497" t="e">
        <f t="shared" si="10"/>
        <v>#N/A</v>
      </c>
      <c r="CQ39" s="497">
        <f t="shared" si="35"/>
        <v>1800000</v>
      </c>
      <c r="CR39" s="493"/>
      <c r="CS39" s="493"/>
      <c r="CU39" s="492">
        <v>35</v>
      </c>
      <c r="CV39" s="492">
        <v>3</v>
      </c>
      <c r="CW39" s="497">
        <f>IF(('Comparison Calculator'!$E$11-CV39)&gt;=0,0,IFERROR(-PPMT($DA$30/12,(CU39-24),($F$1-2)*12,$DA$29),0))</f>
        <v>0</v>
      </c>
      <c r="CX39" s="497" t="e">
        <f>IF(('Comparison Calculator'!$E$11-CV39)&gt;=0,$C$1*$DA$30/12,IFERROR(-IPMT($DA$30/12,(CU39-24),($F$1-2)*12,$DA$29,0),0))</f>
        <v>#N/A</v>
      </c>
      <c r="CY39" s="497" t="e">
        <f t="shared" si="11"/>
        <v>#N/A</v>
      </c>
      <c r="CZ39" s="497">
        <f t="shared" si="36"/>
        <v>1800000</v>
      </c>
      <c r="DA39" s="493"/>
      <c r="DB39" s="493"/>
      <c r="DD39" s="492">
        <v>35</v>
      </c>
      <c r="DE39" s="492">
        <v>3</v>
      </c>
      <c r="DF39" s="497">
        <f>IF(('Comparison Calculator'!$E$11-DE39)&gt;=0,0,IFERROR(-PPMT($DJ$30/12,(DD39-24),($F$1-2)*12,$DJ$29),0))</f>
        <v>0</v>
      </c>
      <c r="DG39" s="497" t="e">
        <f>IF(('Comparison Calculator'!$E$11-DE39)&gt;=0,$C$1*$DJ$30/12,IFERROR(-IPMT($DJ$30/12,(DD39-24),($F$1-2)*12,$DJ$29,0),0))</f>
        <v>#N/A</v>
      </c>
      <c r="DH39" s="497" t="e">
        <f t="shared" si="12"/>
        <v>#N/A</v>
      </c>
      <c r="DI39" s="497">
        <f t="shared" si="37"/>
        <v>1800000</v>
      </c>
      <c r="DJ39" s="493"/>
      <c r="DK39" s="493"/>
    </row>
    <row r="40" spans="1:115">
      <c r="A40" s="492">
        <v>36</v>
      </c>
      <c r="B40" s="492">
        <v>3</v>
      </c>
      <c r="C40" s="497">
        <f>IF(('Comparison Calculator'!$E$11-B40)&gt;=0,0,IFERROR(-PPMT($G$30/12,(A40-24),($F$1-2)*12,$G$29),0))</f>
        <v>0</v>
      </c>
      <c r="D40" s="497">
        <f>IF(('Comparison Calculator'!$E$11-B40)&gt;=0,$C$1*$G$30/12,IFERROR(-IPMT($G$30/12,(A40-24),($F$1-2)*12,$G$29,0),0))</f>
        <v>9720</v>
      </c>
      <c r="E40" s="497">
        <f t="shared" si="0"/>
        <v>9720</v>
      </c>
      <c r="F40" s="497">
        <f t="shared" si="13"/>
        <v>1800000</v>
      </c>
      <c r="G40" s="501">
        <f>SUM(E5:E40)+H1*B40</f>
        <v>234777</v>
      </c>
      <c r="H40" s="493"/>
      <c r="I40" s="489"/>
      <c r="J40" s="492">
        <v>36</v>
      </c>
      <c r="K40" s="492">
        <v>3</v>
      </c>
      <c r="L40" s="497">
        <f>IF(('Comparison Calculator'!$E$11-K40)&gt;=0,0,IFERROR(-PPMT($P$30/12,(J40-24),($F$1-2)*12,$P$29),0))</f>
        <v>0</v>
      </c>
      <c r="M40" s="497">
        <f>IF(('Comparison Calculator'!$E$11-K40)&gt;=0,$C$1*$P$30/12,IFERROR(-IPMT($P$30/12,(J40-24),($F$1-2)*12,$P$29,0),0))</f>
        <v>9720</v>
      </c>
      <c r="N40" s="497">
        <f t="shared" si="1"/>
        <v>9720</v>
      </c>
      <c r="O40" s="497">
        <f t="shared" si="26"/>
        <v>1800000</v>
      </c>
      <c r="P40" s="501">
        <f>SUM(N5:N40)+Q1*K40</f>
        <v>234684</v>
      </c>
      <c r="Q40" s="493"/>
      <c r="S40" s="492">
        <v>36</v>
      </c>
      <c r="T40" s="492">
        <v>3</v>
      </c>
      <c r="U40" s="497">
        <f>IF(('Comparison Calculator'!$E$11-T40)&gt;=0,0,IFERROR(-PPMT($Y$30/12,(S40-24),($F$1-2)*12,$Y$29),0))</f>
        <v>0</v>
      </c>
      <c r="V40" s="497" t="e">
        <f>IF(('Comparison Calculator'!$E$11-T40)&gt;=0,$C$1*$Y$30/12,IFERROR(-IPMT($Y$30/12,(S40-24),($F$1-2)*12,$Y$29,0),0))</f>
        <v>#N/A</v>
      </c>
      <c r="W40" s="497" t="e">
        <f t="shared" si="2"/>
        <v>#N/A</v>
      </c>
      <c r="X40" s="497">
        <f t="shared" si="27"/>
        <v>1800000</v>
      </c>
      <c r="Y40" s="501" t="e">
        <f>SUM(W5:W40)+$Z$1*T40</f>
        <v>#N/A</v>
      </c>
      <c r="Z40" s="493"/>
      <c r="AB40" s="492">
        <v>36</v>
      </c>
      <c r="AC40" s="492">
        <v>3</v>
      </c>
      <c r="AD40" s="497">
        <f>IF(('Comparison Calculator'!$E$11-AC40)&gt;=0,0,IFERROR(-PPMT($AH$30/12,(AB40-24),($F$1-2)*12,$AH$29),0))</f>
        <v>0</v>
      </c>
      <c r="AE40" s="497" t="e">
        <f>IF(('Comparison Calculator'!$E$11-AC40)&gt;=0,$C$1*$AH$30/12,IFERROR(-IPMT($AH$30/12,(AB40-24),($F$1-2)*12,$AH$29,0),0))</f>
        <v>#N/A</v>
      </c>
      <c r="AF40" s="497" t="e">
        <f t="shared" si="3"/>
        <v>#N/A</v>
      </c>
      <c r="AG40" s="497">
        <f t="shared" si="28"/>
        <v>1800000</v>
      </c>
      <c r="AH40" s="501" t="e">
        <f>SUM(AF5:AF40)+$AI$1*AC40</f>
        <v>#N/A</v>
      </c>
      <c r="AI40" s="493"/>
      <c r="AK40" s="492">
        <v>36</v>
      </c>
      <c r="AL40" s="492">
        <v>3</v>
      </c>
      <c r="AM40" s="497">
        <f>IF(('Comparison Calculator'!$E$11-AL40)&gt;=0,0,IFERROR(-PPMT($AQ$30/12,(AK40-24),($F$1-2)*12,$AQ$29),0))</f>
        <v>0</v>
      </c>
      <c r="AN40" s="497">
        <f>IF(('Comparison Calculator'!$E$11-AL40)&gt;=0,$C$1*$AQ$30/12,IFERROR(-IPMT($AQ$30/12,(AK40-24),($F$1-2)*12,$AQ$29,0),0))</f>
        <v>8040</v>
      </c>
      <c r="AO40" s="497">
        <f t="shared" si="4"/>
        <v>8040</v>
      </c>
      <c r="AP40" s="497">
        <f t="shared" si="29"/>
        <v>1800000</v>
      </c>
      <c r="AQ40" s="501">
        <f>SUM(AO5:AO40)+$AR$1*AL40</f>
        <v>194457</v>
      </c>
      <c r="AR40" s="493"/>
      <c r="AT40" s="492">
        <v>36</v>
      </c>
      <c r="AU40" s="492">
        <v>3</v>
      </c>
      <c r="AV40" s="497">
        <f>IF(('Comparison Calculator'!$E$11-AU40)&gt;=0,0,IFERROR(-PPMT($AZ$30/12,(AT40-24),($F$1-2)*12,$AZ$29),0))</f>
        <v>0</v>
      </c>
      <c r="AW40" s="497" t="e">
        <f>IF(('Comparison Calculator'!$E$11-AU40)&gt;=0,$C$1*$AZ$30/12,IFERROR(-IPMT($AZ$30/12,(AT40-24),($F$1-2)*12,$AZ$29,0),0))</f>
        <v>#N/A</v>
      </c>
      <c r="AX40" s="497" t="e">
        <f t="shared" si="5"/>
        <v>#N/A</v>
      </c>
      <c r="AY40" s="497">
        <f t="shared" si="30"/>
        <v>1800000</v>
      </c>
      <c r="AZ40" s="501" t="e">
        <f>SUM(AX5:AX40)+$BA$1*AU40</f>
        <v>#N/A</v>
      </c>
      <c r="BA40" s="493"/>
      <c r="BC40" s="492">
        <v>36</v>
      </c>
      <c r="BD40" s="492">
        <v>3</v>
      </c>
      <c r="BE40" s="497">
        <f>IF(('Comparison Calculator'!$E$11-BD40)&gt;=0,0,IFERROR(-PPMT($BI$30/12,(BC40-24),($F$1-2)*12,$BI$29),0))</f>
        <v>0</v>
      </c>
      <c r="BF40" s="497">
        <f>IF(('Comparison Calculator'!$E$11-BD40)&gt;=0,$C$1*$BI$30/12,IFERROR(-IPMT($BI$30/12,(BC40-24),($F$1-2)*12,$BI$29,0),0))</f>
        <v>7470</v>
      </c>
      <c r="BG40" s="497">
        <f t="shared" si="6"/>
        <v>7470</v>
      </c>
      <c r="BH40" s="497">
        <f t="shared" si="31"/>
        <v>1800000</v>
      </c>
      <c r="BI40" s="501">
        <f>SUM(BG5:BG40)+$BA$1*BD40</f>
        <v>180777</v>
      </c>
      <c r="BJ40" s="493"/>
      <c r="BK40" s="492">
        <v>36</v>
      </c>
      <c r="BL40" s="492">
        <v>3</v>
      </c>
      <c r="BM40" s="497">
        <f>IF(('Comparison Calculator'!$E$11-BL40)&gt;=0,0,IFERROR(-PPMT($BQ$30/12,(BK40-24),($F$1-2)*12,$BQ$29),0))</f>
        <v>0</v>
      </c>
      <c r="BN40" s="497">
        <f>IF(('Comparison Calculator'!$E$11-BL40)&gt;=0,$C$1*$BQ$30/12,IFERROR(-IPMT($BQ$30/12,(BK40-24),($F$1-2)*12,$BQ$29,0),0))</f>
        <v>9720</v>
      </c>
      <c r="BO40" s="497">
        <f t="shared" si="7"/>
        <v>9720</v>
      </c>
      <c r="BP40" s="497">
        <f t="shared" si="32"/>
        <v>1800000</v>
      </c>
      <c r="BQ40" s="501">
        <f>SUM(BO5:BO40)+$BR$1*BL40</f>
        <v>234777</v>
      </c>
      <c r="BR40" s="493"/>
      <c r="BT40" s="492">
        <v>36</v>
      </c>
      <c r="BU40" s="492">
        <v>3</v>
      </c>
      <c r="BV40" s="497">
        <f>IF(('Comparison Calculator'!$E$11-BU40)&gt;=0,0,IFERROR(-PPMT($BZ$30/12,(BT40-24),($F$1-2)*12,$BZ$29),0))</f>
        <v>0</v>
      </c>
      <c r="BW40" s="497">
        <f>IF(('Comparison Calculator'!$E$11-BU40)&gt;=0,$C$1*$BZ$30/12,IFERROR(-IPMT($BZ$30/12,(BT40-24),($F$1-2)*12,$BZ$29,0),0))</f>
        <v>9720</v>
      </c>
      <c r="BX40" s="497">
        <f t="shared" si="8"/>
        <v>9720</v>
      </c>
      <c r="BY40" s="497">
        <f t="shared" si="33"/>
        <v>1800000</v>
      </c>
      <c r="BZ40" s="501">
        <f>SUM(BX5:BX40)+$CA$1*BU40</f>
        <v>234777</v>
      </c>
      <c r="CA40" s="493"/>
      <c r="CC40" s="492">
        <v>36</v>
      </c>
      <c r="CD40" s="492">
        <v>3</v>
      </c>
      <c r="CE40" s="497">
        <f>IF(('Comparison Calculator'!$E$11-CD40)&gt;=0,0,IFERROR(-PPMT($CI$30/12,(CC40-24),($F$1-2)*12,$CI$29),0))</f>
        <v>0</v>
      </c>
      <c r="CF40" s="497">
        <f>IF(('Comparison Calculator'!$E$11-CD40)&gt;=0,$C$1*$CI$30/12,IFERROR(-IPMT($CI$30/12,(CC40-24),($F$1-2)*12,$CI$29,0),0))</f>
        <v>9569.9999999999982</v>
      </c>
      <c r="CG40" s="497">
        <f t="shared" si="9"/>
        <v>9569.9999999999982</v>
      </c>
      <c r="CH40" s="497">
        <f t="shared" si="34"/>
        <v>1800000</v>
      </c>
      <c r="CI40" s="501">
        <f>SUM(CG5:CG40)+$CJ$1*CD40</f>
        <v>231083.99999999997</v>
      </c>
      <c r="CJ40" s="493"/>
      <c r="CL40" s="492">
        <v>36</v>
      </c>
      <c r="CM40" s="492">
        <v>3</v>
      </c>
      <c r="CN40" s="497">
        <f>IF(('Comparison Calculator'!$E$11-CM40)&gt;=0,0,IFERROR(-PPMT($CR$30/12,(CL40-24),($F$1-2)*12,$CR$29),0))</f>
        <v>0</v>
      </c>
      <c r="CO40" s="497" t="e">
        <f>IF(('Comparison Calculator'!$E$11-CM40)&gt;=0,$C$1*$CR$30/12,IFERROR(-IPMT($CR$30/12,(CL40-24),($F$1-2)*12,$CR$29,0),0))</f>
        <v>#N/A</v>
      </c>
      <c r="CP40" s="497" t="e">
        <f t="shared" si="10"/>
        <v>#N/A</v>
      </c>
      <c r="CQ40" s="497">
        <f t="shared" si="35"/>
        <v>1800000</v>
      </c>
      <c r="CR40" s="501" t="e">
        <f>SUM(CP5:CP40)+$CS$1*CM40</f>
        <v>#N/A</v>
      </c>
      <c r="CS40" s="493"/>
      <c r="CU40" s="492">
        <v>36</v>
      </c>
      <c r="CV40" s="492">
        <v>3</v>
      </c>
      <c r="CW40" s="497">
        <f>IF(('Comparison Calculator'!$E$11-CV40)&gt;=0,0,IFERROR(-PPMT($DA$30/12,(CU40-24),($F$1-2)*12,$DA$29),0))</f>
        <v>0</v>
      </c>
      <c r="CX40" s="497" t="e">
        <f>IF(('Comparison Calculator'!$E$11-CV40)&gt;=0,$C$1*$DA$30/12,IFERROR(-IPMT($DA$30/12,(CU40-24),($F$1-2)*12,$DA$29,0),0))</f>
        <v>#N/A</v>
      </c>
      <c r="CY40" s="497" t="e">
        <f t="shared" si="11"/>
        <v>#N/A</v>
      </c>
      <c r="CZ40" s="497">
        <f t="shared" si="36"/>
        <v>1800000</v>
      </c>
      <c r="DA40" s="501" t="e">
        <f>SUM(CY5:CY40)+$DB$1*CV40</f>
        <v>#N/A</v>
      </c>
      <c r="DB40" s="493"/>
      <c r="DD40" s="492">
        <v>36</v>
      </c>
      <c r="DE40" s="492">
        <v>3</v>
      </c>
      <c r="DF40" s="497">
        <f>IF(('Comparison Calculator'!$E$11-DE40)&gt;=0,0,IFERROR(-PPMT($DJ$30/12,(DD40-24),($F$1-2)*12,$DJ$29),0))</f>
        <v>0</v>
      </c>
      <c r="DG40" s="497" t="e">
        <f>IF(('Comparison Calculator'!$E$11-DE40)&gt;=0,$C$1*$DJ$30/12,IFERROR(-IPMT($DJ$30/12,(DD40-24),($F$1-2)*12,$DJ$29,0),0))</f>
        <v>#N/A</v>
      </c>
      <c r="DH40" s="497" t="e">
        <f t="shared" si="12"/>
        <v>#N/A</v>
      </c>
      <c r="DI40" s="497">
        <f t="shared" si="37"/>
        <v>1800000</v>
      </c>
      <c r="DJ40" s="501" t="e">
        <f>SUM(DH5:DH40)+$DK$1*DE40</f>
        <v>#N/A</v>
      </c>
      <c r="DK40" s="493"/>
    </row>
    <row r="41" spans="1:115">
      <c r="A41" s="492">
        <v>37</v>
      </c>
      <c r="B41" s="492">
        <v>4</v>
      </c>
      <c r="C41" s="497">
        <f>IF(('Comparison Calculator'!$E$11-B41)&gt;=0,0,IFERROR(-PPMT($G$42/12,(A41-36),($F$1-3)*12,$G$41),0))</f>
        <v>0</v>
      </c>
      <c r="D41" s="497">
        <f>IF(('Comparison Calculator'!$E$11-B41)&gt;=0,$C$1*$G$42/12,IFERROR(-IPMT($G$42/12,(A41-36),($F$1-3)*12,$G$41,0),0))</f>
        <v>9720</v>
      </c>
      <c r="E41" s="497">
        <f t="shared" si="0"/>
        <v>9720</v>
      </c>
      <c r="F41" s="497">
        <f t="shared" si="13"/>
        <v>1800000</v>
      </c>
      <c r="G41" s="497">
        <f>F40</f>
        <v>1800000</v>
      </c>
      <c r="H41" s="502"/>
      <c r="I41" s="503"/>
      <c r="J41" s="492">
        <v>37</v>
      </c>
      <c r="K41" s="492">
        <v>4</v>
      </c>
      <c r="L41" s="497">
        <f>IF(('Comparison Calculator'!$E$11-K41)&gt;=0,0,IFERROR(-PPMT($P$42/12,(J41-36),($F$1-3)*12,$P$41),0))</f>
        <v>0</v>
      </c>
      <c r="M41" s="497">
        <f>IF(('Comparison Calculator'!$E$11-K41)&gt;=0,$C$1*$P$42/12,IFERROR(-IPMT($P$42/12,(J41-36),($F$1-3)*12,$P$41,0),0))</f>
        <v>9720</v>
      </c>
      <c r="N41" s="497">
        <f t="shared" si="1"/>
        <v>9720</v>
      </c>
      <c r="O41" s="497">
        <f t="shared" si="26"/>
        <v>1800000</v>
      </c>
      <c r="P41" s="497">
        <f>O40</f>
        <v>1800000</v>
      </c>
      <c r="Q41" s="502"/>
      <c r="S41" s="492">
        <v>37</v>
      </c>
      <c r="T41" s="492">
        <v>4</v>
      </c>
      <c r="U41" s="497">
        <f>IF(('Comparison Calculator'!$E$11-T41)&gt;=0,0,IFERROR(-PPMT($Y$42/12,(S41-36),($F$1-3)*12,$Y$41),0))</f>
        <v>0</v>
      </c>
      <c r="V41" s="497" t="e">
        <f>IF(('Comparison Calculator'!$E$11-T41)&gt;=0,$C$1*$Y$42/12,IFERROR(-IPMT($Y$42/12,(S41-36),($F$1-3)*12,$Y$41,0),0))</f>
        <v>#N/A</v>
      </c>
      <c r="W41" s="497" t="e">
        <f t="shared" si="2"/>
        <v>#N/A</v>
      </c>
      <c r="X41" s="497">
        <f t="shared" si="27"/>
        <v>1800000</v>
      </c>
      <c r="Y41" s="497">
        <f>X40</f>
        <v>1800000</v>
      </c>
      <c r="Z41" s="502"/>
      <c r="AB41" s="492">
        <v>37</v>
      </c>
      <c r="AC41" s="492">
        <v>4</v>
      </c>
      <c r="AD41" s="497">
        <f>IF(('Comparison Calculator'!$E$11-AC41)&gt;=0,0,IFERROR(-PPMT($AH$42/12,(AB41-36),($F$1-3)*12,$AH$41),0))</f>
        <v>0</v>
      </c>
      <c r="AE41" s="497" t="e">
        <f>IF(('Comparison Calculator'!$E$11-AC41)&gt;=0,$C$1*$AH$42/12,IFERROR(-IPMT($AH$42/12,(AB41-36),($F$1-3)*12,$AH$41,0),0))</f>
        <v>#N/A</v>
      </c>
      <c r="AF41" s="497" t="e">
        <f t="shared" si="3"/>
        <v>#N/A</v>
      </c>
      <c r="AG41" s="497">
        <f t="shared" si="28"/>
        <v>1800000</v>
      </c>
      <c r="AH41" s="497">
        <f>AG40</f>
        <v>1800000</v>
      </c>
      <c r="AI41" s="502"/>
      <c r="AK41" s="492">
        <v>37</v>
      </c>
      <c r="AL41" s="492">
        <v>4</v>
      </c>
      <c r="AM41" s="497">
        <f>IF(('Comparison Calculator'!$E$11-AL41)&gt;=0,0,IFERROR(-PPMT($AQ$42/12,(AK41-36),($F$1-3)*12,$AQ$41),0))</f>
        <v>0</v>
      </c>
      <c r="AN41" s="497">
        <f>IF(('Comparison Calculator'!$E$11-AL41)&gt;=0,$C$1*$AQ$42/12,IFERROR(-IPMT($AQ$42/12,(AK41-36),($F$1-3)*12,$AQ$41,0),0))</f>
        <v>8040</v>
      </c>
      <c r="AO41" s="497">
        <f t="shared" si="4"/>
        <v>8040</v>
      </c>
      <c r="AP41" s="497">
        <f t="shared" si="29"/>
        <v>1800000</v>
      </c>
      <c r="AQ41" s="497">
        <f>AP40</f>
        <v>1800000</v>
      </c>
      <c r="AR41" s="502"/>
      <c r="AT41" s="492">
        <v>37</v>
      </c>
      <c r="AU41" s="492">
        <v>4</v>
      </c>
      <c r="AV41" s="497">
        <f>IF(('Comparison Calculator'!$E$11-AU41)&gt;=0,0,IFERROR(-PPMT($AZ$42/12,(AT41-36),($F$1-3)*12,$AZ$41),0))</f>
        <v>0</v>
      </c>
      <c r="AW41" s="497" t="e">
        <f>IF(('Comparison Calculator'!$E$11-AU41)&gt;=0,$C$1*$AZ$42/12,IFERROR(-IPMT($AZ$42/12,(AT41-36),($F$1-3)*12,$AZ$41,0),0))</f>
        <v>#N/A</v>
      </c>
      <c r="AX41" s="497" t="e">
        <f t="shared" si="5"/>
        <v>#N/A</v>
      </c>
      <c r="AY41" s="497">
        <f t="shared" si="30"/>
        <v>1800000</v>
      </c>
      <c r="AZ41" s="497">
        <f>AY40</f>
        <v>1800000</v>
      </c>
      <c r="BA41" s="502"/>
      <c r="BC41" s="492">
        <v>37</v>
      </c>
      <c r="BD41" s="492">
        <v>4</v>
      </c>
      <c r="BE41" s="497">
        <f>IF(('Comparison Calculator'!$E$11-BD41)&gt;=0,0,IFERROR(-PPMT($BI$42/12,(BC41-36),($F$1-3)*12,$BI$41),0))</f>
        <v>0</v>
      </c>
      <c r="BF41" s="497">
        <f>IF(('Comparison Calculator'!$E$11-BD41)&gt;=0,$C$1*$BI$42/12,IFERROR(-IPMT($BI$42/12,(BC41-36),($F$1-3)*12,$BI$41,0),0))</f>
        <v>7470</v>
      </c>
      <c r="BG41" s="497">
        <f t="shared" si="6"/>
        <v>7470</v>
      </c>
      <c r="BH41" s="497">
        <f t="shared" si="31"/>
        <v>1800000</v>
      </c>
      <c r="BI41" s="497">
        <f>BH40</f>
        <v>1800000</v>
      </c>
      <c r="BJ41" s="502"/>
      <c r="BK41" s="492">
        <v>37</v>
      </c>
      <c r="BL41" s="492">
        <v>4</v>
      </c>
      <c r="BM41" s="497">
        <f>IF(('Comparison Calculator'!$E$11-BL41)&gt;=0,0,IFERROR(-PPMT($BQ$42/12,(BK41-36),($F$1-3)*12,$BQ$41),0))</f>
        <v>0</v>
      </c>
      <c r="BN41" s="497">
        <f>IF(('Comparison Calculator'!$E$11-BL41)&gt;=0,$C$1*$BQ$42/12,IFERROR(-IPMT($BQ$42/12,(BK41-36),($F$1-3)*12,$BQ$41,0),0))</f>
        <v>9720</v>
      </c>
      <c r="BO41" s="497">
        <f t="shared" si="7"/>
        <v>9720</v>
      </c>
      <c r="BP41" s="497">
        <f t="shared" si="32"/>
        <v>1800000</v>
      </c>
      <c r="BQ41" s="497">
        <f>BP40</f>
        <v>1800000</v>
      </c>
      <c r="BR41" s="502"/>
      <c r="BT41" s="492">
        <v>37</v>
      </c>
      <c r="BU41" s="492">
        <v>4</v>
      </c>
      <c r="BV41" s="497">
        <f>IF(('Comparison Calculator'!$E$11-BU41)&gt;=0,0,IFERROR(-PPMT($BZ$42/12,(BT41-36),($F$1-3)*12,$BZ$41),0))</f>
        <v>0</v>
      </c>
      <c r="BW41" s="497">
        <f>IF(('Comparison Calculator'!$E$11-BU41)&gt;=0,$C$1*$BZ$42/12,IFERROR(-IPMT($BZ$42/12,(BT41-36),($F$1-3)*12,$BZ$41,0),0))</f>
        <v>9720</v>
      </c>
      <c r="BX41" s="497">
        <f t="shared" si="8"/>
        <v>9720</v>
      </c>
      <c r="BY41" s="497">
        <f t="shared" si="33"/>
        <v>1800000</v>
      </c>
      <c r="BZ41" s="497">
        <f>BY40</f>
        <v>1800000</v>
      </c>
      <c r="CA41" s="502"/>
      <c r="CC41" s="492">
        <v>37</v>
      </c>
      <c r="CD41" s="492">
        <v>4</v>
      </c>
      <c r="CE41" s="497">
        <f>IF(('Comparison Calculator'!$E$11-CD41)&gt;=0,0,IFERROR(-PPMT($CI$42/12,(CC41-36),($F$1-3)*12,$CI$41),0))</f>
        <v>0</v>
      </c>
      <c r="CF41" s="497">
        <f>IF(('Comparison Calculator'!$E$11-CD41)&gt;=0,$C$1*$CI$42/12,IFERROR(-IPMT($CI$42/12,(CC41-36),($F$1-3)*12,$CI$41,0),0))</f>
        <v>9569.9999999999982</v>
      </c>
      <c r="CG41" s="497">
        <f t="shared" si="9"/>
        <v>9569.9999999999982</v>
      </c>
      <c r="CH41" s="497">
        <f t="shared" si="34"/>
        <v>1800000</v>
      </c>
      <c r="CI41" s="497">
        <f>CH40</f>
        <v>1800000</v>
      </c>
      <c r="CJ41" s="502"/>
      <c r="CL41" s="492">
        <v>37</v>
      </c>
      <c r="CM41" s="492">
        <v>4</v>
      </c>
      <c r="CN41" s="497">
        <f>IF(('Comparison Calculator'!$E$11-CM41)&gt;=0,0,IFERROR(-PPMT($CR$42/12,(CL41-36),($F$1-3)*12,$CR$41),0))</f>
        <v>0</v>
      </c>
      <c r="CO41" s="497" t="e">
        <f>IF(('Comparison Calculator'!$E$11-CM41)&gt;=0,$C$1*$CR$42/12,IFERROR(-IPMT($CR$42/12,(CL41-36),($F$1-3)*12,$CR$41,0),0))</f>
        <v>#N/A</v>
      </c>
      <c r="CP41" s="497" t="e">
        <f t="shared" si="10"/>
        <v>#N/A</v>
      </c>
      <c r="CQ41" s="497">
        <f t="shared" si="35"/>
        <v>1800000</v>
      </c>
      <c r="CR41" s="497">
        <f>CQ40</f>
        <v>1800000</v>
      </c>
      <c r="CS41" s="502"/>
      <c r="CU41" s="492">
        <v>37</v>
      </c>
      <c r="CV41" s="492">
        <v>4</v>
      </c>
      <c r="CW41" s="497">
        <f>IF(('Comparison Calculator'!$E$11-CV41)&gt;=0,0,IFERROR(-PPMT($DA$42/12,(CU41-36),($F$1-3)*12,$DA$41),0))</f>
        <v>0</v>
      </c>
      <c r="CX41" s="497" t="e">
        <f>IF(('Comparison Calculator'!$E$11-CV41)&gt;=0,$C$1*$DA$42/12,IFERROR(-IPMT($DA$42/12,(CU41-36),($F$1-3)*12,$DA$41,0),0))</f>
        <v>#N/A</v>
      </c>
      <c r="CY41" s="497" t="e">
        <f t="shared" si="11"/>
        <v>#N/A</v>
      </c>
      <c r="CZ41" s="497">
        <f t="shared" si="36"/>
        <v>1800000</v>
      </c>
      <c r="DA41" s="497">
        <f>CZ40</f>
        <v>1800000</v>
      </c>
      <c r="DB41" s="502"/>
      <c r="DD41" s="492">
        <v>37</v>
      </c>
      <c r="DE41" s="492">
        <v>4</v>
      </c>
      <c r="DF41" s="497">
        <f>IF(('Comparison Calculator'!$E$11-DE41)&gt;=0,0,IFERROR(-PPMT($DJ$42/12,(DD41-36),($F$1-3)*12,$DJ$41),0))</f>
        <v>0</v>
      </c>
      <c r="DG41" s="497" t="e">
        <f>IF(('Comparison Calculator'!$E$11-DE41)&gt;=0,$C$1*$DJ$42/12,IFERROR(-IPMT($DJ$42/12,(DD41-36),($F$1-3)*12,$DJ$41,0),0))</f>
        <v>#N/A</v>
      </c>
      <c r="DH41" s="497" t="e">
        <f t="shared" si="12"/>
        <v>#N/A</v>
      </c>
      <c r="DI41" s="497">
        <f t="shared" si="37"/>
        <v>1800000</v>
      </c>
      <c r="DJ41" s="497">
        <f>DI40</f>
        <v>1800000</v>
      </c>
      <c r="DK41" s="502"/>
    </row>
    <row r="42" spans="1:115">
      <c r="A42" s="492">
        <v>38</v>
      </c>
      <c r="B42" s="492">
        <v>4</v>
      </c>
      <c r="C42" s="497">
        <f>IF(('Comparison Calculator'!$E$11-B42)&gt;=0,0,IFERROR(-PPMT($G$42/12,(A42-36),($F$1-3)*12,$G$41),0))</f>
        <v>0</v>
      </c>
      <c r="D42" s="497">
        <f>IF(('Comparison Calculator'!$E$11-B42)&gt;=0,$C$1*$G$42/12,IFERROR(-IPMT($G$42/12,(A42-36),($F$1-3)*12,$G$41,0),0))</f>
        <v>9720</v>
      </c>
      <c r="E42" s="497">
        <f t="shared" si="0"/>
        <v>9720</v>
      </c>
      <c r="F42" s="497">
        <f t="shared" si="13"/>
        <v>1800000</v>
      </c>
      <c r="G42" s="504">
        <f>Rates!D25</f>
        <v>6.4799999999999996E-2</v>
      </c>
      <c r="H42" s="493"/>
      <c r="I42" s="489"/>
      <c r="J42" s="492">
        <v>38</v>
      </c>
      <c r="K42" s="492">
        <v>4</v>
      </c>
      <c r="L42" s="497">
        <f>IF(('Comparison Calculator'!$E$11-K42)&gt;=0,0,IFERROR(-PPMT($P$42/12,(J42-36),($F$1-3)*12,$P$41),0))</f>
        <v>0</v>
      </c>
      <c r="M42" s="497">
        <f>IF(('Comparison Calculator'!$E$11-K42)&gt;=0,$C$1*$P$42/12,IFERROR(-IPMT($P$42/12,(J42-36),($F$1-3)*12,$P$41,0),0))</f>
        <v>9720</v>
      </c>
      <c r="N42" s="497">
        <f t="shared" si="1"/>
        <v>9720</v>
      </c>
      <c r="O42" s="497">
        <f t="shared" si="26"/>
        <v>1800000</v>
      </c>
      <c r="P42" s="504">
        <f>Rates!L25</f>
        <v>6.4799999999999996E-2</v>
      </c>
      <c r="Q42" s="493"/>
      <c r="S42" s="492">
        <v>38</v>
      </c>
      <c r="T42" s="492">
        <v>4</v>
      </c>
      <c r="U42" s="497">
        <f>IF(('Comparison Calculator'!$E$11-T42)&gt;=0,0,IFERROR(-PPMT($Y$42/12,(S42-36),($F$1-3)*12,$Y$41),0))</f>
        <v>0</v>
      </c>
      <c r="V42" s="497" t="e">
        <f>IF(('Comparison Calculator'!$E$11-T42)&gt;=0,$C$1*$Y$42/12,IFERROR(-IPMT($Y$42/12,(S42-36),($F$1-3)*12,$Y$41,0),0))</f>
        <v>#N/A</v>
      </c>
      <c r="W42" s="497" t="e">
        <f t="shared" si="2"/>
        <v>#N/A</v>
      </c>
      <c r="X42" s="497">
        <f t="shared" si="27"/>
        <v>1800000</v>
      </c>
      <c r="Y42" s="504" t="e">
        <f>Rates!$E$46</f>
        <v>#N/A</v>
      </c>
      <c r="Z42" s="493"/>
      <c r="AB42" s="492">
        <v>38</v>
      </c>
      <c r="AC42" s="492">
        <v>4</v>
      </c>
      <c r="AD42" s="497">
        <f>IF(('Comparison Calculator'!$E$11-AC42)&gt;=0,0,IFERROR(-PPMT($AH$42/12,(AB42-36),($F$1-3)*12,$AH$41),0))</f>
        <v>0</v>
      </c>
      <c r="AE42" s="497" t="e">
        <f>IF(('Comparison Calculator'!$E$11-AC42)&gt;=0,$C$1*$AH$42/12,IFERROR(-IPMT($AH$42/12,(AB42-36),($F$1-3)*12,$AH$41,0),0))</f>
        <v>#N/A</v>
      </c>
      <c r="AF42" s="497" t="e">
        <f t="shared" si="3"/>
        <v>#N/A</v>
      </c>
      <c r="AG42" s="497">
        <f t="shared" si="28"/>
        <v>1800000</v>
      </c>
      <c r="AH42" s="504" t="e">
        <f>Rates!$M$46</f>
        <v>#N/A</v>
      </c>
      <c r="AI42" s="493"/>
      <c r="AK42" s="492">
        <v>38</v>
      </c>
      <c r="AL42" s="492">
        <v>4</v>
      </c>
      <c r="AM42" s="497">
        <f>IF(('Comparison Calculator'!$E$11-AL42)&gt;=0,0,IFERROR(-PPMT($AQ$42/12,(AK42-36),($F$1-3)*12,$AQ$41),0))</f>
        <v>0</v>
      </c>
      <c r="AN42" s="497">
        <f>IF(('Comparison Calculator'!$E$11-AL42)&gt;=0,$C$1*$AQ$42/12,IFERROR(-IPMT($AQ$42/12,(AK42-36),($F$1-3)*12,$AQ$41,0),0))</f>
        <v>8040</v>
      </c>
      <c r="AO42" s="497">
        <f t="shared" si="4"/>
        <v>8040</v>
      </c>
      <c r="AP42" s="497">
        <f t="shared" si="29"/>
        <v>1800000</v>
      </c>
      <c r="AQ42" s="504">
        <f>Rates!$C$68</f>
        <v>5.3600000000000002E-2</v>
      </c>
      <c r="AR42" s="493"/>
      <c r="AT42" s="492">
        <v>38</v>
      </c>
      <c r="AU42" s="492">
        <v>4</v>
      </c>
      <c r="AV42" s="497">
        <f>IF(('Comparison Calculator'!$E$11-AU42)&gt;=0,0,IFERROR(-PPMT($AZ$42/12,(AT42-36),($F$1-3)*12,$AZ$41),0))</f>
        <v>0</v>
      </c>
      <c r="AW42" s="497" t="e">
        <f>IF(('Comparison Calculator'!$E$11-AU42)&gt;=0,$C$1*$AZ$42/12,IFERROR(-IPMT($AZ$42/12,(AT42-36),($F$1-3)*12,$AZ$41,0),0))</f>
        <v>#N/A</v>
      </c>
      <c r="AX42" s="497" t="e">
        <f t="shared" si="5"/>
        <v>#N/A</v>
      </c>
      <c r="AY42" s="497">
        <f t="shared" si="30"/>
        <v>1800000</v>
      </c>
      <c r="AZ42" s="504" t="e">
        <f>Rates!$L$68</f>
        <v>#N/A</v>
      </c>
      <c r="BA42" s="493"/>
      <c r="BC42" s="492">
        <v>38</v>
      </c>
      <c r="BD42" s="492">
        <v>4</v>
      </c>
      <c r="BE42" s="497">
        <f>IF(('Comparison Calculator'!$E$11-BD42)&gt;=0,0,IFERROR(-PPMT($BI$42/12,(BC42-36),($F$1-3)*12,$BI$41),0))</f>
        <v>0</v>
      </c>
      <c r="BF42" s="497">
        <f>IF(('Comparison Calculator'!$E$11-BD42)&gt;=0,$C$1*$BI$42/12,IFERROR(-IPMT($BI$42/12,(BC42-36),($F$1-3)*12,$BI$41,0),0))</f>
        <v>7470</v>
      </c>
      <c r="BG42" s="497">
        <f t="shared" si="6"/>
        <v>7470</v>
      </c>
      <c r="BH42" s="497">
        <f t="shared" si="31"/>
        <v>1800000</v>
      </c>
      <c r="BI42" s="504">
        <f>'Comparison Calculator'!N12</f>
        <v>4.9799999999999997E-2</v>
      </c>
      <c r="BJ42" s="493"/>
      <c r="BK42" s="492">
        <v>38</v>
      </c>
      <c r="BL42" s="492">
        <v>4</v>
      </c>
      <c r="BM42" s="497">
        <f>IF(('Comparison Calculator'!$E$11-BL42)&gt;=0,0,IFERROR(-PPMT($BQ$42/12,(BK42-36),($F$1-3)*12,$BQ$41),0))</f>
        <v>0</v>
      </c>
      <c r="BN42" s="497">
        <f>IF(('Comparison Calculator'!$E$11-BL42)&gt;=0,$C$1*$BQ$42/12,IFERROR(-IPMT($BQ$42/12,(BK42-36),($F$1-3)*12,$BQ$41,0),0))</f>
        <v>9720</v>
      </c>
      <c r="BO42" s="497">
        <f t="shared" si="7"/>
        <v>9720</v>
      </c>
      <c r="BP42" s="497">
        <f t="shared" si="32"/>
        <v>1800000</v>
      </c>
      <c r="BQ42" s="504">
        <f>Rates!$C$88</f>
        <v>6.4799999999999996E-2</v>
      </c>
      <c r="BR42" s="493"/>
      <c r="BT42" s="492">
        <v>38</v>
      </c>
      <c r="BU42" s="492">
        <v>4</v>
      </c>
      <c r="BV42" s="497">
        <f>IF(('Comparison Calculator'!$E$11-BU42)&gt;=0,0,IFERROR(-PPMT($BZ$42/12,(BT42-36),($F$1-3)*12,$BZ$41),0))</f>
        <v>0</v>
      </c>
      <c r="BW42" s="497">
        <f>IF(('Comparison Calculator'!$E$11-BU42)&gt;=0,$C$1*$BZ$42/12,IFERROR(-IPMT($BZ$42/12,(BT42-36),($F$1-3)*12,$BZ$41,0),0))</f>
        <v>9720</v>
      </c>
      <c r="BX42" s="497">
        <f t="shared" si="8"/>
        <v>9720</v>
      </c>
      <c r="BY42" s="497">
        <f t="shared" si="33"/>
        <v>1800000</v>
      </c>
      <c r="BZ42" s="504">
        <f>Rates!$K$88</f>
        <v>6.4799999999999996E-2</v>
      </c>
      <c r="CA42" s="493"/>
      <c r="CC42" s="492">
        <v>38</v>
      </c>
      <c r="CD42" s="492">
        <v>4</v>
      </c>
      <c r="CE42" s="497">
        <f>IF(('Comparison Calculator'!$E$11-CD42)&gt;=0,0,IFERROR(-PPMT($CI$42/12,(CC42-36),($F$1-3)*12,$CI$41),0))</f>
        <v>0</v>
      </c>
      <c r="CF42" s="497">
        <f>IF(('Comparison Calculator'!$E$11-CD42)&gt;=0,$C$1*$CI$42/12,IFERROR(-IPMT($CI$42/12,(CC42-36),($F$1-3)*12,$CI$41,0),0))</f>
        <v>9569.9999999999982</v>
      </c>
      <c r="CG42" s="497">
        <f t="shared" si="9"/>
        <v>9569.9999999999982</v>
      </c>
      <c r="CH42" s="497">
        <f t="shared" si="34"/>
        <v>1800000</v>
      </c>
      <c r="CI42" s="504">
        <f>Rates!$C$107</f>
        <v>6.3799999999999996E-2</v>
      </c>
      <c r="CJ42" s="493"/>
      <c r="CL42" s="492">
        <v>38</v>
      </c>
      <c r="CM42" s="492">
        <v>4</v>
      </c>
      <c r="CN42" s="497">
        <f>IF(('Comparison Calculator'!$E$11-CM42)&gt;=0,0,IFERROR(-PPMT($CR$42/12,(CL42-36),($F$1-3)*12,$CR$41),0))</f>
        <v>0</v>
      </c>
      <c r="CO42" s="497" t="e">
        <f>IF(('Comparison Calculator'!$E$11-CM42)&gt;=0,$C$1*$CR$42/12,IFERROR(-IPMT($CR$42/12,(CL42-36),($F$1-3)*12,$CR$41,0),0))</f>
        <v>#N/A</v>
      </c>
      <c r="CP42" s="497" t="e">
        <f t="shared" si="10"/>
        <v>#N/A</v>
      </c>
      <c r="CQ42" s="497">
        <f t="shared" si="35"/>
        <v>1800000</v>
      </c>
      <c r="CR42" s="504" t="e">
        <f>Rates!$B$128</f>
        <v>#N/A</v>
      </c>
      <c r="CS42" s="493"/>
      <c r="CU42" s="492">
        <v>38</v>
      </c>
      <c r="CV42" s="492">
        <v>4</v>
      </c>
      <c r="CW42" s="497">
        <f>IF(('Comparison Calculator'!$E$11-CV42)&gt;=0,0,IFERROR(-PPMT($DA$42/12,(CU42-36),($F$1-3)*12,$DA$41),0))</f>
        <v>0</v>
      </c>
      <c r="CX42" s="497" t="e">
        <f>IF(('Comparison Calculator'!$E$11-CV42)&gt;=0,$C$1*$DA$42/12,IFERROR(-IPMT($DA$42/12,(CU42-36),($F$1-3)*12,$DA$41,0),0))</f>
        <v>#N/A</v>
      </c>
      <c r="CY42" s="497" t="e">
        <f t="shared" si="11"/>
        <v>#N/A</v>
      </c>
      <c r="CZ42" s="497">
        <f t="shared" si="36"/>
        <v>1800000</v>
      </c>
      <c r="DA42" s="504" t="e">
        <f>Rates!$C$147</f>
        <v>#N/A</v>
      </c>
      <c r="DB42" s="493"/>
      <c r="DD42" s="492">
        <v>38</v>
      </c>
      <c r="DE42" s="492">
        <v>4</v>
      </c>
      <c r="DF42" s="497">
        <f>IF(('Comparison Calculator'!$E$11-DE42)&gt;=0,0,IFERROR(-PPMT($DJ$42/12,(DD42-36),($F$1-3)*12,$DJ$41),0))</f>
        <v>0</v>
      </c>
      <c r="DG42" s="497" t="e">
        <f>IF(('Comparison Calculator'!$E$11-DE42)&gt;=0,$C$1*$DJ$42/12,IFERROR(-IPMT($DJ$42/12,(DD42-36),($F$1-3)*12,$DJ$41,0),0))</f>
        <v>#N/A</v>
      </c>
      <c r="DH42" s="497" t="e">
        <f t="shared" si="12"/>
        <v>#N/A</v>
      </c>
      <c r="DI42" s="497">
        <f t="shared" si="37"/>
        <v>1800000</v>
      </c>
      <c r="DJ42" s="504" t="e">
        <f>Rates!$C$167</f>
        <v>#N/A</v>
      </c>
      <c r="DK42" s="493"/>
    </row>
    <row r="43" spans="1:115">
      <c r="A43" s="492">
        <v>39</v>
      </c>
      <c r="B43" s="492">
        <v>4</v>
      </c>
      <c r="C43" s="497">
        <f>IF(('Comparison Calculator'!$E$11-B43)&gt;=0,0,IFERROR(-PPMT($G$42/12,(A43-36),($F$1-3)*12,$G$41),0))</f>
        <v>0</v>
      </c>
      <c r="D43" s="497">
        <f>IF(('Comparison Calculator'!$E$11-B43)&gt;=0,$C$1*$G$42/12,IFERROR(-IPMT($G$42/12,(A43-36),($F$1-3)*12,$G$41,0),0))</f>
        <v>9720</v>
      </c>
      <c r="E43" s="497">
        <f t="shared" si="0"/>
        <v>9720</v>
      </c>
      <c r="F43" s="497">
        <f t="shared" si="13"/>
        <v>1800000</v>
      </c>
      <c r="G43" s="493"/>
      <c r="H43" s="493"/>
      <c r="I43" s="489"/>
      <c r="J43" s="492">
        <v>39</v>
      </c>
      <c r="K43" s="492">
        <v>4</v>
      </c>
      <c r="L43" s="497">
        <f>IF(('Comparison Calculator'!$E$11-K43)&gt;=0,0,IFERROR(-PPMT($P$42/12,(J43-36),($F$1-3)*12,$P$41),0))</f>
        <v>0</v>
      </c>
      <c r="M43" s="497">
        <f>IF(('Comparison Calculator'!$E$11-K43)&gt;=0,$C$1*$P$42/12,IFERROR(-IPMT($P$42/12,(J43-36),($F$1-3)*12,$P$41,0),0))</f>
        <v>9720</v>
      </c>
      <c r="N43" s="497">
        <f t="shared" si="1"/>
        <v>9720</v>
      </c>
      <c r="O43" s="497">
        <f t="shared" si="26"/>
        <v>1800000</v>
      </c>
      <c r="P43" s="493"/>
      <c r="Q43" s="493"/>
      <c r="S43" s="492">
        <v>39</v>
      </c>
      <c r="T43" s="492">
        <v>4</v>
      </c>
      <c r="U43" s="497">
        <f>IF(('Comparison Calculator'!$E$11-T43)&gt;=0,0,IFERROR(-PPMT($Y$42/12,(S43-36),($F$1-3)*12,$Y$41),0))</f>
        <v>0</v>
      </c>
      <c r="V43" s="497" t="e">
        <f>IF(('Comparison Calculator'!$E$11-T43)&gt;=0,$C$1*$Y$42/12,IFERROR(-IPMT($Y$42/12,(S43-36),($F$1-3)*12,$Y$41,0),0))</f>
        <v>#N/A</v>
      </c>
      <c r="W43" s="497" t="e">
        <f t="shared" si="2"/>
        <v>#N/A</v>
      </c>
      <c r="X43" s="497">
        <f t="shared" si="27"/>
        <v>1800000</v>
      </c>
      <c r="Y43" s="493"/>
      <c r="Z43" s="493"/>
      <c r="AB43" s="492">
        <v>39</v>
      </c>
      <c r="AC43" s="492">
        <v>4</v>
      </c>
      <c r="AD43" s="497">
        <f>IF(('Comparison Calculator'!$E$11-AC43)&gt;=0,0,IFERROR(-PPMT($AH$42/12,(AB43-36),($F$1-3)*12,$AH$41),0))</f>
        <v>0</v>
      </c>
      <c r="AE43" s="497" t="e">
        <f>IF(('Comparison Calculator'!$E$11-AC43)&gt;=0,$C$1*$AH$42/12,IFERROR(-IPMT($AH$42/12,(AB43-36),($F$1-3)*12,$AH$41,0),0))</f>
        <v>#N/A</v>
      </c>
      <c r="AF43" s="497" t="e">
        <f t="shared" si="3"/>
        <v>#N/A</v>
      </c>
      <c r="AG43" s="497">
        <f t="shared" si="28"/>
        <v>1800000</v>
      </c>
      <c r="AH43" s="493"/>
      <c r="AI43" s="493"/>
      <c r="AK43" s="492">
        <v>39</v>
      </c>
      <c r="AL43" s="492">
        <v>4</v>
      </c>
      <c r="AM43" s="497">
        <f>IF(('Comparison Calculator'!$E$11-AL43)&gt;=0,0,IFERROR(-PPMT($AQ$42/12,(AK43-36),($F$1-3)*12,$AQ$41),0))</f>
        <v>0</v>
      </c>
      <c r="AN43" s="497">
        <f>IF(('Comparison Calculator'!$E$11-AL43)&gt;=0,$C$1*$AQ$42/12,IFERROR(-IPMT($AQ$42/12,(AK43-36),($F$1-3)*12,$AQ$41,0),0))</f>
        <v>8040</v>
      </c>
      <c r="AO43" s="497">
        <f t="shared" si="4"/>
        <v>8040</v>
      </c>
      <c r="AP43" s="497">
        <f t="shared" si="29"/>
        <v>1800000</v>
      </c>
      <c r="AQ43" s="493"/>
      <c r="AR43" s="493"/>
      <c r="AT43" s="492">
        <v>39</v>
      </c>
      <c r="AU43" s="492">
        <v>4</v>
      </c>
      <c r="AV43" s="497">
        <f>IF(('Comparison Calculator'!$E$11-AU43)&gt;=0,0,IFERROR(-PPMT($AZ$42/12,(AT43-36),($F$1-3)*12,$AZ$41),0))</f>
        <v>0</v>
      </c>
      <c r="AW43" s="497" t="e">
        <f>IF(('Comparison Calculator'!$E$11-AU43)&gt;=0,$C$1*$AZ$42/12,IFERROR(-IPMT($AZ$42/12,(AT43-36),($F$1-3)*12,$AZ$41,0),0))</f>
        <v>#N/A</v>
      </c>
      <c r="AX43" s="497" t="e">
        <f t="shared" si="5"/>
        <v>#N/A</v>
      </c>
      <c r="AY43" s="497">
        <f t="shared" si="30"/>
        <v>1800000</v>
      </c>
      <c r="AZ43" s="493"/>
      <c r="BA43" s="493"/>
      <c r="BC43" s="492">
        <v>39</v>
      </c>
      <c r="BD43" s="492">
        <v>4</v>
      </c>
      <c r="BE43" s="497">
        <f>IF(('Comparison Calculator'!$E$11-BD43)&gt;=0,0,IFERROR(-PPMT($BI$42/12,(BC43-36),($F$1-3)*12,$BI$41),0))</f>
        <v>0</v>
      </c>
      <c r="BF43" s="497">
        <f>IF(('Comparison Calculator'!$E$11-BD43)&gt;=0,$C$1*$BI$42/12,IFERROR(-IPMT($BI$42/12,(BC43-36),($F$1-3)*12,$BI$41,0),0))</f>
        <v>7470</v>
      </c>
      <c r="BG43" s="497">
        <f t="shared" si="6"/>
        <v>7470</v>
      </c>
      <c r="BH43" s="497">
        <f t="shared" si="31"/>
        <v>1800000</v>
      </c>
      <c r="BI43" s="493"/>
      <c r="BJ43" s="493"/>
      <c r="BK43" s="492">
        <v>39</v>
      </c>
      <c r="BL43" s="492">
        <v>4</v>
      </c>
      <c r="BM43" s="497">
        <f>IF(('Comparison Calculator'!$E$11-BL43)&gt;=0,0,IFERROR(-PPMT($BQ$42/12,(BK43-36),($F$1-3)*12,$BQ$41),0))</f>
        <v>0</v>
      </c>
      <c r="BN43" s="497">
        <f>IF(('Comparison Calculator'!$E$11-BL43)&gt;=0,$C$1*$BQ$42/12,IFERROR(-IPMT($BQ$42/12,(BK43-36),($F$1-3)*12,$BQ$41,0),0))</f>
        <v>9720</v>
      </c>
      <c r="BO43" s="497">
        <f t="shared" si="7"/>
        <v>9720</v>
      </c>
      <c r="BP43" s="497">
        <f t="shared" si="32"/>
        <v>1800000</v>
      </c>
      <c r="BQ43" s="493"/>
      <c r="BR43" s="493"/>
      <c r="BT43" s="492">
        <v>39</v>
      </c>
      <c r="BU43" s="492">
        <v>4</v>
      </c>
      <c r="BV43" s="497">
        <f>IF(('Comparison Calculator'!$E$11-BU43)&gt;=0,0,IFERROR(-PPMT($BZ$42/12,(BT43-36),($F$1-3)*12,$BZ$41),0))</f>
        <v>0</v>
      </c>
      <c r="BW43" s="497">
        <f>IF(('Comparison Calculator'!$E$11-BU43)&gt;=0,$C$1*$BZ$42/12,IFERROR(-IPMT($BZ$42/12,(BT43-36),($F$1-3)*12,$BZ$41,0),0))</f>
        <v>9720</v>
      </c>
      <c r="BX43" s="497">
        <f t="shared" si="8"/>
        <v>9720</v>
      </c>
      <c r="BY43" s="497">
        <f t="shared" si="33"/>
        <v>1800000</v>
      </c>
      <c r="BZ43" s="493"/>
      <c r="CA43" s="493"/>
      <c r="CC43" s="492">
        <v>39</v>
      </c>
      <c r="CD43" s="492">
        <v>4</v>
      </c>
      <c r="CE43" s="497">
        <f>IF(('Comparison Calculator'!$E$11-CD43)&gt;=0,0,IFERROR(-PPMT($CI$42/12,(CC43-36),($F$1-3)*12,$CI$41),0))</f>
        <v>0</v>
      </c>
      <c r="CF43" s="497">
        <f>IF(('Comparison Calculator'!$E$11-CD43)&gt;=0,$C$1*$CI$42/12,IFERROR(-IPMT($CI$42/12,(CC43-36),($F$1-3)*12,$CI$41,0),0))</f>
        <v>9569.9999999999982</v>
      </c>
      <c r="CG43" s="497">
        <f t="shared" si="9"/>
        <v>9569.9999999999982</v>
      </c>
      <c r="CH43" s="497">
        <f t="shared" si="34"/>
        <v>1800000</v>
      </c>
      <c r="CI43" s="493"/>
      <c r="CJ43" s="493"/>
      <c r="CL43" s="492">
        <v>39</v>
      </c>
      <c r="CM43" s="492">
        <v>4</v>
      </c>
      <c r="CN43" s="497">
        <f>IF(('Comparison Calculator'!$E$11-CM43)&gt;=0,0,IFERROR(-PPMT($CR$42/12,(CL43-36),($F$1-3)*12,$CR$41),0))</f>
        <v>0</v>
      </c>
      <c r="CO43" s="497" t="e">
        <f>IF(('Comparison Calculator'!$E$11-CM43)&gt;=0,$C$1*$CR$42/12,IFERROR(-IPMT($CR$42/12,(CL43-36),($F$1-3)*12,$CR$41,0),0))</f>
        <v>#N/A</v>
      </c>
      <c r="CP43" s="497" t="e">
        <f t="shared" si="10"/>
        <v>#N/A</v>
      </c>
      <c r="CQ43" s="497">
        <f t="shared" si="35"/>
        <v>1800000</v>
      </c>
      <c r="CR43" s="493"/>
      <c r="CS43" s="493"/>
      <c r="CU43" s="492">
        <v>39</v>
      </c>
      <c r="CV43" s="492">
        <v>4</v>
      </c>
      <c r="CW43" s="497">
        <f>IF(('Comparison Calculator'!$E$11-CV43)&gt;=0,0,IFERROR(-PPMT($DA$42/12,(CU43-36),($F$1-3)*12,$DA$41),0))</f>
        <v>0</v>
      </c>
      <c r="CX43" s="497" t="e">
        <f>IF(('Comparison Calculator'!$E$11-CV43)&gt;=0,$C$1*$DA$42/12,IFERROR(-IPMT($DA$42/12,(CU43-36),($F$1-3)*12,$DA$41,0),0))</f>
        <v>#N/A</v>
      </c>
      <c r="CY43" s="497" t="e">
        <f t="shared" si="11"/>
        <v>#N/A</v>
      </c>
      <c r="CZ43" s="497">
        <f t="shared" si="36"/>
        <v>1800000</v>
      </c>
      <c r="DA43" s="493"/>
      <c r="DB43" s="493"/>
      <c r="DD43" s="492">
        <v>39</v>
      </c>
      <c r="DE43" s="492">
        <v>4</v>
      </c>
      <c r="DF43" s="497">
        <f>IF(('Comparison Calculator'!$E$11-DE43)&gt;=0,0,IFERROR(-PPMT($DJ$42/12,(DD43-36),($F$1-3)*12,$DJ$41),0))</f>
        <v>0</v>
      </c>
      <c r="DG43" s="497" t="e">
        <f>IF(('Comparison Calculator'!$E$11-DE43)&gt;=0,$C$1*$DJ$42/12,IFERROR(-IPMT($DJ$42/12,(DD43-36),($F$1-3)*12,$DJ$41,0),0))</f>
        <v>#N/A</v>
      </c>
      <c r="DH43" s="497" t="e">
        <f t="shared" si="12"/>
        <v>#N/A</v>
      </c>
      <c r="DI43" s="497">
        <f t="shared" si="37"/>
        <v>1800000</v>
      </c>
      <c r="DJ43" s="493"/>
      <c r="DK43" s="493"/>
    </row>
    <row r="44" spans="1:115">
      <c r="A44" s="492">
        <v>40</v>
      </c>
      <c r="B44" s="492">
        <v>4</v>
      </c>
      <c r="C44" s="497">
        <f>IF(('Comparison Calculator'!$E$11-B44)&gt;=0,0,IFERROR(-PPMT($G$42/12,(A44-36),($F$1-3)*12,$G$41),0))</f>
        <v>0</v>
      </c>
      <c r="D44" s="497">
        <f>IF(('Comparison Calculator'!$E$11-B44)&gt;=0,$C$1*$G$42/12,IFERROR(-IPMT($G$42/12,(A44-36),($F$1-3)*12,$G$41,0),0))</f>
        <v>9720</v>
      </c>
      <c r="E44" s="497">
        <f t="shared" si="0"/>
        <v>9720</v>
      </c>
      <c r="F44" s="497">
        <f t="shared" si="13"/>
        <v>1800000</v>
      </c>
      <c r="G44" s="493"/>
      <c r="H44" s="493"/>
      <c r="I44" s="489"/>
      <c r="J44" s="492">
        <v>40</v>
      </c>
      <c r="K44" s="492">
        <v>4</v>
      </c>
      <c r="L44" s="497">
        <f>IF(('Comparison Calculator'!$E$11-K44)&gt;=0,0,IFERROR(-PPMT($P$42/12,(J44-36),($F$1-3)*12,$P$41),0))</f>
        <v>0</v>
      </c>
      <c r="M44" s="497">
        <f>IF(('Comparison Calculator'!$E$11-K44)&gt;=0,$C$1*$P$42/12,IFERROR(-IPMT($P$42/12,(J44-36),($F$1-3)*12,$P$41,0),0))</f>
        <v>9720</v>
      </c>
      <c r="N44" s="497">
        <f t="shared" si="1"/>
        <v>9720</v>
      </c>
      <c r="O44" s="497">
        <f t="shared" si="26"/>
        <v>1800000</v>
      </c>
      <c r="P44" s="493"/>
      <c r="Q44" s="493"/>
      <c r="S44" s="492">
        <v>40</v>
      </c>
      <c r="T44" s="492">
        <v>4</v>
      </c>
      <c r="U44" s="497">
        <f>IF(('Comparison Calculator'!$E$11-T44)&gt;=0,0,IFERROR(-PPMT($Y$42/12,(S44-36),($F$1-3)*12,$Y$41),0))</f>
        <v>0</v>
      </c>
      <c r="V44" s="497" t="e">
        <f>IF(('Comparison Calculator'!$E$11-T44)&gt;=0,$C$1*$Y$42/12,IFERROR(-IPMT($Y$42/12,(S44-36),($F$1-3)*12,$Y$41,0),0))</f>
        <v>#N/A</v>
      </c>
      <c r="W44" s="497" t="e">
        <f t="shared" si="2"/>
        <v>#N/A</v>
      </c>
      <c r="X44" s="497">
        <f t="shared" si="27"/>
        <v>1800000</v>
      </c>
      <c r="Y44" s="493"/>
      <c r="Z44" s="493"/>
      <c r="AB44" s="492">
        <v>40</v>
      </c>
      <c r="AC44" s="492">
        <v>4</v>
      </c>
      <c r="AD44" s="497">
        <f>IF(('Comparison Calculator'!$E$11-AC44)&gt;=0,0,IFERROR(-PPMT($AH$42/12,(AB44-36),($F$1-3)*12,$AH$41),0))</f>
        <v>0</v>
      </c>
      <c r="AE44" s="497" t="e">
        <f>IF(('Comparison Calculator'!$E$11-AC44)&gt;=0,$C$1*$AH$42/12,IFERROR(-IPMT($AH$42/12,(AB44-36),($F$1-3)*12,$AH$41,0),0))</f>
        <v>#N/A</v>
      </c>
      <c r="AF44" s="497" t="e">
        <f t="shared" si="3"/>
        <v>#N/A</v>
      </c>
      <c r="AG44" s="497">
        <f t="shared" si="28"/>
        <v>1800000</v>
      </c>
      <c r="AH44" s="493"/>
      <c r="AI44" s="493"/>
      <c r="AK44" s="492">
        <v>40</v>
      </c>
      <c r="AL44" s="492">
        <v>4</v>
      </c>
      <c r="AM44" s="497">
        <f>IF(('Comparison Calculator'!$E$11-AL44)&gt;=0,0,IFERROR(-PPMT($AQ$42/12,(AK44-36),($F$1-3)*12,$AQ$41),0))</f>
        <v>0</v>
      </c>
      <c r="AN44" s="497">
        <f>IF(('Comparison Calculator'!$E$11-AL44)&gt;=0,$C$1*$AQ$42/12,IFERROR(-IPMT($AQ$42/12,(AK44-36),($F$1-3)*12,$AQ$41,0),0))</f>
        <v>8040</v>
      </c>
      <c r="AO44" s="497">
        <f t="shared" si="4"/>
        <v>8040</v>
      </c>
      <c r="AP44" s="497">
        <f t="shared" si="29"/>
        <v>1800000</v>
      </c>
      <c r="AQ44" s="493"/>
      <c r="AR44" s="493"/>
      <c r="AT44" s="492">
        <v>40</v>
      </c>
      <c r="AU44" s="492">
        <v>4</v>
      </c>
      <c r="AV44" s="497">
        <f>IF(('Comparison Calculator'!$E$11-AU44)&gt;=0,0,IFERROR(-PPMT($AZ$42/12,(AT44-36),($F$1-3)*12,$AZ$41),0))</f>
        <v>0</v>
      </c>
      <c r="AW44" s="497" t="e">
        <f>IF(('Comparison Calculator'!$E$11-AU44)&gt;=0,$C$1*$AZ$42/12,IFERROR(-IPMT($AZ$42/12,(AT44-36),($F$1-3)*12,$AZ$41,0),0))</f>
        <v>#N/A</v>
      </c>
      <c r="AX44" s="497" t="e">
        <f t="shared" si="5"/>
        <v>#N/A</v>
      </c>
      <c r="AY44" s="497">
        <f t="shared" si="30"/>
        <v>1800000</v>
      </c>
      <c r="AZ44" s="493"/>
      <c r="BA44" s="493"/>
      <c r="BC44" s="492">
        <v>40</v>
      </c>
      <c r="BD44" s="492">
        <v>4</v>
      </c>
      <c r="BE44" s="497">
        <f>IF(('Comparison Calculator'!$E$11-BD44)&gt;=0,0,IFERROR(-PPMT($BI$42/12,(BC44-36),($F$1-3)*12,$BI$41),0))</f>
        <v>0</v>
      </c>
      <c r="BF44" s="497">
        <f>IF(('Comparison Calculator'!$E$11-BD44)&gt;=0,$C$1*$BI$42/12,IFERROR(-IPMT($BI$42/12,(BC44-36),($F$1-3)*12,$BI$41,0),0))</f>
        <v>7470</v>
      </c>
      <c r="BG44" s="497">
        <f t="shared" si="6"/>
        <v>7470</v>
      </c>
      <c r="BH44" s="497">
        <f t="shared" si="31"/>
        <v>1800000</v>
      </c>
      <c r="BI44" s="493"/>
      <c r="BJ44" s="493"/>
      <c r="BK44" s="492">
        <v>40</v>
      </c>
      <c r="BL44" s="492">
        <v>4</v>
      </c>
      <c r="BM44" s="497">
        <f>IF(('Comparison Calculator'!$E$11-BL44)&gt;=0,0,IFERROR(-PPMT($BQ$42/12,(BK44-36),($F$1-3)*12,$BQ$41),0))</f>
        <v>0</v>
      </c>
      <c r="BN44" s="497">
        <f>IF(('Comparison Calculator'!$E$11-BL44)&gt;=0,$C$1*$BQ$42/12,IFERROR(-IPMT($BQ$42/12,(BK44-36),($F$1-3)*12,$BQ$41,0),0))</f>
        <v>9720</v>
      </c>
      <c r="BO44" s="497">
        <f t="shared" si="7"/>
        <v>9720</v>
      </c>
      <c r="BP44" s="497">
        <f t="shared" si="32"/>
        <v>1800000</v>
      </c>
      <c r="BQ44" s="493"/>
      <c r="BR44" s="493"/>
      <c r="BT44" s="492">
        <v>40</v>
      </c>
      <c r="BU44" s="492">
        <v>4</v>
      </c>
      <c r="BV44" s="497">
        <f>IF(('Comparison Calculator'!$E$11-BU44)&gt;=0,0,IFERROR(-PPMT($BZ$42/12,(BT44-36),($F$1-3)*12,$BZ$41),0))</f>
        <v>0</v>
      </c>
      <c r="BW44" s="497">
        <f>IF(('Comparison Calculator'!$E$11-BU44)&gt;=0,$C$1*$BZ$42/12,IFERROR(-IPMT($BZ$42/12,(BT44-36),($F$1-3)*12,$BZ$41,0),0))</f>
        <v>9720</v>
      </c>
      <c r="BX44" s="497">
        <f t="shared" si="8"/>
        <v>9720</v>
      </c>
      <c r="BY44" s="497">
        <f t="shared" si="33"/>
        <v>1800000</v>
      </c>
      <c r="BZ44" s="493"/>
      <c r="CA44" s="493"/>
      <c r="CC44" s="492">
        <v>40</v>
      </c>
      <c r="CD44" s="492">
        <v>4</v>
      </c>
      <c r="CE44" s="497">
        <f>IF(('Comparison Calculator'!$E$11-CD44)&gt;=0,0,IFERROR(-PPMT($CI$42/12,(CC44-36),($F$1-3)*12,$CI$41),0))</f>
        <v>0</v>
      </c>
      <c r="CF44" s="497">
        <f>IF(('Comparison Calculator'!$E$11-CD44)&gt;=0,$C$1*$CI$42/12,IFERROR(-IPMT($CI$42/12,(CC44-36),($F$1-3)*12,$CI$41,0),0))</f>
        <v>9569.9999999999982</v>
      </c>
      <c r="CG44" s="497">
        <f t="shared" si="9"/>
        <v>9569.9999999999982</v>
      </c>
      <c r="CH44" s="497">
        <f t="shared" si="34"/>
        <v>1800000</v>
      </c>
      <c r="CI44" s="493"/>
      <c r="CJ44" s="493"/>
      <c r="CL44" s="492">
        <v>40</v>
      </c>
      <c r="CM44" s="492">
        <v>4</v>
      </c>
      <c r="CN44" s="497">
        <f>IF(('Comparison Calculator'!$E$11-CM44)&gt;=0,0,IFERROR(-PPMT($CR$42/12,(CL44-36),($F$1-3)*12,$CR$41),0))</f>
        <v>0</v>
      </c>
      <c r="CO44" s="497" t="e">
        <f>IF(('Comparison Calculator'!$E$11-CM44)&gt;=0,$C$1*$CR$42/12,IFERROR(-IPMT($CR$42/12,(CL44-36),($F$1-3)*12,$CR$41,0),0))</f>
        <v>#N/A</v>
      </c>
      <c r="CP44" s="497" t="e">
        <f t="shared" si="10"/>
        <v>#N/A</v>
      </c>
      <c r="CQ44" s="497">
        <f t="shared" si="35"/>
        <v>1800000</v>
      </c>
      <c r="CR44" s="493"/>
      <c r="CS44" s="493"/>
      <c r="CU44" s="492">
        <v>40</v>
      </c>
      <c r="CV44" s="492">
        <v>4</v>
      </c>
      <c r="CW44" s="497">
        <f>IF(('Comparison Calculator'!$E$11-CV44)&gt;=0,0,IFERROR(-PPMT($DA$42/12,(CU44-36),($F$1-3)*12,$DA$41),0))</f>
        <v>0</v>
      </c>
      <c r="CX44" s="497" t="e">
        <f>IF(('Comparison Calculator'!$E$11-CV44)&gt;=0,$C$1*$DA$42/12,IFERROR(-IPMT($DA$42/12,(CU44-36),($F$1-3)*12,$DA$41,0),0))</f>
        <v>#N/A</v>
      </c>
      <c r="CY44" s="497" t="e">
        <f t="shared" si="11"/>
        <v>#N/A</v>
      </c>
      <c r="CZ44" s="497">
        <f t="shared" si="36"/>
        <v>1800000</v>
      </c>
      <c r="DA44" s="493"/>
      <c r="DB44" s="493"/>
      <c r="DD44" s="492">
        <v>40</v>
      </c>
      <c r="DE44" s="492">
        <v>4</v>
      </c>
      <c r="DF44" s="497">
        <f>IF(('Comparison Calculator'!$E$11-DE44)&gt;=0,0,IFERROR(-PPMT($DJ$42/12,(DD44-36),($F$1-3)*12,$DJ$41),0))</f>
        <v>0</v>
      </c>
      <c r="DG44" s="497" t="e">
        <f>IF(('Comparison Calculator'!$E$11-DE44)&gt;=0,$C$1*$DJ$42/12,IFERROR(-IPMT($DJ$42/12,(DD44-36),($F$1-3)*12,$DJ$41,0),0))</f>
        <v>#N/A</v>
      </c>
      <c r="DH44" s="497" t="e">
        <f t="shared" si="12"/>
        <v>#N/A</v>
      </c>
      <c r="DI44" s="497">
        <f t="shared" si="37"/>
        <v>1800000</v>
      </c>
      <c r="DJ44" s="493"/>
      <c r="DK44" s="493"/>
    </row>
    <row r="45" spans="1:115">
      <c r="A45" s="492">
        <v>41</v>
      </c>
      <c r="B45" s="492">
        <v>4</v>
      </c>
      <c r="C45" s="497">
        <f>IF(('Comparison Calculator'!$E$11-B45)&gt;=0,0,IFERROR(-PPMT($G$42/12,(A45-36),($F$1-3)*12,$G$41),0))</f>
        <v>0</v>
      </c>
      <c r="D45" s="497">
        <f>IF(('Comparison Calculator'!$E$11-B45)&gt;=0,$C$1*$G$42/12,IFERROR(-IPMT($G$42/12,(A45-36),($F$1-3)*12,$G$41,0),0))</f>
        <v>9720</v>
      </c>
      <c r="E45" s="497">
        <f t="shared" si="0"/>
        <v>9720</v>
      </c>
      <c r="F45" s="497">
        <f t="shared" si="13"/>
        <v>1800000</v>
      </c>
      <c r="G45" s="493"/>
      <c r="H45" s="493"/>
      <c r="I45" s="489"/>
      <c r="J45" s="492">
        <v>41</v>
      </c>
      <c r="K45" s="492">
        <v>4</v>
      </c>
      <c r="L45" s="497">
        <f>IF(('Comparison Calculator'!$E$11-K45)&gt;=0,0,IFERROR(-PPMT($P$42/12,(J45-36),($F$1-3)*12,$P$41),0))</f>
        <v>0</v>
      </c>
      <c r="M45" s="497">
        <f>IF(('Comparison Calculator'!$E$11-K45)&gt;=0,$C$1*$P$42/12,IFERROR(-IPMT($P$42/12,(J45-36),($F$1-3)*12,$P$41,0),0))</f>
        <v>9720</v>
      </c>
      <c r="N45" s="497">
        <f t="shared" si="1"/>
        <v>9720</v>
      </c>
      <c r="O45" s="497">
        <f t="shared" si="26"/>
        <v>1800000</v>
      </c>
      <c r="P45" s="493"/>
      <c r="Q45" s="493"/>
      <c r="S45" s="492">
        <v>41</v>
      </c>
      <c r="T45" s="492">
        <v>4</v>
      </c>
      <c r="U45" s="497">
        <f>IF(('Comparison Calculator'!$E$11-T45)&gt;=0,0,IFERROR(-PPMT($Y$42/12,(S45-36),($F$1-3)*12,$Y$41),0))</f>
        <v>0</v>
      </c>
      <c r="V45" s="497" t="e">
        <f>IF(('Comparison Calculator'!$E$11-T45)&gt;=0,$C$1*$Y$42/12,IFERROR(-IPMT($Y$42/12,(S45-36),($F$1-3)*12,$Y$41,0),0))</f>
        <v>#N/A</v>
      </c>
      <c r="W45" s="497" t="e">
        <f t="shared" si="2"/>
        <v>#N/A</v>
      </c>
      <c r="X45" s="497">
        <f t="shared" si="27"/>
        <v>1800000</v>
      </c>
      <c r="Y45" s="493"/>
      <c r="Z45" s="493"/>
      <c r="AB45" s="492">
        <v>41</v>
      </c>
      <c r="AC45" s="492">
        <v>4</v>
      </c>
      <c r="AD45" s="497">
        <f>IF(('Comparison Calculator'!$E$11-AC45)&gt;=0,0,IFERROR(-PPMT($AH$42/12,(AB45-36),($F$1-3)*12,$AH$41),0))</f>
        <v>0</v>
      </c>
      <c r="AE45" s="497" t="e">
        <f>IF(('Comparison Calculator'!$E$11-AC45)&gt;=0,$C$1*$AH$42/12,IFERROR(-IPMT($AH$42/12,(AB45-36),($F$1-3)*12,$AH$41,0),0))</f>
        <v>#N/A</v>
      </c>
      <c r="AF45" s="497" t="e">
        <f t="shared" si="3"/>
        <v>#N/A</v>
      </c>
      <c r="AG45" s="497">
        <f t="shared" si="28"/>
        <v>1800000</v>
      </c>
      <c r="AH45" s="493"/>
      <c r="AI45" s="493"/>
      <c r="AK45" s="492">
        <v>41</v>
      </c>
      <c r="AL45" s="492">
        <v>4</v>
      </c>
      <c r="AM45" s="497">
        <f>IF(('Comparison Calculator'!$E$11-AL45)&gt;=0,0,IFERROR(-PPMT($AQ$42/12,(AK45-36),($F$1-3)*12,$AQ$41),0))</f>
        <v>0</v>
      </c>
      <c r="AN45" s="497">
        <f>IF(('Comparison Calculator'!$E$11-AL45)&gt;=0,$C$1*$AQ$42/12,IFERROR(-IPMT($AQ$42/12,(AK45-36),($F$1-3)*12,$AQ$41,0),0))</f>
        <v>8040</v>
      </c>
      <c r="AO45" s="497">
        <f t="shared" si="4"/>
        <v>8040</v>
      </c>
      <c r="AP45" s="497">
        <f t="shared" si="29"/>
        <v>1800000</v>
      </c>
      <c r="AQ45" s="493"/>
      <c r="AR45" s="493"/>
      <c r="AT45" s="492">
        <v>41</v>
      </c>
      <c r="AU45" s="492">
        <v>4</v>
      </c>
      <c r="AV45" s="497">
        <f>IF(('Comparison Calculator'!$E$11-AU45)&gt;=0,0,IFERROR(-PPMT($AZ$42/12,(AT45-36),($F$1-3)*12,$AZ$41),0))</f>
        <v>0</v>
      </c>
      <c r="AW45" s="497" t="e">
        <f>IF(('Comparison Calculator'!$E$11-AU45)&gt;=0,$C$1*$AZ$42/12,IFERROR(-IPMT($AZ$42/12,(AT45-36),($F$1-3)*12,$AZ$41,0),0))</f>
        <v>#N/A</v>
      </c>
      <c r="AX45" s="497" t="e">
        <f t="shared" si="5"/>
        <v>#N/A</v>
      </c>
      <c r="AY45" s="497">
        <f t="shared" si="30"/>
        <v>1800000</v>
      </c>
      <c r="AZ45" s="493"/>
      <c r="BA45" s="493"/>
      <c r="BC45" s="492">
        <v>41</v>
      </c>
      <c r="BD45" s="492">
        <v>4</v>
      </c>
      <c r="BE45" s="497">
        <f>IF(('Comparison Calculator'!$E$11-BD45)&gt;=0,0,IFERROR(-PPMT($BI$42/12,(BC45-36),($F$1-3)*12,$BI$41),0))</f>
        <v>0</v>
      </c>
      <c r="BF45" s="497">
        <f>IF(('Comparison Calculator'!$E$11-BD45)&gt;=0,$C$1*$BI$42/12,IFERROR(-IPMT($BI$42/12,(BC45-36),($F$1-3)*12,$BI$41,0),0))</f>
        <v>7470</v>
      </c>
      <c r="BG45" s="497">
        <f t="shared" si="6"/>
        <v>7470</v>
      </c>
      <c r="BH45" s="497">
        <f t="shared" si="31"/>
        <v>1800000</v>
      </c>
      <c r="BI45" s="493"/>
      <c r="BJ45" s="493"/>
      <c r="BK45" s="492">
        <v>41</v>
      </c>
      <c r="BL45" s="492">
        <v>4</v>
      </c>
      <c r="BM45" s="497">
        <f>IF(('Comparison Calculator'!$E$11-BL45)&gt;=0,0,IFERROR(-PPMT($BQ$42/12,(BK45-36),($F$1-3)*12,$BQ$41),0))</f>
        <v>0</v>
      </c>
      <c r="BN45" s="497">
        <f>IF(('Comparison Calculator'!$E$11-BL45)&gt;=0,$C$1*$BQ$42/12,IFERROR(-IPMT($BQ$42/12,(BK45-36),($F$1-3)*12,$BQ$41,0),0))</f>
        <v>9720</v>
      </c>
      <c r="BO45" s="497">
        <f t="shared" si="7"/>
        <v>9720</v>
      </c>
      <c r="BP45" s="497">
        <f t="shared" si="32"/>
        <v>1800000</v>
      </c>
      <c r="BQ45" s="493"/>
      <c r="BR45" s="493"/>
      <c r="BT45" s="492">
        <v>41</v>
      </c>
      <c r="BU45" s="492">
        <v>4</v>
      </c>
      <c r="BV45" s="497">
        <f>IF(('Comparison Calculator'!$E$11-BU45)&gt;=0,0,IFERROR(-PPMT($BZ$42/12,(BT45-36),($F$1-3)*12,$BZ$41),0))</f>
        <v>0</v>
      </c>
      <c r="BW45" s="497">
        <f>IF(('Comparison Calculator'!$E$11-BU45)&gt;=0,$C$1*$BZ$42/12,IFERROR(-IPMT($BZ$42/12,(BT45-36),($F$1-3)*12,$BZ$41,0),0))</f>
        <v>9720</v>
      </c>
      <c r="BX45" s="497">
        <f t="shared" si="8"/>
        <v>9720</v>
      </c>
      <c r="BY45" s="497">
        <f t="shared" si="33"/>
        <v>1800000</v>
      </c>
      <c r="BZ45" s="493"/>
      <c r="CA45" s="493"/>
      <c r="CC45" s="492">
        <v>41</v>
      </c>
      <c r="CD45" s="492">
        <v>4</v>
      </c>
      <c r="CE45" s="497">
        <f>IF(('Comparison Calculator'!$E$11-CD45)&gt;=0,0,IFERROR(-PPMT($CI$42/12,(CC45-36),($F$1-3)*12,$CI$41),0))</f>
        <v>0</v>
      </c>
      <c r="CF45" s="497">
        <f>IF(('Comparison Calculator'!$E$11-CD45)&gt;=0,$C$1*$CI$42/12,IFERROR(-IPMT($CI$42/12,(CC45-36),($F$1-3)*12,$CI$41,0),0))</f>
        <v>9569.9999999999982</v>
      </c>
      <c r="CG45" s="497">
        <f t="shared" si="9"/>
        <v>9569.9999999999982</v>
      </c>
      <c r="CH45" s="497">
        <f t="shared" si="34"/>
        <v>1800000</v>
      </c>
      <c r="CI45" s="493"/>
      <c r="CJ45" s="493"/>
      <c r="CL45" s="492">
        <v>41</v>
      </c>
      <c r="CM45" s="492">
        <v>4</v>
      </c>
      <c r="CN45" s="497">
        <f>IF(('Comparison Calculator'!$E$11-CM45)&gt;=0,0,IFERROR(-PPMT($CR$42/12,(CL45-36),($F$1-3)*12,$CR$41),0))</f>
        <v>0</v>
      </c>
      <c r="CO45" s="497" t="e">
        <f>IF(('Comparison Calculator'!$E$11-CM45)&gt;=0,$C$1*$CR$42/12,IFERROR(-IPMT($CR$42/12,(CL45-36),($F$1-3)*12,$CR$41,0),0))</f>
        <v>#N/A</v>
      </c>
      <c r="CP45" s="497" t="e">
        <f t="shared" si="10"/>
        <v>#N/A</v>
      </c>
      <c r="CQ45" s="497">
        <f t="shared" si="35"/>
        <v>1800000</v>
      </c>
      <c r="CR45" s="493"/>
      <c r="CS45" s="493"/>
      <c r="CU45" s="492">
        <v>41</v>
      </c>
      <c r="CV45" s="492">
        <v>4</v>
      </c>
      <c r="CW45" s="497">
        <f>IF(('Comparison Calculator'!$E$11-CV45)&gt;=0,0,IFERROR(-PPMT($DA$42/12,(CU45-36),($F$1-3)*12,$DA$41),0))</f>
        <v>0</v>
      </c>
      <c r="CX45" s="497" t="e">
        <f>IF(('Comparison Calculator'!$E$11-CV45)&gt;=0,$C$1*$DA$42/12,IFERROR(-IPMT($DA$42/12,(CU45-36),($F$1-3)*12,$DA$41,0),0))</f>
        <v>#N/A</v>
      </c>
      <c r="CY45" s="497" t="e">
        <f t="shared" si="11"/>
        <v>#N/A</v>
      </c>
      <c r="CZ45" s="497">
        <f t="shared" si="36"/>
        <v>1800000</v>
      </c>
      <c r="DA45" s="493"/>
      <c r="DB45" s="493"/>
      <c r="DD45" s="492">
        <v>41</v>
      </c>
      <c r="DE45" s="492">
        <v>4</v>
      </c>
      <c r="DF45" s="497">
        <f>IF(('Comparison Calculator'!$E$11-DE45)&gt;=0,0,IFERROR(-PPMT($DJ$42/12,(DD45-36),($F$1-3)*12,$DJ$41),0))</f>
        <v>0</v>
      </c>
      <c r="DG45" s="497" t="e">
        <f>IF(('Comparison Calculator'!$E$11-DE45)&gt;=0,$C$1*$DJ$42/12,IFERROR(-IPMT($DJ$42/12,(DD45-36),($F$1-3)*12,$DJ$41,0),0))</f>
        <v>#N/A</v>
      </c>
      <c r="DH45" s="497" t="e">
        <f t="shared" si="12"/>
        <v>#N/A</v>
      </c>
      <c r="DI45" s="497">
        <f t="shared" si="37"/>
        <v>1800000</v>
      </c>
      <c r="DJ45" s="493"/>
      <c r="DK45" s="493"/>
    </row>
    <row r="46" spans="1:115">
      <c r="A46" s="492">
        <v>42</v>
      </c>
      <c r="B46" s="492">
        <v>4</v>
      </c>
      <c r="C46" s="497">
        <f>IF(('Comparison Calculator'!$E$11-B46)&gt;=0,0,IFERROR(-PPMT($G$42/12,(A46-36),($F$1-3)*12,$G$41),0))</f>
        <v>0</v>
      </c>
      <c r="D46" s="497">
        <f>IF(('Comparison Calculator'!$E$11-B46)&gt;=0,$C$1*$G$42/12,IFERROR(-IPMT($G$42/12,(A46-36),($F$1-3)*12,$G$41,0),0))</f>
        <v>9720</v>
      </c>
      <c r="E46" s="497">
        <f t="shared" si="0"/>
        <v>9720</v>
      </c>
      <c r="F46" s="497">
        <f t="shared" si="13"/>
        <v>1800000</v>
      </c>
      <c r="G46" s="493"/>
      <c r="H46" s="493"/>
      <c r="I46" s="489"/>
      <c r="J46" s="492">
        <v>42</v>
      </c>
      <c r="K46" s="492">
        <v>4</v>
      </c>
      <c r="L46" s="497">
        <f>IF(('Comparison Calculator'!$E$11-K46)&gt;=0,0,IFERROR(-PPMT($P$42/12,(J46-36),($F$1-3)*12,$P$41),0))</f>
        <v>0</v>
      </c>
      <c r="M46" s="497">
        <f>IF(('Comparison Calculator'!$E$11-K46)&gt;=0,$C$1*$P$42/12,IFERROR(-IPMT($P$42/12,(J46-36),($F$1-3)*12,$P$41,0),0))</f>
        <v>9720</v>
      </c>
      <c r="N46" s="497">
        <f t="shared" si="1"/>
        <v>9720</v>
      </c>
      <c r="O46" s="497">
        <f t="shared" si="26"/>
        <v>1800000</v>
      </c>
      <c r="P46" s="493"/>
      <c r="Q46" s="493"/>
      <c r="S46" s="492">
        <v>42</v>
      </c>
      <c r="T46" s="492">
        <v>4</v>
      </c>
      <c r="U46" s="497">
        <f>IF(('Comparison Calculator'!$E$11-T46)&gt;=0,0,IFERROR(-PPMT($Y$42/12,(S46-36),($F$1-3)*12,$Y$41),0))</f>
        <v>0</v>
      </c>
      <c r="V46" s="497" t="e">
        <f>IF(('Comparison Calculator'!$E$11-T46)&gt;=0,$C$1*$Y$42/12,IFERROR(-IPMT($Y$42/12,(S46-36),($F$1-3)*12,$Y$41,0),0))</f>
        <v>#N/A</v>
      </c>
      <c r="W46" s="497" t="e">
        <f t="shared" si="2"/>
        <v>#N/A</v>
      </c>
      <c r="X46" s="497">
        <f t="shared" si="27"/>
        <v>1800000</v>
      </c>
      <c r="Y46" s="493"/>
      <c r="Z46" s="493"/>
      <c r="AB46" s="492">
        <v>42</v>
      </c>
      <c r="AC46" s="492">
        <v>4</v>
      </c>
      <c r="AD46" s="497">
        <f>IF(('Comparison Calculator'!$E$11-AC46)&gt;=0,0,IFERROR(-PPMT($AH$42/12,(AB46-36),($F$1-3)*12,$AH$41),0))</f>
        <v>0</v>
      </c>
      <c r="AE46" s="497" t="e">
        <f>IF(('Comparison Calculator'!$E$11-AC46)&gt;=0,$C$1*$AH$42/12,IFERROR(-IPMT($AH$42/12,(AB46-36),($F$1-3)*12,$AH$41,0),0))</f>
        <v>#N/A</v>
      </c>
      <c r="AF46" s="497" t="e">
        <f t="shared" si="3"/>
        <v>#N/A</v>
      </c>
      <c r="AG46" s="497">
        <f t="shared" si="28"/>
        <v>1800000</v>
      </c>
      <c r="AH46" s="493"/>
      <c r="AI46" s="493"/>
      <c r="AK46" s="492">
        <v>42</v>
      </c>
      <c r="AL46" s="492">
        <v>4</v>
      </c>
      <c r="AM46" s="497">
        <f>IF(('Comparison Calculator'!$E$11-AL46)&gt;=0,0,IFERROR(-PPMT($AQ$42/12,(AK46-36),($F$1-3)*12,$AQ$41),0))</f>
        <v>0</v>
      </c>
      <c r="AN46" s="497">
        <f>IF(('Comparison Calculator'!$E$11-AL46)&gt;=0,$C$1*$AQ$42/12,IFERROR(-IPMT($AQ$42/12,(AK46-36),($F$1-3)*12,$AQ$41,0),0))</f>
        <v>8040</v>
      </c>
      <c r="AO46" s="497">
        <f t="shared" si="4"/>
        <v>8040</v>
      </c>
      <c r="AP46" s="497">
        <f t="shared" si="29"/>
        <v>1800000</v>
      </c>
      <c r="AQ46" s="493"/>
      <c r="AR46" s="493"/>
      <c r="AT46" s="492">
        <v>42</v>
      </c>
      <c r="AU46" s="492">
        <v>4</v>
      </c>
      <c r="AV46" s="497">
        <f>IF(('Comparison Calculator'!$E$11-AU46)&gt;=0,0,IFERROR(-PPMT($AZ$42/12,(AT46-36),($F$1-3)*12,$AZ$41),0))</f>
        <v>0</v>
      </c>
      <c r="AW46" s="497" t="e">
        <f>IF(('Comparison Calculator'!$E$11-AU46)&gt;=0,$C$1*$AZ$42/12,IFERROR(-IPMT($AZ$42/12,(AT46-36),($F$1-3)*12,$AZ$41,0),0))</f>
        <v>#N/A</v>
      </c>
      <c r="AX46" s="497" t="e">
        <f t="shared" si="5"/>
        <v>#N/A</v>
      </c>
      <c r="AY46" s="497">
        <f t="shared" si="30"/>
        <v>1800000</v>
      </c>
      <c r="AZ46" s="493"/>
      <c r="BA46" s="493"/>
      <c r="BC46" s="492">
        <v>42</v>
      </c>
      <c r="BD46" s="492">
        <v>4</v>
      </c>
      <c r="BE46" s="497">
        <f>IF(('Comparison Calculator'!$E$11-BD46)&gt;=0,0,IFERROR(-PPMT($BI$42/12,(BC46-36),($F$1-3)*12,$BI$41),0))</f>
        <v>0</v>
      </c>
      <c r="BF46" s="497">
        <f>IF(('Comparison Calculator'!$E$11-BD46)&gt;=0,$C$1*$BI$42/12,IFERROR(-IPMT($BI$42/12,(BC46-36),($F$1-3)*12,$BI$41,0),0))</f>
        <v>7470</v>
      </c>
      <c r="BG46" s="497">
        <f t="shared" si="6"/>
        <v>7470</v>
      </c>
      <c r="BH46" s="497">
        <f t="shared" si="31"/>
        <v>1800000</v>
      </c>
      <c r="BI46" s="493"/>
      <c r="BJ46" s="493"/>
      <c r="BK46" s="492">
        <v>42</v>
      </c>
      <c r="BL46" s="492">
        <v>4</v>
      </c>
      <c r="BM46" s="497">
        <f>IF(('Comparison Calculator'!$E$11-BL46)&gt;=0,0,IFERROR(-PPMT($BQ$42/12,(BK46-36),($F$1-3)*12,$BQ$41),0))</f>
        <v>0</v>
      </c>
      <c r="BN46" s="497">
        <f>IF(('Comparison Calculator'!$E$11-BL46)&gt;=0,$C$1*$BQ$42/12,IFERROR(-IPMT($BQ$42/12,(BK46-36),($F$1-3)*12,$BQ$41,0),0))</f>
        <v>9720</v>
      </c>
      <c r="BO46" s="497">
        <f t="shared" si="7"/>
        <v>9720</v>
      </c>
      <c r="BP46" s="497">
        <f t="shared" si="32"/>
        <v>1800000</v>
      </c>
      <c r="BQ46" s="493"/>
      <c r="BR46" s="493"/>
      <c r="BT46" s="492">
        <v>42</v>
      </c>
      <c r="BU46" s="492">
        <v>4</v>
      </c>
      <c r="BV46" s="497">
        <f>IF(('Comparison Calculator'!$E$11-BU46)&gt;=0,0,IFERROR(-PPMT($BZ$42/12,(BT46-36),($F$1-3)*12,$BZ$41),0))</f>
        <v>0</v>
      </c>
      <c r="BW46" s="497">
        <f>IF(('Comparison Calculator'!$E$11-BU46)&gt;=0,$C$1*$BZ$42/12,IFERROR(-IPMT($BZ$42/12,(BT46-36),($F$1-3)*12,$BZ$41,0),0))</f>
        <v>9720</v>
      </c>
      <c r="BX46" s="497">
        <f t="shared" si="8"/>
        <v>9720</v>
      </c>
      <c r="BY46" s="497">
        <f t="shared" si="33"/>
        <v>1800000</v>
      </c>
      <c r="BZ46" s="493"/>
      <c r="CA46" s="493"/>
      <c r="CC46" s="492">
        <v>42</v>
      </c>
      <c r="CD46" s="492">
        <v>4</v>
      </c>
      <c r="CE46" s="497">
        <f>IF(('Comparison Calculator'!$E$11-CD46)&gt;=0,0,IFERROR(-PPMT($CI$42/12,(CC46-36),($F$1-3)*12,$CI$41),0))</f>
        <v>0</v>
      </c>
      <c r="CF46" s="497">
        <f>IF(('Comparison Calculator'!$E$11-CD46)&gt;=0,$C$1*$CI$42/12,IFERROR(-IPMT($CI$42/12,(CC46-36),($F$1-3)*12,$CI$41,0),0))</f>
        <v>9569.9999999999982</v>
      </c>
      <c r="CG46" s="497">
        <f t="shared" si="9"/>
        <v>9569.9999999999982</v>
      </c>
      <c r="CH46" s="497">
        <f t="shared" si="34"/>
        <v>1800000</v>
      </c>
      <c r="CI46" s="493"/>
      <c r="CJ46" s="493"/>
      <c r="CL46" s="492">
        <v>42</v>
      </c>
      <c r="CM46" s="492">
        <v>4</v>
      </c>
      <c r="CN46" s="497">
        <f>IF(('Comparison Calculator'!$E$11-CM46)&gt;=0,0,IFERROR(-PPMT($CR$42/12,(CL46-36),($F$1-3)*12,$CR$41),0))</f>
        <v>0</v>
      </c>
      <c r="CO46" s="497" t="e">
        <f>IF(('Comparison Calculator'!$E$11-CM46)&gt;=0,$C$1*$CR$42/12,IFERROR(-IPMT($CR$42/12,(CL46-36),($F$1-3)*12,$CR$41,0),0))</f>
        <v>#N/A</v>
      </c>
      <c r="CP46" s="497" t="e">
        <f t="shared" si="10"/>
        <v>#N/A</v>
      </c>
      <c r="CQ46" s="497">
        <f t="shared" si="35"/>
        <v>1800000</v>
      </c>
      <c r="CR46" s="493"/>
      <c r="CS46" s="493"/>
      <c r="CU46" s="492">
        <v>42</v>
      </c>
      <c r="CV46" s="492">
        <v>4</v>
      </c>
      <c r="CW46" s="497">
        <f>IF(('Comparison Calculator'!$E$11-CV46)&gt;=0,0,IFERROR(-PPMT($DA$42/12,(CU46-36),($F$1-3)*12,$DA$41),0))</f>
        <v>0</v>
      </c>
      <c r="CX46" s="497" t="e">
        <f>IF(('Comparison Calculator'!$E$11-CV46)&gt;=0,$C$1*$DA$42/12,IFERROR(-IPMT($DA$42/12,(CU46-36),($F$1-3)*12,$DA$41,0),0))</f>
        <v>#N/A</v>
      </c>
      <c r="CY46" s="497" t="e">
        <f t="shared" si="11"/>
        <v>#N/A</v>
      </c>
      <c r="CZ46" s="497">
        <f t="shared" si="36"/>
        <v>1800000</v>
      </c>
      <c r="DA46" s="493"/>
      <c r="DB46" s="493"/>
      <c r="DD46" s="492">
        <v>42</v>
      </c>
      <c r="DE46" s="492">
        <v>4</v>
      </c>
      <c r="DF46" s="497">
        <f>IF(('Comparison Calculator'!$E$11-DE46)&gt;=0,0,IFERROR(-PPMT($DJ$42/12,(DD46-36),($F$1-3)*12,$DJ$41),0))</f>
        <v>0</v>
      </c>
      <c r="DG46" s="497" t="e">
        <f>IF(('Comparison Calculator'!$E$11-DE46)&gt;=0,$C$1*$DJ$42/12,IFERROR(-IPMT($DJ$42/12,(DD46-36),($F$1-3)*12,$DJ$41,0),0))</f>
        <v>#N/A</v>
      </c>
      <c r="DH46" s="497" t="e">
        <f t="shared" si="12"/>
        <v>#N/A</v>
      </c>
      <c r="DI46" s="497">
        <f t="shared" si="37"/>
        <v>1800000</v>
      </c>
      <c r="DJ46" s="493"/>
      <c r="DK46" s="493"/>
    </row>
    <row r="47" spans="1:115">
      <c r="A47" s="492">
        <v>43</v>
      </c>
      <c r="B47" s="492">
        <v>4</v>
      </c>
      <c r="C47" s="497">
        <f>IF(('Comparison Calculator'!$E$11-B47)&gt;=0,0,IFERROR(-PPMT($G$42/12,(A47-36),($F$1-3)*12,$G$41),0))</f>
        <v>0</v>
      </c>
      <c r="D47" s="497">
        <f>IF(('Comparison Calculator'!$E$11-B47)&gt;=0,$C$1*$G$42/12,IFERROR(-IPMT($G$42/12,(A47-36),($F$1-3)*12,$G$41,0),0))</f>
        <v>9720</v>
      </c>
      <c r="E47" s="497">
        <f t="shared" si="0"/>
        <v>9720</v>
      </c>
      <c r="F47" s="497">
        <f t="shared" si="13"/>
        <v>1800000</v>
      </c>
      <c r="G47" s="493"/>
      <c r="H47" s="493"/>
      <c r="I47" s="489"/>
      <c r="J47" s="492">
        <v>43</v>
      </c>
      <c r="K47" s="492">
        <v>4</v>
      </c>
      <c r="L47" s="497">
        <f>IF(('Comparison Calculator'!$E$11-K47)&gt;=0,0,IFERROR(-PPMT($P$42/12,(J47-36),($F$1-3)*12,$P$41),0))</f>
        <v>0</v>
      </c>
      <c r="M47" s="497">
        <f>IF(('Comparison Calculator'!$E$11-K47)&gt;=0,$C$1*$P$42/12,IFERROR(-IPMT($P$42/12,(J47-36),($F$1-3)*12,$P$41,0),0))</f>
        <v>9720</v>
      </c>
      <c r="N47" s="497">
        <f t="shared" si="1"/>
        <v>9720</v>
      </c>
      <c r="O47" s="497">
        <f t="shared" si="26"/>
        <v>1800000</v>
      </c>
      <c r="P47" s="493"/>
      <c r="Q47" s="493"/>
      <c r="S47" s="492">
        <v>43</v>
      </c>
      <c r="T47" s="492">
        <v>4</v>
      </c>
      <c r="U47" s="497">
        <f>IF(('Comparison Calculator'!$E$11-T47)&gt;=0,0,IFERROR(-PPMT($Y$42/12,(S47-36),($F$1-3)*12,$Y$41),0))</f>
        <v>0</v>
      </c>
      <c r="V47" s="497" t="e">
        <f>IF(('Comparison Calculator'!$E$11-T47)&gt;=0,$C$1*$Y$42/12,IFERROR(-IPMT($Y$42/12,(S47-36),($F$1-3)*12,$Y$41,0),0))</f>
        <v>#N/A</v>
      </c>
      <c r="W47" s="497" t="e">
        <f t="shared" si="2"/>
        <v>#N/A</v>
      </c>
      <c r="X47" s="497">
        <f t="shared" si="27"/>
        <v>1800000</v>
      </c>
      <c r="Y47" s="493"/>
      <c r="Z47" s="493"/>
      <c r="AB47" s="492">
        <v>43</v>
      </c>
      <c r="AC47" s="492">
        <v>4</v>
      </c>
      <c r="AD47" s="497">
        <f>IF(('Comparison Calculator'!$E$11-AC47)&gt;=0,0,IFERROR(-PPMT($AH$42/12,(AB47-36),($F$1-3)*12,$AH$41),0))</f>
        <v>0</v>
      </c>
      <c r="AE47" s="497" t="e">
        <f>IF(('Comparison Calculator'!$E$11-AC47)&gt;=0,$C$1*$AH$42/12,IFERROR(-IPMT($AH$42/12,(AB47-36),($F$1-3)*12,$AH$41,0),0))</f>
        <v>#N/A</v>
      </c>
      <c r="AF47" s="497" t="e">
        <f t="shared" si="3"/>
        <v>#N/A</v>
      </c>
      <c r="AG47" s="497">
        <f t="shared" si="28"/>
        <v>1800000</v>
      </c>
      <c r="AH47" s="493"/>
      <c r="AI47" s="493"/>
      <c r="AK47" s="492">
        <v>43</v>
      </c>
      <c r="AL47" s="492">
        <v>4</v>
      </c>
      <c r="AM47" s="497">
        <f>IF(('Comparison Calculator'!$E$11-AL47)&gt;=0,0,IFERROR(-PPMT($AQ$42/12,(AK47-36),($F$1-3)*12,$AQ$41),0))</f>
        <v>0</v>
      </c>
      <c r="AN47" s="497">
        <f>IF(('Comparison Calculator'!$E$11-AL47)&gt;=0,$C$1*$AQ$42/12,IFERROR(-IPMT($AQ$42/12,(AK47-36),($F$1-3)*12,$AQ$41,0),0))</f>
        <v>8040</v>
      </c>
      <c r="AO47" s="497">
        <f t="shared" si="4"/>
        <v>8040</v>
      </c>
      <c r="AP47" s="497">
        <f t="shared" si="29"/>
        <v>1800000</v>
      </c>
      <c r="AQ47" s="493"/>
      <c r="AR47" s="493"/>
      <c r="AT47" s="492">
        <v>43</v>
      </c>
      <c r="AU47" s="492">
        <v>4</v>
      </c>
      <c r="AV47" s="497">
        <f>IF(('Comparison Calculator'!$E$11-AU47)&gt;=0,0,IFERROR(-PPMT($AZ$42/12,(AT47-36),($F$1-3)*12,$AZ$41),0))</f>
        <v>0</v>
      </c>
      <c r="AW47" s="497" t="e">
        <f>IF(('Comparison Calculator'!$E$11-AU47)&gt;=0,$C$1*$AZ$42/12,IFERROR(-IPMT($AZ$42/12,(AT47-36),($F$1-3)*12,$AZ$41,0),0))</f>
        <v>#N/A</v>
      </c>
      <c r="AX47" s="497" t="e">
        <f t="shared" si="5"/>
        <v>#N/A</v>
      </c>
      <c r="AY47" s="497">
        <f t="shared" si="30"/>
        <v>1800000</v>
      </c>
      <c r="AZ47" s="493"/>
      <c r="BA47" s="493"/>
      <c r="BC47" s="492">
        <v>43</v>
      </c>
      <c r="BD47" s="492">
        <v>4</v>
      </c>
      <c r="BE47" s="497">
        <f>IF(('Comparison Calculator'!$E$11-BD47)&gt;=0,0,IFERROR(-PPMT($BI$42/12,(BC47-36),($F$1-3)*12,$BI$41),0))</f>
        <v>0</v>
      </c>
      <c r="BF47" s="497">
        <f>IF(('Comparison Calculator'!$E$11-BD47)&gt;=0,$C$1*$BI$42/12,IFERROR(-IPMT($BI$42/12,(BC47-36),($F$1-3)*12,$BI$41,0),0))</f>
        <v>7470</v>
      </c>
      <c r="BG47" s="497">
        <f t="shared" si="6"/>
        <v>7470</v>
      </c>
      <c r="BH47" s="497">
        <f t="shared" si="31"/>
        <v>1800000</v>
      </c>
      <c r="BI47" s="493"/>
      <c r="BJ47" s="493"/>
      <c r="BK47" s="492">
        <v>43</v>
      </c>
      <c r="BL47" s="492">
        <v>4</v>
      </c>
      <c r="BM47" s="497">
        <f>IF(('Comparison Calculator'!$E$11-BL47)&gt;=0,0,IFERROR(-PPMT($BQ$42/12,(BK47-36),($F$1-3)*12,$BQ$41),0))</f>
        <v>0</v>
      </c>
      <c r="BN47" s="497">
        <f>IF(('Comparison Calculator'!$E$11-BL47)&gt;=0,$C$1*$BQ$42/12,IFERROR(-IPMT($BQ$42/12,(BK47-36),($F$1-3)*12,$BQ$41,0),0))</f>
        <v>9720</v>
      </c>
      <c r="BO47" s="497">
        <f t="shared" si="7"/>
        <v>9720</v>
      </c>
      <c r="BP47" s="497">
        <f t="shared" si="32"/>
        <v>1800000</v>
      </c>
      <c r="BQ47" s="493"/>
      <c r="BR47" s="493"/>
      <c r="BT47" s="492">
        <v>43</v>
      </c>
      <c r="BU47" s="492">
        <v>4</v>
      </c>
      <c r="BV47" s="497">
        <f>IF(('Comparison Calculator'!$E$11-BU47)&gt;=0,0,IFERROR(-PPMT($BZ$42/12,(BT47-36),($F$1-3)*12,$BZ$41),0))</f>
        <v>0</v>
      </c>
      <c r="BW47" s="497">
        <f>IF(('Comparison Calculator'!$E$11-BU47)&gt;=0,$C$1*$BZ$42/12,IFERROR(-IPMT($BZ$42/12,(BT47-36),($F$1-3)*12,$BZ$41,0),0))</f>
        <v>9720</v>
      </c>
      <c r="BX47" s="497">
        <f t="shared" si="8"/>
        <v>9720</v>
      </c>
      <c r="BY47" s="497">
        <f t="shared" si="33"/>
        <v>1800000</v>
      </c>
      <c r="BZ47" s="493"/>
      <c r="CA47" s="493"/>
      <c r="CC47" s="492">
        <v>43</v>
      </c>
      <c r="CD47" s="492">
        <v>4</v>
      </c>
      <c r="CE47" s="497">
        <f>IF(('Comparison Calculator'!$E$11-CD47)&gt;=0,0,IFERROR(-PPMT($CI$42/12,(CC47-36),($F$1-3)*12,$CI$41),0))</f>
        <v>0</v>
      </c>
      <c r="CF47" s="497">
        <f>IF(('Comparison Calculator'!$E$11-CD47)&gt;=0,$C$1*$CI$42/12,IFERROR(-IPMT($CI$42/12,(CC47-36),($F$1-3)*12,$CI$41,0),0))</f>
        <v>9569.9999999999982</v>
      </c>
      <c r="CG47" s="497">
        <f t="shared" si="9"/>
        <v>9569.9999999999982</v>
      </c>
      <c r="CH47" s="497">
        <f t="shared" si="34"/>
        <v>1800000</v>
      </c>
      <c r="CI47" s="493"/>
      <c r="CJ47" s="493"/>
      <c r="CL47" s="492">
        <v>43</v>
      </c>
      <c r="CM47" s="492">
        <v>4</v>
      </c>
      <c r="CN47" s="497">
        <f>IF(('Comparison Calculator'!$E$11-CM47)&gt;=0,0,IFERROR(-PPMT($CR$42/12,(CL47-36),($F$1-3)*12,$CR$41),0))</f>
        <v>0</v>
      </c>
      <c r="CO47" s="497" t="e">
        <f>IF(('Comparison Calculator'!$E$11-CM47)&gt;=0,$C$1*$CR$42/12,IFERROR(-IPMT($CR$42/12,(CL47-36),($F$1-3)*12,$CR$41,0),0))</f>
        <v>#N/A</v>
      </c>
      <c r="CP47" s="497" t="e">
        <f t="shared" si="10"/>
        <v>#N/A</v>
      </c>
      <c r="CQ47" s="497">
        <f t="shared" si="35"/>
        <v>1800000</v>
      </c>
      <c r="CR47" s="493"/>
      <c r="CS47" s="493"/>
      <c r="CU47" s="492">
        <v>43</v>
      </c>
      <c r="CV47" s="492">
        <v>4</v>
      </c>
      <c r="CW47" s="497">
        <f>IF(('Comparison Calculator'!$E$11-CV47)&gt;=0,0,IFERROR(-PPMT($DA$42/12,(CU47-36),($F$1-3)*12,$DA$41),0))</f>
        <v>0</v>
      </c>
      <c r="CX47" s="497" t="e">
        <f>IF(('Comparison Calculator'!$E$11-CV47)&gt;=0,$C$1*$DA$42/12,IFERROR(-IPMT($DA$42/12,(CU47-36),($F$1-3)*12,$DA$41,0),0))</f>
        <v>#N/A</v>
      </c>
      <c r="CY47" s="497" t="e">
        <f t="shared" si="11"/>
        <v>#N/A</v>
      </c>
      <c r="CZ47" s="497">
        <f t="shared" si="36"/>
        <v>1800000</v>
      </c>
      <c r="DA47" s="493"/>
      <c r="DB47" s="493"/>
      <c r="DD47" s="492">
        <v>43</v>
      </c>
      <c r="DE47" s="492">
        <v>4</v>
      </c>
      <c r="DF47" s="497">
        <f>IF(('Comparison Calculator'!$E$11-DE47)&gt;=0,0,IFERROR(-PPMT($DJ$42/12,(DD47-36),($F$1-3)*12,$DJ$41),0))</f>
        <v>0</v>
      </c>
      <c r="DG47" s="497" t="e">
        <f>IF(('Comparison Calculator'!$E$11-DE47)&gt;=0,$C$1*$DJ$42/12,IFERROR(-IPMT($DJ$42/12,(DD47-36),($F$1-3)*12,$DJ$41,0),0))</f>
        <v>#N/A</v>
      </c>
      <c r="DH47" s="497" t="e">
        <f t="shared" si="12"/>
        <v>#N/A</v>
      </c>
      <c r="DI47" s="497">
        <f t="shared" si="37"/>
        <v>1800000</v>
      </c>
      <c r="DJ47" s="493"/>
      <c r="DK47" s="493"/>
    </row>
    <row r="48" spans="1:115">
      <c r="A48" s="492">
        <v>44</v>
      </c>
      <c r="B48" s="492">
        <v>4</v>
      </c>
      <c r="C48" s="497">
        <f>IF(('Comparison Calculator'!$E$11-B48)&gt;=0,0,IFERROR(-PPMT($G$42/12,(A48-36),($F$1-3)*12,$G$41),0))</f>
        <v>0</v>
      </c>
      <c r="D48" s="497">
        <f>IF(('Comparison Calculator'!$E$11-B48)&gt;=0,$C$1*$G$42/12,IFERROR(-IPMT($G$42/12,(A48-36),($F$1-3)*12,$G$41,0),0))</f>
        <v>9720</v>
      </c>
      <c r="E48" s="497">
        <f t="shared" si="0"/>
        <v>9720</v>
      </c>
      <c r="F48" s="497">
        <f t="shared" si="13"/>
        <v>1800000</v>
      </c>
      <c r="G48" s="493"/>
      <c r="H48" s="493"/>
      <c r="I48" s="489"/>
      <c r="J48" s="492">
        <v>44</v>
      </c>
      <c r="K48" s="492">
        <v>4</v>
      </c>
      <c r="L48" s="497">
        <f>IF(('Comparison Calculator'!$E$11-K48)&gt;=0,0,IFERROR(-PPMT($P$42/12,(J48-36),($F$1-3)*12,$P$41),0))</f>
        <v>0</v>
      </c>
      <c r="M48" s="497">
        <f>IF(('Comparison Calculator'!$E$11-K48)&gt;=0,$C$1*$P$42/12,IFERROR(-IPMT($P$42/12,(J48-36),($F$1-3)*12,$P$41,0),0))</f>
        <v>9720</v>
      </c>
      <c r="N48" s="497">
        <f t="shared" si="1"/>
        <v>9720</v>
      </c>
      <c r="O48" s="497">
        <f t="shared" si="26"/>
        <v>1800000</v>
      </c>
      <c r="P48" s="493"/>
      <c r="Q48" s="493"/>
      <c r="S48" s="492">
        <v>44</v>
      </c>
      <c r="T48" s="492">
        <v>4</v>
      </c>
      <c r="U48" s="497">
        <f>IF(('Comparison Calculator'!$E$11-T48)&gt;=0,0,IFERROR(-PPMT($Y$42/12,(S48-36),($F$1-3)*12,$Y$41),0))</f>
        <v>0</v>
      </c>
      <c r="V48" s="497" t="e">
        <f>IF(('Comparison Calculator'!$E$11-T48)&gt;=0,$C$1*$Y$42/12,IFERROR(-IPMT($Y$42/12,(S48-36),($F$1-3)*12,$Y$41,0),0))</f>
        <v>#N/A</v>
      </c>
      <c r="W48" s="497" t="e">
        <f t="shared" si="2"/>
        <v>#N/A</v>
      </c>
      <c r="X48" s="497">
        <f t="shared" si="27"/>
        <v>1800000</v>
      </c>
      <c r="Y48" s="493"/>
      <c r="Z48" s="493"/>
      <c r="AB48" s="492">
        <v>44</v>
      </c>
      <c r="AC48" s="492">
        <v>4</v>
      </c>
      <c r="AD48" s="497">
        <f>IF(('Comparison Calculator'!$E$11-AC48)&gt;=0,0,IFERROR(-PPMT($AH$42/12,(AB48-36),($F$1-3)*12,$AH$41),0))</f>
        <v>0</v>
      </c>
      <c r="AE48" s="497" t="e">
        <f>IF(('Comparison Calculator'!$E$11-AC48)&gt;=0,$C$1*$AH$42/12,IFERROR(-IPMT($AH$42/12,(AB48-36),($F$1-3)*12,$AH$41,0),0))</f>
        <v>#N/A</v>
      </c>
      <c r="AF48" s="497" t="e">
        <f t="shared" si="3"/>
        <v>#N/A</v>
      </c>
      <c r="AG48" s="497">
        <f t="shared" si="28"/>
        <v>1800000</v>
      </c>
      <c r="AH48" s="493"/>
      <c r="AI48" s="493"/>
      <c r="AK48" s="492">
        <v>44</v>
      </c>
      <c r="AL48" s="492">
        <v>4</v>
      </c>
      <c r="AM48" s="497">
        <f>IF(('Comparison Calculator'!$E$11-AL48)&gt;=0,0,IFERROR(-PPMT($AQ$42/12,(AK48-36),($F$1-3)*12,$AQ$41),0))</f>
        <v>0</v>
      </c>
      <c r="AN48" s="497">
        <f>IF(('Comparison Calculator'!$E$11-AL48)&gt;=0,$C$1*$AQ$42/12,IFERROR(-IPMT($AQ$42/12,(AK48-36),($F$1-3)*12,$AQ$41,0),0))</f>
        <v>8040</v>
      </c>
      <c r="AO48" s="497">
        <f t="shared" si="4"/>
        <v>8040</v>
      </c>
      <c r="AP48" s="497">
        <f t="shared" si="29"/>
        <v>1800000</v>
      </c>
      <c r="AQ48" s="493"/>
      <c r="AR48" s="493"/>
      <c r="AT48" s="492">
        <v>44</v>
      </c>
      <c r="AU48" s="492">
        <v>4</v>
      </c>
      <c r="AV48" s="497">
        <f>IF(('Comparison Calculator'!$E$11-AU48)&gt;=0,0,IFERROR(-PPMT($AZ$42/12,(AT48-36),($F$1-3)*12,$AZ$41),0))</f>
        <v>0</v>
      </c>
      <c r="AW48" s="497" t="e">
        <f>IF(('Comparison Calculator'!$E$11-AU48)&gt;=0,$C$1*$AZ$42/12,IFERROR(-IPMT($AZ$42/12,(AT48-36),($F$1-3)*12,$AZ$41,0),0))</f>
        <v>#N/A</v>
      </c>
      <c r="AX48" s="497" t="e">
        <f t="shared" si="5"/>
        <v>#N/A</v>
      </c>
      <c r="AY48" s="497">
        <f t="shared" si="30"/>
        <v>1800000</v>
      </c>
      <c r="AZ48" s="493"/>
      <c r="BA48" s="493"/>
      <c r="BC48" s="492">
        <v>44</v>
      </c>
      <c r="BD48" s="492">
        <v>4</v>
      </c>
      <c r="BE48" s="497">
        <f>IF(('Comparison Calculator'!$E$11-BD48)&gt;=0,0,IFERROR(-PPMT($BI$42/12,(BC48-36),($F$1-3)*12,$BI$41),0))</f>
        <v>0</v>
      </c>
      <c r="BF48" s="497">
        <f>IF(('Comparison Calculator'!$E$11-BD48)&gt;=0,$C$1*$BI$42/12,IFERROR(-IPMT($BI$42/12,(BC48-36),($F$1-3)*12,$BI$41,0),0))</f>
        <v>7470</v>
      </c>
      <c r="BG48" s="497">
        <f t="shared" si="6"/>
        <v>7470</v>
      </c>
      <c r="BH48" s="497">
        <f t="shared" si="31"/>
        <v>1800000</v>
      </c>
      <c r="BI48" s="493"/>
      <c r="BJ48" s="493"/>
      <c r="BK48" s="492">
        <v>44</v>
      </c>
      <c r="BL48" s="492">
        <v>4</v>
      </c>
      <c r="BM48" s="497">
        <f>IF(('Comparison Calculator'!$E$11-BL48)&gt;=0,0,IFERROR(-PPMT($BQ$42/12,(BK48-36),($F$1-3)*12,$BQ$41),0))</f>
        <v>0</v>
      </c>
      <c r="BN48" s="497">
        <f>IF(('Comparison Calculator'!$E$11-BL48)&gt;=0,$C$1*$BQ$42/12,IFERROR(-IPMT($BQ$42/12,(BK48-36),($F$1-3)*12,$BQ$41,0),0))</f>
        <v>9720</v>
      </c>
      <c r="BO48" s="497">
        <f t="shared" si="7"/>
        <v>9720</v>
      </c>
      <c r="BP48" s="497">
        <f t="shared" si="32"/>
        <v>1800000</v>
      </c>
      <c r="BQ48" s="493"/>
      <c r="BR48" s="493"/>
      <c r="BT48" s="492">
        <v>44</v>
      </c>
      <c r="BU48" s="492">
        <v>4</v>
      </c>
      <c r="BV48" s="497">
        <f>IF(('Comparison Calculator'!$E$11-BU48)&gt;=0,0,IFERROR(-PPMT($BZ$42/12,(BT48-36),($F$1-3)*12,$BZ$41),0))</f>
        <v>0</v>
      </c>
      <c r="BW48" s="497">
        <f>IF(('Comparison Calculator'!$E$11-BU48)&gt;=0,$C$1*$BZ$42/12,IFERROR(-IPMT($BZ$42/12,(BT48-36),($F$1-3)*12,$BZ$41,0),0))</f>
        <v>9720</v>
      </c>
      <c r="BX48" s="497">
        <f t="shared" si="8"/>
        <v>9720</v>
      </c>
      <c r="BY48" s="497">
        <f t="shared" si="33"/>
        <v>1800000</v>
      </c>
      <c r="BZ48" s="493"/>
      <c r="CA48" s="493"/>
      <c r="CC48" s="492">
        <v>44</v>
      </c>
      <c r="CD48" s="492">
        <v>4</v>
      </c>
      <c r="CE48" s="497">
        <f>IF(('Comparison Calculator'!$E$11-CD48)&gt;=0,0,IFERROR(-PPMT($CI$42/12,(CC48-36),($F$1-3)*12,$CI$41),0))</f>
        <v>0</v>
      </c>
      <c r="CF48" s="497">
        <f>IF(('Comparison Calculator'!$E$11-CD48)&gt;=0,$C$1*$CI$42/12,IFERROR(-IPMT($CI$42/12,(CC48-36),($F$1-3)*12,$CI$41,0),0))</f>
        <v>9569.9999999999982</v>
      </c>
      <c r="CG48" s="497">
        <f t="shared" si="9"/>
        <v>9569.9999999999982</v>
      </c>
      <c r="CH48" s="497">
        <f t="shared" si="34"/>
        <v>1800000</v>
      </c>
      <c r="CI48" s="493"/>
      <c r="CJ48" s="493"/>
      <c r="CL48" s="492">
        <v>44</v>
      </c>
      <c r="CM48" s="492">
        <v>4</v>
      </c>
      <c r="CN48" s="497">
        <f>IF(('Comparison Calculator'!$E$11-CM48)&gt;=0,0,IFERROR(-PPMT($CR$42/12,(CL48-36),($F$1-3)*12,$CR$41),0))</f>
        <v>0</v>
      </c>
      <c r="CO48" s="497" t="e">
        <f>IF(('Comparison Calculator'!$E$11-CM48)&gt;=0,$C$1*$CR$42/12,IFERROR(-IPMT($CR$42/12,(CL48-36),($F$1-3)*12,$CR$41,0),0))</f>
        <v>#N/A</v>
      </c>
      <c r="CP48" s="497" t="e">
        <f t="shared" si="10"/>
        <v>#N/A</v>
      </c>
      <c r="CQ48" s="497">
        <f t="shared" si="35"/>
        <v>1800000</v>
      </c>
      <c r="CR48" s="493"/>
      <c r="CS48" s="493"/>
      <c r="CU48" s="492">
        <v>44</v>
      </c>
      <c r="CV48" s="492">
        <v>4</v>
      </c>
      <c r="CW48" s="497">
        <f>IF(('Comparison Calculator'!$E$11-CV48)&gt;=0,0,IFERROR(-PPMT($DA$42/12,(CU48-36),($F$1-3)*12,$DA$41),0))</f>
        <v>0</v>
      </c>
      <c r="CX48" s="497" t="e">
        <f>IF(('Comparison Calculator'!$E$11-CV48)&gt;=0,$C$1*$DA$42/12,IFERROR(-IPMT($DA$42/12,(CU48-36),($F$1-3)*12,$DA$41,0),0))</f>
        <v>#N/A</v>
      </c>
      <c r="CY48" s="497" t="e">
        <f t="shared" si="11"/>
        <v>#N/A</v>
      </c>
      <c r="CZ48" s="497">
        <f t="shared" si="36"/>
        <v>1800000</v>
      </c>
      <c r="DA48" s="493"/>
      <c r="DB48" s="493"/>
      <c r="DD48" s="492">
        <v>44</v>
      </c>
      <c r="DE48" s="492">
        <v>4</v>
      </c>
      <c r="DF48" s="497">
        <f>IF(('Comparison Calculator'!$E$11-DE48)&gt;=0,0,IFERROR(-PPMT($DJ$42/12,(DD48-36),($F$1-3)*12,$DJ$41),0))</f>
        <v>0</v>
      </c>
      <c r="DG48" s="497" t="e">
        <f>IF(('Comparison Calculator'!$E$11-DE48)&gt;=0,$C$1*$DJ$42/12,IFERROR(-IPMT($DJ$42/12,(DD48-36),($F$1-3)*12,$DJ$41,0),0))</f>
        <v>#N/A</v>
      </c>
      <c r="DH48" s="497" t="e">
        <f t="shared" si="12"/>
        <v>#N/A</v>
      </c>
      <c r="DI48" s="497">
        <f t="shared" si="37"/>
        <v>1800000</v>
      </c>
      <c r="DJ48" s="493"/>
      <c r="DK48" s="493"/>
    </row>
    <row r="49" spans="1:115">
      <c r="A49" s="492">
        <v>45</v>
      </c>
      <c r="B49" s="492">
        <v>4</v>
      </c>
      <c r="C49" s="497">
        <f>IF(('Comparison Calculator'!$E$11-B49)&gt;=0,0,IFERROR(-PPMT($G$42/12,(A49-36),($F$1-3)*12,$G$41),0))</f>
        <v>0</v>
      </c>
      <c r="D49" s="497">
        <f>IF(('Comparison Calculator'!$E$11-B49)&gt;=0,$C$1*$G$42/12,IFERROR(-IPMT($G$42/12,(A49-36),($F$1-3)*12,$G$41,0),0))</f>
        <v>9720</v>
      </c>
      <c r="E49" s="497">
        <f t="shared" si="0"/>
        <v>9720</v>
      </c>
      <c r="F49" s="497">
        <f t="shared" si="13"/>
        <v>1800000</v>
      </c>
      <c r="G49" s="493"/>
      <c r="H49" s="493"/>
      <c r="I49" s="489"/>
      <c r="J49" s="492">
        <v>45</v>
      </c>
      <c r="K49" s="492">
        <v>4</v>
      </c>
      <c r="L49" s="497">
        <f>IF(('Comparison Calculator'!$E$11-K49)&gt;=0,0,IFERROR(-PPMT($P$42/12,(J49-36),($F$1-3)*12,$P$41),0))</f>
        <v>0</v>
      </c>
      <c r="M49" s="497">
        <f>IF(('Comparison Calculator'!$E$11-K49)&gt;=0,$C$1*$P$42/12,IFERROR(-IPMT($P$42/12,(J49-36),($F$1-3)*12,$P$41,0),0))</f>
        <v>9720</v>
      </c>
      <c r="N49" s="497">
        <f t="shared" si="1"/>
        <v>9720</v>
      </c>
      <c r="O49" s="497">
        <f t="shared" si="26"/>
        <v>1800000</v>
      </c>
      <c r="P49" s="493"/>
      <c r="Q49" s="493"/>
      <c r="S49" s="492">
        <v>45</v>
      </c>
      <c r="T49" s="492">
        <v>4</v>
      </c>
      <c r="U49" s="497">
        <f>IF(('Comparison Calculator'!$E$11-T49)&gt;=0,0,IFERROR(-PPMT($Y$42/12,(S49-36),($F$1-3)*12,$Y$41),0))</f>
        <v>0</v>
      </c>
      <c r="V49" s="497" t="e">
        <f>IF(('Comparison Calculator'!$E$11-T49)&gt;=0,$C$1*$Y$42/12,IFERROR(-IPMT($Y$42/12,(S49-36),($F$1-3)*12,$Y$41,0),0))</f>
        <v>#N/A</v>
      </c>
      <c r="W49" s="497" t="e">
        <f t="shared" si="2"/>
        <v>#N/A</v>
      </c>
      <c r="X49" s="497">
        <f t="shared" si="27"/>
        <v>1800000</v>
      </c>
      <c r="Y49" s="493"/>
      <c r="Z49" s="493"/>
      <c r="AB49" s="492">
        <v>45</v>
      </c>
      <c r="AC49" s="492">
        <v>4</v>
      </c>
      <c r="AD49" s="497">
        <f>IF(('Comparison Calculator'!$E$11-AC49)&gt;=0,0,IFERROR(-PPMT($AH$42/12,(AB49-36),($F$1-3)*12,$AH$41),0))</f>
        <v>0</v>
      </c>
      <c r="AE49" s="497" t="e">
        <f>IF(('Comparison Calculator'!$E$11-AC49)&gt;=0,$C$1*$AH$42/12,IFERROR(-IPMT($AH$42/12,(AB49-36),($F$1-3)*12,$AH$41,0),0))</f>
        <v>#N/A</v>
      </c>
      <c r="AF49" s="497" t="e">
        <f t="shared" si="3"/>
        <v>#N/A</v>
      </c>
      <c r="AG49" s="497">
        <f t="shared" si="28"/>
        <v>1800000</v>
      </c>
      <c r="AH49" s="493"/>
      <c r="AI49" s="493"/>
      <c r="AK49" s="492">
        <v>45</v>
      </c>
      <c r="AL49" s="492">
        <v>4</v>
      </c>
      <c r="AM49" s="497">
        <f>IF(('Comparison Calculator'!$E$11-AL49)&gt;=0,0,IFERROR(-PPMT($AQ$42/12,(AK49-36),($F$1-3)*12,$AQ$41),0))</f>
        <v>0</v>
      </c>
      <c r="AN49" s="497">
        <f>IF(('Comparison Calculator'!$E$11-AL49)&gt;=0,$C$1*$AQ$42/12,IFERROR(-IPMT($AQ$42/12,(AK49-36),($F$1-3)*12,$AQ$41,0),0))</f>
        <v>8040</v>
      </c>
      <c r="AO49" s="497">
        <f t="shared" si="4"/>
        <v>8040</v>
      </c>
      <c r="AP49" s="497">
        <f t="shared" si="29"/>
        <v>1800000</v>
      </c>
      <c r="AQ49" s="493"/>
      <c r="AR49" s="493"/>
      <c r="AT49" s="492">
        <v>45</v>
      </c>
      <c r="AU49" s="492">
        <v>4</v>
      </c>
      <c r="AV49" s="497">
        <f>IF(('Comparison Calculator'!$E$11-AU49)&gt;=0,0,IFERROR(-PPMT($AZ$42/12,(AT49-36),($F$1-3)*12,$AZ$41),0))</f>
        <v>0</v>
      </c>
      <c r="AW49" s="497" t="e">
        <f>IF(('Comparison Calculator'!$E$11-AU49)&gt;=0,$C$1*$AZ$42/12,IFERROR(-IPMT($AZ$42/12,(AT49-36),($F$1-3)*12,$AZ$41,0),0))</f>
        <v>#N/A</v>
      </c>
      <c r="AX49" s="497" t="e">
        <f t="shared" si="5"/>
        <v>#N/A</v>
      </c>
      <c r="AY49" s="497">
        <f t="shared" si="30"/>
        <v>1800000</v>
      </c>
      <c r="AZ49" s="493"/>
      <c r="BA49" s="493"/>
      <c r="BC49" s="492">
        <v>45</v>
      </c>
      <c r="BD49" s="492">
        <v>4</v>
      </c>
      <c r="BE49" s="497">
        <f>IF(('Comparison Calculator'!$E$11-BD49)&gt;=0,0,IFERROR(-PPMT($BI$42/12,(BC49-36),($F$1-3)*12,$BI$41),0))</f>
        <v>0</v>
      </c>
      <c r="BF49" s="497">
        <f>IF(('Comparison Calculator'!$E$11-BD49)&gt;=0,$C$1*$BI$42/12,IFERROR(-IPMT($BI$42/12,(BC49-36),($F$1-3)*12,$BI$41,0),0))</f>
        <v>7470</v>
      </c>
      <c r="BG49" s="497">
        <f t="shared" si="6"/>
        <v>7470</v>
      </c>
      <c r="BH49" s="497">
        <f t="shared" si="31"/>
        <v>1800000</v>
      </c>
      <c r="BI49" s="493"/>
      <c r="BJ49" s="493"/>
      <c r="BK49" s="492">
        <v>45</v>
      </c>
      <c r="BL49" s="492">
        <v>4</v>
      </c>
      <c r="BM49" s="497">
        <f>IF(('Comparison Calculator'!$E$11-BL49)&gt;=0,0,IFERROR(-PPMT($BQ$42/12,(BK49-36),($F$1-3)*12,$BQ$41),0))</f>
        <v>0</v>
      </c>
      <c r="BN49" s="497">
        <f>IF(('Comparison Calculator'!$E$11-BL49)&gt;=0,$C$1*$BQ$42/12,IFERROR(-IPMT($BQ$42/12,(BK49-36),($F$1-3)*12,$BQ$41,0),0))</f>
        <v>9720</v>
      </c>
      <c r="BO49" s="497">
        <f t="shared" si="7"/>
        <v>9720</v>
      </c>
      <c r="BP49" s="497">
        <f t="shared" si="32"/>
        <v>1800000</v>
      </c>
      <c r="BQ49" s="493"/>
      <c r="BR49" s="493"/>
      <c r="BT49" s="492">
        <v>45</v>
      </c>
      <c r="BU49" s="492">
        <v>4</v>
      </c>
      <c r="BV49" s="497">
        <f>IF(('Comparison Calculator'!$E$11-BU49)&gt;=0,0,IFERROR(-PPMT($BZ$42/12,(BT49-36),($F$1-3)*12,$BZ$41),0))</f>
        <v>0</v>
      </c>
      <c r="BW49" s="497">
        <f>IF(('Comparison Calculator'!$E$11-BU49)&gt;=0,$C$1*$BZ$42/12,IFERROR(-IPMT($BZ$42/12,(BT49-36),($F$1-3)*12,$BZ$41,0),0))</f>
        <v>9720</v>
      </c>
      <c r="BX49" s="497">
        <f t="shared" si="8"/>
        <v>9720</v>
      </c>
      <c r="BY49" s="497">
        <f t="shared" si="33"/>
        <v>1800000</v>
      </c>
      <c r="BZ49" s="493"/>
      <c r="CA49" s="493"/>
      <c r="CC49" s="492">
        <v>45</v>
      </c>
      <c r="CD49" s="492">
        <v>4</v>
      </c>
      <c r="CE49" s="497">
        <f>IF(('Comparison Calculator'!$E$11-CD49)&gt;=0,0,IFERROR(-PPMT($CI$42/12,(CC49-36),($F$1-3)*12,$CI$41),0))</f>
        <v>0</v>
      </c>
      <c r="CF49" s="497">
        <f>IF(('Comparison Calculator'!$E$11-CD49)&gt;=0,$C$1*$CI$42/12,IFERROR(-IPMT($CI$42/12,(CC49-36),($F$1-3)*12,$CI$41,0),0))</f>
        <v>9569.9999999999982</v>
      </c>
      <c r="CG49" s="497">
        <f t="shared" si="9"/>
        <v>9569.9999999999982</v>
      </c>
      <c r="CH49" s="497">
        <f t="shared" si="34"/>
        <v>1800000</v>
      </c>
      <c r="CI49" s="493"/>
      <c r="CJ49" s="493"/>
      <c r="CL49" s="492">
        <v>45</v>
      </c>
      <c r="CM49" s="492">
        <v>4</v>
      </c>
      <c r="CN49" s="497">
        <f>IF(('Comparison Calculator'!$E$11-CM49)&gt;=0,0,IFERROR(-PPMT($CR$42/12,(CL49-36),($F$1-3)*12,$CR$41),0))</f>
        <v>0</v>
      </c>
      <c r="CO49" s="497" t="e">
        <f>IF(('Comparison Calculator'!$E$11-CM49)&gt;=0,$C$1*$CR$42/12,IFERROR(-IPMT($CR$42/12,(CL49-36),($F$1-3)*12,$CR$41,0),0))</f>
        <v>#N/A</v>
      </c>
      <c r="CP49" s="497" t="e">
        <f t="shared" si="10"/>
        <v>#N/A</v>
      </c>
      <c r="CQ49" s="497">
        <f t="shared" si="35"/>
        <v>1800000</v>
      </c>
      <c r="CR49" s="493"/>
      <c r="CS49" s="493"/>
      <c r="CU49" s="492">
        <v>45</v>
      </c>
      <c r="CV49" s="492">
        <v>4</v>
      </c>
      <c r="CW49" s="497">
        <f>IF(('Comparison Calculator'!$E$11-CV49)&gt;=0,0,IFERROR(-PPMT($DA$42/12,(CU49-36),($F$1-3)*12,$DA$41),0))</f>
        <v>0</v>
      </c>
      <c r="CX49" s="497" t="e">
        <f>IF(('Comparison Calculator'!$E$11-CV49)&gt;=0,$C$1*$DA$42/12,IFERROR(-IPMT($DA$42/12,(CU49-36),($F$1-3)*12,$DA$41,0),0))</f>
        <v>#N/A</v>
      </c>
      <c r="CY49" s="497" t="e">
        <f t="shared" si="11"/>
        <v>#N/A</v>
      </c>
      <c r="CZ49" s="497">
        <f t="shared" si="36"/>
        <v>1800000</v>
      </c>
      <c r="DA49" s="493"/>
      <c r="DB49" s="493"/>
      <c r="DD49" s="492">
        <v>45</v>
      </c>
      <c r="DE49" s="492">
        <v>4</v>
      </c>
      <c r="DF49" s="497">
        <f>IF(('Comparison Calculator'!$E$11-DE49)&gt;=0,0,IFERROR(-PPMT($DJ$42/12,(DD49-36),($F$1-3)*12,$DJ$41),0))</f>
        <v>0</v>
      </c>
      <c r="DG49" s="497" t="e">
        <f>IF(('Comparison Calculator'!$E$11-DE49)&gt;=0,$C$1*$DJ$42/12,IFERROR(-IPMT($DJ$42/12,(DD49-36),($F$1-3)*12,$DJ$41,0),0))</f>
        <v>#N/A</v>
      </c>
      <c r="DH49" s="497" t="e">
        <f t="shared" si="12"/>
        <v>#N/A</v>
      </c>
      <c r="DI49" s="497">
        <f t="shared" si="37"/>
        <v>1800000</v>
      </c>
      <c r="DJ49" s="493"/>
      <c r="DK49" s="493"/>
    </row>
    <row r="50" spans="1:115">
      <c r="A50" s="492">
        <v>46</v>
      </c>
      <c r="B50" s="492">
        <v>4</v>
      </c>
      <c r="C50" s="497">
        <f>IF(('Comparison Calculator'!$E$11-B50)&gt;=0,0,IFERROR(-PPMT($G$42/12,(A50-36),($F$1-3)*12,$G$41),0))</f>
        <v>0</v>
      </c>
      <c r="D50" s="497">
        <f>IF(('Comparison Calculator'!$E$11-B50)&gt;=0,$C$1*$G$42/12,IFERROR(-IPMT($G$42/12,(A50-36),($F$1-3)*12,$G$41,0),0))</f>
        <v>9720</v>
      </c>
      <c r="E50" s="497">
        <f t="shared" si="0"/>
        <v>9720</v>
      </c>
      <c r="F50" s="497">
        <f t="shared" si="13"/>
        <v>1800000</v>
      </c>
      <c r="G50" s="493"/>
      <c r="H50" s="493"/>
      <c r="I50" s="489"/>
      <c r="J50" s="492">
        <v>46</v>
      </c>
      <c r="K50" s="492">
        <v>4</v>
      </c>
      <c r="L50" s="497">
        <f>IF(('Comparison Calculator'!$E$11-K50)&gt;=0,0,IFERROR(-PPMT($P$42/12,(J50-36),($F$1-3)*12,$P$41),0))</f>
        <v>0</v>
      </c>
      <c r="M50" s="497">
        <f>IF(('Comparison Calculator'!$E$11-K50)&gt;=0,$C$1*$P$42/12,IFERROR(-IPMT($P$42/12,(J50-36),($F$1-3)*12,$P$41,0),0))</f>
        <v>9720</v>
      </c>
      <c r="N50" s="497">
        <f t="shared" si="1"/>
        <v>9720</v>
      </c>
      <c r="O50" s="497">
        <f t="shared" si="26"/>
        <v>1800000</v>
      </c>
      <c r="P50" s="493"/>
      <c r="Q50" s="493"/>
      <c r="S50" s="492">
        <v>46</v>
      </c>
      <c r="T50" s="492">
        <v>4</v>
      </c>
      <c r="U50" s="497">
        <f>IF(('Comparison Calculator'!$E$11-T50)&gt;=0,0,IFERROR(-PPMT($Y$42/12,(S50-36),($F$1-3)*12,$Y$41),0))</f>
        <v>0</v>
      </c>
      <c r="V50" s="497" t="e">
        <f>IF(('Comparison Calculator'!$E$11-T50)&gt;=0,$C$1*$Y$42/12,IFERROR(-IPMT($Y$42/12,(S50-36),($F$1-3)*12,$Y$41,0),0))</f>
        <v>#N/A</v>
      </c>
      <c r="W50" s="497" t="e">
        <f t="shared" si="2"/>
        <v>#N/A</v>
      </c>
      <c r="X50" s="497">
        <f t="shared" si="27"/>
        <v>1800000</v>
      </c>
      <c r="Y50" s="493"/>
      <c r="Z50" s="493"/>
      <c r="AB50" s="492">
        <v>46</v>
      </c>
      <c r="AC50" s="492">
        <v>4</v>
      </c>
      <c r="AD50" s="497">
        <f>IF(('Comparison Calculator'!$E$11-AC50)&gt;=0,0,IFERROR(-PPMT($AH$42/12,(AB50-36),($F$1-3)*12,$AH$41),0))</f>
        <v>0</v>
      </c>
      <c r="AE50" s="497" t="e">
        <f>IF(('Comparison Calculator'!$E$11-AC50)&gt;=0,$C$1*$AH$42/12,IFERROR(-IPMT($AH$42/12,(AB50-36),($F$1-3)*12,$AH$41,0),0))</f>
        <v>#N/A</v>
      </c>
      <c r="AF50" s="497" t="e">
        <f t="shared" si="3"/>
        <v>#N/A</v>
      </c>
      <c r="AG50" s="497">
        <f t="shared" si="28"/>
        <v>1800000</v>
      </c>
      <c r="AH50" s="493"/>
      <c r="AI50" s="493"/>
      <c r="AK50" s="492">
        <v>46</v>
      </c>
      <c r="AL50" s="492">
        <v>4</v>
      </c>
      <c r="AM50" s="497">
        <f>IF(('Comparison Calculator'!$E$11-AL50)&gt;=0,0,IFERROR(-PPMT($AQ$42/12,(AK50-36),($F$1-3)*12,$AQ$41),0))</f>
        <v>0</v>
      </c>
      <c r="AN50" s="497">
        <f>IF(('Comparison Calculator'!$E$11-AL50)&gt;=0,$C$1*$AQ$42/12,IFERROR(-IPMT($AQ$42/12,(AK50-36),($F$1-3)*12,$AQ$41,0),0))</f>
        <v>8040</v>
      </c>
      <c r="AO50" s="497">
        <f t="shared" si="4"/>
        <v>8040</v>
      </c>
      <c r="AP50" s="497">
        <f t="shared" si="29"/>
        <v>1800000</v>
      </c>
      <c r="AQ50" s="493"/>
      <c r="AR50" s="493"/>
      <c r="AT50" s="492">
        <v>46</v>
      </c>
      <c r="AU50" s="492">
        <v>4</v>
      </c>
      <c r="AV50" s="497">
        <f>IF(('Comparison Calculator'!$E$11-AU50)&gt;=0,0,IFERROR(-PPMT($AZ$42/12,(AT50-36),($F$1-3)*12,$AZ$41),0))</f>
        <v>0</v>
      </c>
      <c r="AW50" s="497" t="e">
        <f>IF(('Comparison Calculator'!$E$11-AU50)&gt;=0,$C$1*$AZ$42/12,IFERROR(-IPMT($AZ$42/12,(AT50-36),($F$1-3)*12,$AZ$41,0),0))</f>
        <v>#N/A</v>
      </c>
      <c r="AX50" s="497" t="e">
        <f t="shared" si="5"/>
        <v>#N/A</v>
      </c>
      <c r="AY50" s="497">
        <f t="shared" si="30"/>
        <v>1800000</v>
      </c>
      <c r="AZ50" s="493"/>
      <c r="BA50" s="493"/>
      <c r="BC50" s="492">
        <v>46</v>
      </c>
      <c r="BD50" s="492">
        <v>4</v>
      </c>
      <c r="BE50" s="497">
        <f>IF(('Comparison Calculator'!$E$11-BD50)&gt;=0,0,IFERROR(-PPMT($BI$42/12,(BC50-36),($F$1-3)*12,$BI$41),0))</f>
        <v>0</v>
      </c>
      <c r="BF50" s="497">
        <f>IF(('Comparison Calculator'!$E$11-BD50)&gt;=0,$C$1*$BI$42/12,IFERROR(-IPMT($BI$42/12,(BC50-36),($F$1-3)*12,$BI$41,0),0))</f>
        <v>7470</v>
      </c>
      <c r="BG50" s="497">
        <f t="shared" si="6"/>
        <v>7470</v>
      </c>
      <c r="BH50" s="497">
        <f t="shared" si="31"/>
        <v>1800000</v>
      </c>
      <c r="BI50" s="493"/>
      <c r="BJ50" s="493"/>
      <c r="BK50" s="492">
        <v>46</v>
      </c>
      <c r="BL50" s="492">
        <v>4</v>
      </c>
      <c r="BM50" s="497">
        <f>IF(('Comparison Calculator'!$E$11-BL50)&gt;=0,0,IFERROR(-PPMT($BQ$42/12,(BK50-36),($F$1-3)*12,$BQ$41),0))</f>
        <v>0</v>
      </c>
      <c r="BN50" s="497">
        <f>IF(('Comparison Calculator'!$E$11-BL50)&gt;=0,$C$1*$BQ$42/12,IFERROR(-IPMT($BQ$42/12,(BK50-36),($F$1-3)*12,$BQ$41,0),0))</f>
        <v>9720</v>
      </c>
      <c r="BO50" s="497">
        <f t="shared" si="7"/>
        <v>9720</v>
      </c>
      <c r="BP50" s="497">
        <f t="shared" si="32"/>
        <v>1800000</v>
      </c>
      <c r="BQ50" s="493"/>
      <c r="BR50" s="493"/>
      <c r="BT50" s="492">
        <v>46</v>
      </c>
      <c r="BU50" s="492">
        <v>4</v>
      </c>
      <c r="BV50" s="497">
        <f>IF(('Comparison Calculator'!$E$11-BU50)&gt;=0,0,IFERROR(-PPMT($BZ$42/12,(BT50-36),($F$1-3)*12,$BZ$41),0))</f>
        <v>0</v>
      </c>
      <c r="BW50" s="497">
        <f>IF(('Comparison Calculator'!$E$11-BU50)&gt;=0,$C$1*$BZ$42/12,IFERROR(-IPMT($BZ$42/12,(BT50-36),($F$1-3)*12,$BZ$41,0),0))</f>
        <v>9720</v>
      </c>
      <c r="BX50" s="497">
        <f t="shared" si="8"/>
        <v>9720</v>
      </c>
      <c r="BY50" s="497">
        <f t="shared" si="33"/>
        <v>1800000</v>
      </c>
      <c r="BZ50" s="493"/>
      <c r="CA50" s="493"/>
      <c r="CC50" s="492">
        <v>46</v>
      </c>
      <c r="CD50" s="492">
        <v>4</v>
      </c>
      <c r="CE50" s="497">
        <f>IF(('Comparison Calculator'!$E$11-CD50)&gt;=0,0,IFERROR(-PPMT($CI$42/12,(CC50-36),($F$1-3)*12,$CI$41),0))</f>
        <v>0</v>
      </c>
      <c r="CF50" s="497">
        <f>IF(('Comparison Calculator'!$E$11-CD50)&gt;=0,$C$1*$CI$42/12,IFERROR(-IPMT($CI$42/12,(CC50-36),($F$1-3)*12,$CI$41,0),0))</f>
        <v>9569.9999999999982</v>
      </c>
      <c r="CG50" s="497">
        <f t="shared" si="9"/>
        <v>9569.9999999999982</v>
      </c>
      <c r="CH50" s="497">
        <f t="shared" si="34"/>
        <v>1800000</v>
      </c>
      <c r="CI50" s="493"/>
      <c r="CJ50" s="493"/>
      <c r="CL50" s="492">
        <v>46</v>
      </c>
      <c r="CM50" s="492">
        <v>4</v>
      </c>
      <c r="CN50" s="497">
        <f>IF(('Comparison Calculator'!$E$11-CM50)&gt;=0,0,IFERROR(-PPMT($CR$42/12,(CL50-36),($F$1-3)*12,$CR$41),0))</f>
        <v>0</v>
      </c>
      <c r="CO50" s="497" t="e">
        <f>IF(('Comparison Calculator'!$E$11-CM50)&gt;=0,$C$1*$CR$42/12,IFERROR(-IPMT($CR$42/12,(CL50-36),($F$1-3)*12,$CR$41,0),0))</f>
        <v>#N/A</v>
      </c>
      <c r="CP50" s="497" t="e">
        <f t="shared" si="10"/>
        <v>#N/A</v>
      </c>
      <c r="CQ50" s="497">
        <f t="shared" si="35"/>
        <v>1800000</v>
      </c>
      <c r="CR50" s="493"/>
      <c r="CS50" s="493"/>
      <c r="CU50" s="492">
        <v>46</v>
      </c>
      <c r="CV50" s="492">
        <v>4</v>
      </c>
      <c r="CW50" s="497">
        <f>IF(('Comparison Calculator'!$E$11-CV50)&gt;=0,0,IFERROR(-PPMT($DA$42/12,(CU50-36),($F$1-3)*12,$DA$41),0))</f>
        <v>0</v>
      </c>
      <c r="CX50" s="497" t="e">
        <f>IF(('Comparison Calculator'!$E$11-CV50)&gt;=0,$C$1*$DA$42/12,IFERROR(-IPMT($DA$42/12,(CU50-36),($F$1-3)*12,$DA$41,0),0))</f>
        <v>#N/A</v>
      </c>
      <c r="CY50" s="497" t="e">
        <f t="shared" si="11"/>
        <v>#N/A</v>
      </c>
      <c r="CZ50" s="497">
        <f t="shared" si="36"/>
        <v>1800000</v>
      </c>
      <c r="DA50" s="493"/>
      <c r="DB50" s="493"/>
      <c r="DD50" s="492">
        <v>46</v>
      </c>
      <c r="DE50" s="492">
        <v>4</v>
      </c>
      <c r="DF50" s="497">
        <f>IF(('Comparison Calculator'!$E$11-DE50)&gt;=0,0,IFERROR(-PPMT($DJ$42/12,(DD50-36),($F$1-3)*12,$DJ$41),0))</f>
        <v>0</v>
      </c>
      <c r="DG50" s="497" t="e">
        <f>IF(('Comparison Calculator'!$E$11-DE50)&gt;=0,$C$1*$DJ$42/12,IFERROR(-IPMT($DJ$42/12,(DD50-36),($F$1-3)*12,$DJ$41,0),0))</f>
        <v>#N/A</v>
      </c>
      <c r="DH50" s="497" t="e">
        <f t="shared" si="12"/>
        <v>#N/A</v>
      </c>
      <c r="DI50" s="497">
        <f t="shared" si="37"/>
        <v>1800000</v>
      </c>
      <c r="DJ50" s="493"/>
      <c r="DK50" s="493"/>
    </row>
    <row r="51" spans="1:115">
      <c r="A51" s="492">
        <v>47</v>
      </c>
      <c r="B51" s="492">
        <v>4</v>
      </c>
      <c r="C51" s="497">
        <f>IF(('Comparison Calculator'!$E$11-B51)&gt;=0,0,IFERROR(-PPMT($G$42/12,(A51-36),($F$1-3)*12,$G$41),0))</f>
        <v>0</v>
      </c>
      <c r="D51" s="497">
        <f>IF(('Comparison Calculator'!$E$11-B51)&gt;=0,$C$1*$G$42/12,IFERROR(-IPMT($G$42/12,(A51-36),($F$1-3)*12,$G$41,0),0))</f>
        <v>9720</v>
      </c>
      <c r="E51" s="497">
        <f t="shared" si="0"/>
        <v>9720</v>
      </c>
      <c r="F51" s="497">
        <f t="shared" si="13"/>
        <v>1800000</v>
      </c>
      <c r="G51" s="493"/>
      <c r="H51" s="493"/>
      <c r="I51" s="489"/>
      <c r="J51" s="492">
        <v>47</v>
      </c>
      <c r="K51" s="492">
        <v>4</v>
      </c>
      <c r="L51" s="497">
        <f>IF(('Comparison Calculator'!$E$11-K51)&gt;=0,0,IFERROR(-PPMT($P$42/12,(J51-36),($F$1-3)*12,$P$41),0))</f>
        <v>0</v>
      </c>
      <c r="M51" s="497">
        <f>IF(('Comparison Calculator'!$E$11-K51)&gt;=0,$C$1*$P$42/12,IFERROR(-IPMT($P$42/12,(J51-36),($F$1-3)*12,$P$41,0),0))</f>
        <v>9720</v>
      </c>
      <c r="N51" s="497">
        <f t="shared" si="1"/>
        <v>9720</v>
      </c>
      <c r="O51" s="497">
        <f t="shared" si="26"/>
        <v>1800000</v>
      </c>
      <c r="P51" s="493"/>
      <c r="Q51" s="493"/>
      <c r="S51" s="492">
        <v>47</v>
      </c>
      <c r="T51" s="492">
        <v>4</v>
      </c>
      <c r="U51" s="497">
        <f>IF(('Comparison Calculator'!$E$11-T51)&gt;=0,0,IFERROR(-PPMT($Y$42/12,(S51-36),($F$1-3)*12,$Y$41),0))</f>
        <v>0</v>
      </c>
      <c r="V51" s="497" t="e">
        <f>IF(('Comparison Calculator'!$E$11-T51)&gt;=0,$C$1*$Y$42/12,IFERROR(-IPMT($Y$42/12,(S51-36),($F$1-3)*12,$Y$41,0),0))</f>
        <v>#N/A</v>
      </c>
      <c r="W51" s="497" t="e">
        <f t="shared" si="2"/>
        <v>#N/A</v>
      </c>
      <c r="X51" s="497">
        <f t="shared" si="27"/>
        <v>1800000</v>
      </c>
      <c r="Y51" s="493"/>
      <c r="Z51" s="493"/>
      <c r="AB51" s="492">
        <v>47</v>
      </c>
      <c r="AC51" s="492">
        <v>4</v>
      </c>
      <c r="AD51" s="497">
        <f>IF(('Comparison Calculator'!$E$11-AC51)&gt;=0,0,IFERROR(-PPMT($AH$42/12,(AB51-36),($F$1-3)*12,$AH$41),0))</f>
        <v>0</v>
      </c>
      <c r="AE51" s="497" t="e">
        <f>IF(('Comparison Calculator'!$E$11-AC51)&gt;=0,$C$1*$AH$42/12,IFERROR(-IPMT($AH$42/12,(AB51-36),($F$1-3)*12,$AH$41,0),0))</f>
        <v>#N/A</v>
      </c>
      <c r="AF51" s="497" t="e">
        <f t="shared" si="3"/>
        <v>#N/A</v>
      </c>
      <c r="AG51" s="497">
        <f t="shared" si="28"/>
        <v>1800000</v>
      </c>
      <c r="AH51" s="493"/>
      <c r="AI51" s="493"/>
      <c r="AK51" s="492">
        <v>47</v>
      </c>
      <c r="AL51" s="492">
        <v>4</v>
      </c>
      <c r="AM51" s="497">
        <f>IF(('Comparison Calculator'!$E$11-AL51)&gt;=0,0,IFERROR(-PPMT($AQ$42/12,(AK51-36),($F$1-3)*12,$AQ$41),0))</f>
        <v>0</v>
      </c>
      <c r="AN51" s="497">
        <f>IF(('Comparison Calculator'!$E$11-AL51)&gt;=0,$C$1*$AQ$42/12,IFERROR(-IPMT($AQ$42/12,(AK51-36),($F$1-3)*12,$AQ$41,0),0))</f>
        <v>8040</v>
      </c>
      <c r="AO51" s="497">
        <f t="shared" si="4"/>
        <v>8040</v>
      </c>
      <c r="AP51" s="497">
        <f t="shared" si="29"/>
        <v>1800000</v>
      </c>
      <c r="AQ51" s="493"/>
      <c r="AR51" s="493"/>
      <c r="AT51" s="492">
        <v>47</v>
      </c>
      <c r="AU51" s="492">
        <v>4</v>
      </c>
      <c r="AV51" s="497">
        <f>IF(('Comparison Calculator'!$E$11-AU51)&gt;=0,0,IFERROR(-PPMT($AZ$42/12,(AT51-36),($F$1-3)*12,$AZ$41),0))</f>
        <v>0</v>
      </c>
      <c r="AW51" s="497" t="e">
        <f>IF(('Comparison Calculator'!$E$11-AU51)&gt;=0,$C$1*$AZ$42/12,IFERROR(-IPMT($AZ$42/12,(AT51-36),($F$1-3)*12,$AZ$41,0),0))</f>
        <v>#N/A</v>
      </c>
      <c r="AX51" s="497" t="e">
        <f t="shared" si="5"/>
        <v>#N/A</v>
      </c>
      <c r="AY51" s="497">
        <f t="shared" si="30"/>
        <v>1800000</v>
      </c>
      <c r="AZ51" s="493"/>
      <c r="BA51" s="493"/>
      <c r="BC51" s="492">
        <v>47</v>
      </c>
      <c r="BD51" s="492">
        <v>4</v>
      </c>
      <c r="BE51" s="497">
        <f>IF(('Comparison Calculator'!$E$11-BD51)&gt;=0,0,IFERROR(-PPMT($BI$42/12,(BC51-36),($F$1-3)*12,$BI$41),0))</f>
        <v>0</v>
      </c>
      <c r="BF51" s="497">
        <f>IF(('Comparison Calculator'!$E$11-BD51)&gt;=0,$C$1*$BI$42/12,IFERROR(-IPMT($BI$42/12,(BC51-36),($F$1-3)*12,$BI$41,0),0))</f>
        <v>7470</v>
      </c>
      <c r="BG51" s="497">
        <f t="shared" si="6"/>
        <v>7470</v>
      </c>
      <c r="BH51" s="497">
        <f t="shared" si="31"/>
        <v>1800000</v>
      </c>
      <c r="BI51" s="493"/>
      <c r="BJ51" s="493"/>
      <c r="BK51" s="492">
        <v>47</v>
      </c>
      <c r="BL51" s="492">
        <v>4</v>
      </c>
      <c r="BM51" s="497">
        <f>IF(('Comparison Calculator'!$E$11-BL51)&gt;=0,0,IFERROR(-PPMT($BQ$42/12,(BK51-36),($F$1-3)*12,$BQ$41),0))</f>
        <v>0</v>
      </c>
      <c r="BN51" s="497">
        <f>IF(('Comparison Calculator'!$E$11-BL51)&gt;=0,$C$1*$BQ$42/12,IFERROR(-IPMT($BQ$42/12,(BK51-36),($F$1-3)*12,$BQ$41,0),0))</f>
        <v>9720</v>
      </c>
      <c r="BO51" s="497">
        <f t="shared" si="7"/>
        <v>9720</v>
      </c>
      <c r="BP51" s="497">
        <f t="shared" si="32"/>
        <v>1800000</v>
      </c>
      <c r="BQ51" s="493"/>
      <c r="BR51" s="493"/>
      <c r="BT51" s="492">
        <v>47</v>
      </c>
      <c r="BU51" s="492">
        <v>4</v>
      </c>
      <c r="BV51" s="497">
        <f>IF(('Comparison Calculator'!$E$11-BU51)&gt;=0,0,IFERROR(-PPMT($BZ$42/12,(BT51-36),($F$1-3)*12,$BZ$41),0))</f>
        <v>0</v>
      </c>
      <c r="BW51" s="497">
        <f>IF(('Comparison Calculator'!$E$11-BU51)&gt;=0,$C$1*$BZ$42/12,IFERROR(-IPMT($BZ$42/12,(BT51-36),($F$1-3)*12,$BZ$41,0),0))</f>
        <v>9720</v>
      </c>
      <c r="BX51" s="497">
        <f t="shared" si="8"/>
        <v>9720</v>
      </c>
      <c r="BY51" s="497">
        <f t="shared" si="33"/>
        <v>1800000</v>
      </c>
      <c r="BZ51" s="493"/>
      <c r="CA51" s="493"/>
      <c r="CC51" s="492">
        <v>47</v>
      </c>
      <c r="CD51" s="492">
        <v>4</v>
      </c>
      <c r="CE51" s="497">
        <f>IF(('Comparison Calculator'!$E$11-CD51)&gt;=0,0,IFERROR(-PPMT($CI$42/12,(CC51-36),($F$1-3)*12,$CI$41),0))</f>
        <v>0</v>
      </c>
      <c r="CF51" s="497">
        <f>IF(('Comparison Calculator'!$E$11-CD51)&gt;=0,$C$1*$CI$42/12,IFERROR(-IPMT($CI$42/12,(CC51-36),($F$1-3)*12,$CI$41,0),0))</f>
        <v>9569.9999999999982</v>
      </c>
      <c r="CG51" s="497">
        <f t="shared" si="9"/>
        <v>9569.9999999999982</v>
      </c>
      <c r="CH51" s="497">
        <f t="shared" si="34"/>
        <v>1800000</v>
      </c>
      <c r="CI51" s="493"/>
      <c r="CJ51" s="493"/>
      <c r="CL51" s="492">
        <v>47</v>
      </c>
      <c r="CM51" s="492">
        <v>4</v>
      </c>
      <c r="CN51" s="497">
        <f>IF(('Comparison Calculator'!$E$11-CM51)&gt;=0,0,IFERROR(-PPMT($CR$42/12,(CL51-36),($F$1-3)*12,$CR$41),0))</f>
        <v>0</v>
      </c>
      <c r="CO51" s="497" t="e">
        <f>IF(('Comparison Calculator'!$E$11-CM51)&gt;=0,$C$1*$CR$42/12,IFERROR(-IPMT($CR$42/12,(CL51-36),($F$1-3)*12,$CR$41,0),0))</f>
        <v>#N/A</v>
      </c>
      <c r="CP51" s="497" t="e">
        <f t="shared" si="10"/>
        <v>#N/A</v>
      </c>
      <c r="CQ51" s="497">
        <f t="shared" si="35"/>
        <v>1800000</v>
      </c>
      <c r="CR51" s="493"/>
      <c r="CS51" s="493"/>
      <c r="CU51" s="492">
        <v>47</v>
      </c>
      <c r="CV51" s="492">
        <v>4</v>
      </c>
      <c r="CW51" s="497">
        <f>IF(('Comparison Calculator'!$E$11-CV51)&gt;=0,0,IFERROR(-PPMT($DA$42/12,(CU51-36),($F$1-3)*12,$DA$41),0))</f>
        <v>0</v>
      </c>
      <c r="CX51" s="497" t="e">
        <f>IF(('Comparison Calculator'!$E$11-CV51)&gt;=0,$C$1*$DA$42/12,IFERROR(-IPMT($DA$42/12,(CU51-36),($F$1-3)*12,$DA$41,0),0))</f>
        <v>#N/A</v>
      </c>
      <c r="CY51" s="497" t="e">
        <f t="shared" si="11"/>
        <v>#N/A</v>
      </c>
      <c r="CZ51" s="497">
        <f t="shared" si="36"/>
        <v>1800000</v>
      </c>
      <c r="DA51" s="493"/>
      <c r="DB51" s="493"/>
      <c r="DD51" s="492">
        <v>47</v>
      </c>
      <c r="DE51" s="492">
        <v>4</v>
      </c>
      <c r="DF51" s="497">
        <f>IF(('Comparison Calculator'!$E$11-DE51)&gt;=0,0,IFERROR(-PPMT($DJ$42/12,(DD51-36),($F$1-3)*12,$DJ$41),0))</f>
        <v>0</v>
      </c>
      <c r="DG51" s="497" t="e">
        <f>IF(('Comparison Calculator'!$E$11-DE51)&gt;=0,$C$1*$DJ$42/12,IFERROR(-IPMT($DJ$42/12,(DD51-36),($F$1-3)*12,$DJ$41,0),0))</f>
        <v>#N/A</v>
      </c>
      <c r="DH51" s="497" t="e">
        <f t="shared" si="12"/>
        <v>#N/A</v>
      </c>
      <c r="DI51" s="497">
        <f t="shared" si="37"/>
        <v>1800000</v>
      </c>
      <c r="DJ51" s="493"/>
      <c r="DK51" s="493"/>
    </row>
    <row r="52" spans="1:115">
      <c r="A52" s="492">
        <v>48</v>
      </c>
      <c r="B52" s="492">
        <v>4</v>
      </c>
      <c r="C52" s="497">
        <f>IF(('Comparison Calculator'!$E$11-B52)&gt;=0,0,IFERROR(-PPMT($G$42/12,(A52-36),($F$1-3)*12,$G$41),0))</f>
        <v>0</v>
      </c>
      <c r="D52" s="497">
        <f>IF(('Comparison Calculator'!$E$11-B52)&gt;=0,$C$1*$G$42/12,IFERROR(-IPMT($G$42/12,(A52-36),($F$1-3)*12,$G$41,0),0))</f>
        <v>9720</v>
      </c>
      <c r="E52" s="497">
        <f t="shared" si="0"/>
        <v>9720</v>
      </c>
      <c r="F52" s="497">
        <f t="shared" si="13"/>
        <v>1800000</v>
      </c>
      <c r="G52" s="501">
        <f>SUM(E5:E52)+$H$1*B52</f>
        <v>351916</v>
      </c>
      <c r="H52" s="493"/>
      <c r="I52" s="489"/>
      <c r="J52" s="492">
        <v>48</v>
      </c>
      <c r="K52" s="492">
        <v>4</v>
      </c>
      <c r="L52" s="497">
        <f>IF(('Comparison Calculator'!$E$11-K52)&gt;=0,0,IFERROR(-PPMT($P$42/12,(J52-36),($F$1-3)*12,$P$41),0))</f>
        <v>0</v>
      </c>
      <c r="M52" s="497">
        <f>IF(('Comparison Calculator'!$E$11-K52)&gt;=0,$C$1*$P$42/12,IFERROR(-IPMT($P$42/12,(J52-36),($F$1-3)*12,$P$41,0),0))</f>
        <v>9720</v>
      </c>
      <c r="N52" s="497">
        <f t="shared" si="1"/>
        <v>9720</v>
      </c>
      <c r="O52" s="497">
        <f t="shared" si="26"/>
        <v>1800000</v>
      </c>
      <c r="P52" s="501">
        <f>SUM(N5:N52)+$H$1*K52</f>
        <v>351916</v>
      </c>
      <c r="Q52" s="493"/>
      <c r="S52" s="492">
        <v>48</v>
      </c>
      <c r="T52" s="492">
        <v>4</v>
      </c>
      <c r="U52" s="497">
        <f>IF(('Comparison Calculator'!$E$11-T52)&gt;=0,0,IFERROR(-PPMT($Y$42/12,(S52-36),($F$1-3)*12,$Y$41),0))</f>
        <v>0</v>
      </c>
      <c r="V52" s="497" t="e">
        <f>IF(('Comparison Calculator'!$E$11-T52)&gt;=0,$C$1*$Y$42/12,IFERROR(-IPMT($Y$42/12,(S52-36),($F$1-3)*12,$Y$41,0),0))</f>
        <v>#N/A</v>
      </c>
      <c r="W52" s="497" t="e">
        <f t="shared" si="2"/>
        <v>#N/A</v>
      </c>
      <c r="X52" s="497">
        <f t="shared" si="27"/>
        <v>1800000</v>
      </c>
      <c r="Y52" s="501" t="e">
        <f>SUM(W5:W52)+$Z$1*T52</f>
        <v>#N/A</v>
      </c>
      <c r="Z52" s="493"/>
      <c r="AB52" s="492">
        <v>48</v>
      </c>
      <c r="AC52" s="492">
        <v>4</v>
      </c>
      <c r="AD52" s="497">
        <f>IF(('Comparison Calculator'!$E$11-AC52)&gt;=0,0,IFERROR(-PPMT($AH$42/12,(AB52-36),($F$1-3)*12,$AH$41),0))</f>
        <v>0</v>
      </c>
      <c r="AE52" s="497" t="e">
        <f>IF(('Comparison Calculator'!$E$11-AC52)&gt;=0,$C$1*$AH$42/12,IFERROR(-IPMT($AH$42/12,(AB52-36),($F$1-3)*12,$AH$41,0),0))</f>
        <v>#N/A</v>
      </c>
      <c r="AF52" s="497" t="e">
        <f t="shared" si="3"/>
        <v>#N/A</v>
      </c>
      <c r="AG52" s="497">
        <f t="shared" si="28"/>
        <v>1800000</v>
      </c>
      <c r="AH52" s="501" t="e">
        <f>SUM(AF5:AF52)+$AI$1*AC52</f>
        <v>#N/A</v>
      </c>
      <c r="AI52" s="493"/>
      <c r="AK52" s="492">
        <v>48</v>
      </c>
      <c r="AL52" s="492">
        <v>4</v>
      </c>
      <c r="AM52" s="497">
        <f>IF(('Comparison Calculator'!$E$11-AL52)&gt;=0,0,IFERROR(-PPMT($AQ$42/12,(AK52-36),($F$1-3)*12,$AQ$41),0))</f>
        <v>0</v>
      </c>
      <c r="AN52" s="497">
        <f>IF(('Comparison Calculator'!$E$11-AL52)&gt;=0,$C$1*$AQ$42/12,IFERROR(-IPMT($AQ$42/12,(AK52-36),($F$1-3)*12,$AQ$41,0),0))</f>
        <v>8040</v>
      </c>
      <c r="AO52" s="497">
        <f t="shared" si="4"/>
        <v>8040</v>
      </c>
      <c r="AP52" s="497">
        <f t="shared" si="29"/>
        <v>1800000</v>
      </c>
      <c r="AQ52" s="501">
        <f>SUM(AO5:AO52)+$AR$1*AL52</f>
        <v>291436</v>
      </c>
      <c r="AR52" s="493"/>
      <c r="AT52" s="492">
        <v>48</v>
      </c>
      <c r="AU52" s="492">
        <v>4</v>
      </c>
      <c r="AV52" s="497">
        <f>IF(('Comparison Calculator'!$E$11-AU52)&gt;=0,0,IFERROR(-PPMT($AZ$42/12,(AT52-36),($F$1-3)*12,$AZ$41),0))</f>
        <v>0</v>
      </c>
      <c r="AW52" s="497" t="e">
        <f>IF(('Comparison Calculator'!$E$11-AU52)&gt;=0,$C$1*$AZ$42/12,IFERROR(-IPMT($AZ$42/12,(AT52-36),($F$1-3)*12,$AZ$41,0),0))</f>
        <v>#N/A</v>
      </c>
      <c r="AX52" s="497" t="e">
        <f t="shared" si="5"/>
        <v>#N/A</v>
      </c>
      <c r="AY52" s="497">
        <f t="shared" si="30"/>
        <v>1800000</v>
      </c>
      <c r="AZ52" s="501" t="e">
        <f>SUM(AX5:AX52)+$BA$1*AU52</f>
        <v>#N/A</v>
      </c>
      <c r="BA52" s="493"/>
      <c r="BC52" s="492">
        <v>48</v>
      </c>
      <c r="BD52" s="492">
        <v>4</v>
      </c>
      <c r="BE52" s="497">
        <f>IF(('Comparison Calculator'!$E$11-BD52)&gt;=0,0,IFERROR(-PPMT($BI$42/12,(BC52-36),($F$1-3)*12,$BI$41),0))</f>
        <v>0</v>
      </c>
      <c r="BF52" s="497">
        <f>IF(('Comparison Calculator'!$E$11-BD52)&gt;=0,$C$1*$BI$42/12,IFERROR(-IPMT($BI$42/12,(BC52-36),($F$1-3)*12,$BI$41,0),0))</f>
        <v>7470</v>
      </c>
      <c r="BG52" s="497">
        <f t="shared" si="6"/>
        <v>7470</v>
      </c>
      <c r="BH52" s="497">
        <f t="shared" si="31"/>
        <v>1800000</v>
      </c>
      <c r="BI52" s="501">
        <f>SUM(BG5:BG52)+$BA$1*BD52</f>
        <v>270916</v>
      </c>
      <c r="BJ52" s="493"/>
      <c r="BK52" s="492">
        <v>48</v>
      </c>
      <c r="BL52" s="492">
        <v>4</v>
      </c>
      <c r="BM52" s="497">
        <f>IF(('Comparison Calculator'!$E$11-BL52)&gt;=0,0,IFERROR(-PPMT($BQ$42/12,(BK52-36),($F$1-3)*12,$BQ$41),0))</f>
        <v>0</v>
      </c>
      <c r="BN52" s="497">
        <f>IF(('Comparison Calculator'!$E$11-BL52)&gt;=0,$C$1*$BQ$42/12,IFERROR(-IPMT($BQ$42/12,(BK52-36),($F$1-3)*12,$BQ$41,0),0))</f>
        <v>9720</v>
      </c>
      <c r="BO52" s="497">
        <f t="shared" si="7"/>
        <v>9720</v>
      </c>
      <c r="BP52" s="497">
        <f t="shared" si="32"/>
        <v>1800000</v>
      </c>
      <c r="BQ52" s="501">
        <f>SUM(BO5:BO52)+$BR$1*BL52</f>
        <v>351916</v>
      </c>
      <c r="BR52" s="493"/>
      <c r="BT52" s="492">
        <v>48</v>
      </c>
      <c r="BU52" s="492">
        <v>4</v>
      </c>
      <c r="BV52" s="497">
        <f>IF(('Comparison Calculator'!$E$11-BU52)&gt;=0,0,IFERROR(-PPMT($BZ$42/12,(BT52-36),($F$1-3)*12,$BZ$41),0))</f>
        <v>0</v>
      </c>
      <c r="BW52" s="497">
        <f>IF(('Comparison Calculator'!$E$11-BU52)&gt;=0,$C$1*$BZ$42/12,IFERROR(-IPMT($BZ$42/12,(BT52-36),($F$1-3)*12,$BZ$41,0),0))</f>
        <v>9720</v>
      </c>
      <c r="BX52" s="497">
        <f t="shared" si="8"/>
        <v>9720</v>
      </c>
      <c r="BY52" s="497">
        <f t="shared" si="33"/>
        <v>1800000</v>
      </c>
      <c r="BZ52" s="501">
        <f>SUM(BX5:BX52)+$CA$1*BU52</f>
        <v>351916</v>
      </c>
      <c r="CA52" s="493"/>
      <c r="CC52" s="492">
        <v>48</v>
      </c>
      <c r="CD52" s="492">
        <v>4</v>
      </c>
      <c r="CE52" s="497">
        <f>IF(('Comparison Calculator'!$E$11-CD52)&gt;=0,0,IFERROR(-PPMT($CI$42/12,(CC52-36),($F$1-3)*12,$CI$41),0))</f>
        <v>0</v>
      </c>
      <c r="CF52" s="497">
        <f>IF(('Comparison Calculator'!$E$11-CD52)&gt;=0,$C$1*$CI$42/12,IFERROR(-IPMT($CI$42/12,(CC52-36),($F$1-3)*12,$CI$41,0),0))</f>
        <v>9569.9999999999982</v>
      </c>
      <c r="CG52" s="497">
        <f t="shared" si="9"/>
        <v>9569.9999999999982</v>
      </c>
      <c r="CH52" s="497">
        <f t="shared" si="34"/>
        <v>1800000</v>
      </c>
      <c r="CI52" s="501">
        <f>SUM(CG5:CG52)+$CJ$1*CD52</f>
        <v>346391.99999999994</v>
      </c>
      <c r="CJ52" s="493"/>
      <c r="CL52" s="492">
        <v>48</v>
      </c>
      <c r="CM52" s="492">
        <v>4</v>
      </c>
      <c r="CN52" s="497">
        <f>IF(('Comparison Calculator'!$E$11-CM52)&gt;=0,0,IFERROR(-PPMT($CR$42/12,(CL52-36),($F$1-3)*12,$CR$41),0))</f>
        <v>0</v>
      </c>
      <c r="CO52" s="497" t="e">
        <f>IF(('Comparison Calculator'!$E$11-CM52)&gt;=0,$C$1*$CR$42/12,IFERROR(-IPMT($CR$42/12,(CL52-36),($F$1-3)*12,$CR$41,0),0))</f>
        <v>#N/A</v>
      </c>
      <c r="CP52" s="497" t="e">
        <f t="shared" si="10"/>
        <v>#N/A</v>
      </c>
      <c r="CQ52" s="497">
        <f t="shared" si="35"/>
        <v>1800000</v>
      </c>
      <c r="CR52" s="501" t="e">
        <f>SUM(CP5:CP52)+$CS$1*CM52</f>
        <v>#N/A</v>
      </c>
      <c r="CS52" s="493"/>
      <c r="CU52" s="492">
        <v>48</v>
      </c>
      <c r="CV52" s="492">
        <v>4</v>
      </c>
      <c r="CW52" s="497">
        <f>IF(('Comparison Calculator'!$E$11-CV52)&gt;=0,0,IFERROR(-PPMT($DA$42/12,(CU52-36),($F$1-3)*12,$DA$41),0))</f>
        <v>0</v>
      </c>
      <c r="CX52" s="497" t="e">
        <f>IF(('Comparison Calculator'!$E$11-CV52)&gt;=0,$C$1*$DA$42/12,IFERROR(-IPMT($DA$42/12,(CU52-36),($F$1-3)*12,$DA$41,0),0))</f>
        <v>#N/A</v>
      </c>
      <c r="CY52" s="497" t="e">
        <f t="shared" si="11"/>
        <v>#N/A</v>
      </c>
      <c r="CZ52" s="497">
        <f t="shared" si="36"/>
        <v>1800000</v>
      </c>
      <c r="DA52" s="501" t="e">
        <f>SUM(CY5:CY52)+$DB$1*CV52</f>
        <v>#N/A</v>
      </c>
      <c r="DB52" s="493"/>
      <c r="DD52" s="492">
        <v>48</v>
      </c>
      <c r="DE52" s="492">
        <v>4</v>
      </c>
      <c r="DF52" s="497">
        <f>IF(('Comparison Calculator'!$E$11-DE52)&gt;=0,0,IFERROR(-PPMT($DJ$42/12,(DD52-36),($F$1-3)*12,$DJ$41),0))</f>
        <v>0</v>
      </c>
      <c r="DG52" s="497" t="e">
        <f>IF(('Comparison Calculator'!$E$11-DE52)&gt;=0,$C$1*$DJ$42/12,IFERROR(-IPMT($DJ$42/12,(DD52-36),($F$1-3)*12,$DJ$41,0),0))</f>
        <v>#N/A</v>
      </c>
      <c r="DH52" s="497" t="e">
        <f t="shared" si="12"/>
        <v>#N/A</v>
      </c>
      <c r="DI52" s="497">
        <f t="shared" si="37"/>
        <v>1800000</v>
      </c>
      <c r="DJ52" s="501" t="e">
        <f>SUM(DH5:DH52)+$DK$1*DE52</f>
        <v>#N/A</v>
      </c>
      <c r="DK52" s="493"/>
    </row>
    <row r="53" spans="1:115">
      <c r="A53" s="492">
        <v>49</v>
      </c>
      <c r="B53" s="492">
        <v>5</v>
      </c>
      <c r="C53" s="497">
        <f>IF(('Comparison Calculator'!$E$11-B53)&gt;=0,0,IFERROR(-PPMT($G$54/12,(A53-48),($F$1-4)*12,$G$53),0))</f>
        <v>0</v>
      </c>
      <c r="D53" s="497">
        <f>IF(('Comparison Calculator'!$E$11-B53)&gt;=0,$C$1*$G$54/12,IFERROR(-IPMT($G$54/12,(A53-48),($F$1-4)*12,$G$53,0),0))</f>
        <v>9720</v>
      </c>
      <c r="E53" s="497">
        <f t="shared" si="0"/>
        <v>9720</v>
      </c>
      <c r="F53" s="497">
        <f t="shared" si="13"/>
        <v>1800000</v>
      </c>
      <c r="G53" s="497">
        <f>F52</f>
        <v>1800000</v>
      </c>
      <c r="H53" s="502"/>
      <c r="I53" s="503"/>
      <c r="J53" s="492">
        <v>49</v>
      </c>
      <c r="K53" s="492">
        <v>5</v>
      </c>
      <c r="L53" s="497">
        <f>IF(('Comparison Calculator'!$E$11-K53)&gt;=0,0,IFERROR(-PPMT($P$54/12,(J53-48),($F$1-4)*12,$P$53),0))</f>
        <v>0</v>
      </c>
      <c r="M53" s="497">
        <f>IF(('Comparison Calculator'!$E$11-K53)&gt;=0,$C$1*$P$54/12,IFERROR(-IPMT($P$54/12,(J53-48),($F$1-4)*12,$P$53,0),0))</f>
        <v>9720</v>
      </c>
      <c r="N53" s="497">
        <f t="shared" si="1"/>
        <v>9720</v>
      </c>
      <c r="O53" s="497">
        <f t="shared" si="26"/>
        <v>1800000</v>
      </c>
      <c r="P53" s="497">
        <f>O52</f>
        <v>1800000</v>
      </c>
      <c r="Q53" s="502"/>
      <c r="S53" s="492">
        <v>49</v>
      </c>
      <c r="T53" s="492">
        <v>5</v>
      </c>
      <c r="U53" s="497">
        <f>IF(('Comparison Calculator'!$E$11-T53)&gt;=0,0,IFERROR(-PPMT($Y$54/12,(S53-48),($F$1-4)*12,$Y$53),0))</f>
        <v>0</v>
      </c>
      <c r="V53" s="497" t="e">
        <f>IF(('Comparison Calculator'!$E$11-T53)&gt;=0,$C$1*$Y$54/12,IFERROR(-IPMT($Y$54/12,(S53-48),($F$1-4)*12,$Y$53,0),0))</f>
        <v>#N/A</v>
      </c>
      <c r="W53" s="497" t="e">
        <f t="shared" si="2"/>
        <v>#N/A</v>
      </c>
      <c r="X53" s="497">
        <f t="shared" si="27"/>
        <v>1800000</v>
      </c>
      <c r="Y53" s="497">
        <f>X52</f>
        <v>1800000</v>
      </c>
      <c r="Z53" s="502"/>
      <c r="AB53" s="492">
        <v>49</v>
      </c>
      <c r="AC53" s="492">
        <v>5</v>
      </c>
      <c r="AD53" s="497">
        <f>IF(('Comparison Calculator'!$E$11-AC53)&gt;=0,0,IFERROR(-PPMT($AH$54/12,(AB53-48),($F$1-4)*12,$AH$53),0))</f>
        <v>0</v>
      </c>
      <c r="AE53" s="497" t="e">
        <f>IF(('Comparison Calculator'!$E$11-AC53)&gt;=0,$C$1*$AH$54/12,IFERROR(-IPMT($AH$54/12,(AB53-48),($F$1-4)*12,$AH$53,0),0))</f>
        <v>#N/A</v>
      </c>
      <c r="AF53" s="497" t="e">
        <f t="shared" si="3"/>
        <v>#N/A</v>
      </c>
      <c r="AG53" s="497">
        <f t="shared" si="28"/>
        <v>1800000</v>
      </c>
      <c r="AH53" s="497">
        <f>AG52</f>
        <v>1800000</v>
      </c>
      <c r="AI53" s="502"/>
      <c r="AK53" s="492">
        <v>49</v>
      </c>
      <c r="AL53" s="492">
        <v>5</v>
      </c>
      <c r="AM53" s="497">
        <f>IF(('Comparison Calculator'!$E$11-AL53)&gt;=0,0,IFERROR(-PPMT($AQ$54/12,(AK53-48),($F$1-4)*12,$AQ$53),0))</f>
        <v>0</v>
      </c>
      <c r="AN53" s="497">
        <f>IF(('Comparison Calculator'!$E$11-AL53)&gt;=0,$C$1*$AQ$54/12,IFERROR(-IPMT($AQ$54/12,(AK53-48),($F$1-4)*12,$AQ$53,0),0))</f>
        <v>8040</v>
      </c>
      <c r="AO53" s="497">
        <f t="shared" si="4"/>
        <v>8040</v>
      </c>
      <c r="AP53" s="497">
        <f t="shared" si="29"/>
        <v>1800000</v>
      </c>
      <c r="AQ53" s="497">
        <f>AP52</f>
        <v>1800000</v>
      </c>
      <c r="AR53" s="502"/>
      <c r="AT53" s="492">
        <v>49</v>
      </c>
      <c r="AU53" s="492">
        <v>5</v>
      </c>
      <c r="AV53" s="497">
        <f>IF(('Comparison Calculator'!$E$11-AU53)&gt;=0,0,IFERROR(-PPMT($AZ$54/12,(AT53-48),($F$1-4)*12,$AZ$53),0))</f>
        <v>0</v>
      </c>
      <c r="AW53" s="497" t="e">
        <f>IF(('Comparison Calculator'!$E$11-AU53)&gt;=0,$C$1*$AZ$54/12,IFERROR(-IPMT($AZ$54/12,(AT53-48),($F$1-4)*12,$AZ$53,0),0))</f>
        <v>#N/A</v>
      </c>
      <c r="AX53" s="497" t="e">
        <f t="shared" si="5"/>
        <v>#N/A</v>
      </c>
      <c r="AY53" s="497">
        <f t="shared" si="30"/>
        <v>1800000</v>
      </c>
      <c r="AZ53" s="497">
        <f>AY52</f>
        <v>1800000</v>
      </c>
      <c r="BA53" s="502"/>
      <c r="BC53" s="492">
        <v>49</v>
      </c>
      <c r="BD53" s="492">
        <v>5</v>
      </c>
      <c r="BE53" s="497">
        <f>IF(('Comparison Calculator'!$E$11-BD53)&gt;=0,0,IFERROR(-PPMT($BI$54/12,(BC53-48),($F$1-4)*12,$BI$53),0))</f>
        <v>0</v>
      </c>
      <c r="BF53" s="497">
        <f>IF(('Comparison Calculator'!$E$11-BD53)&gt;=0,$C$1*$BI$54/12,IFERROR(-IPMT($BI$54/12,(BC53-48),($F$1-4)*12,$BI$53,0),0))</f>
        <v>7470</v>
      </c>
      <c r="BG53" s="497">
        <f t="shared" si="6"/>
        <v>7470</v>
      </c>
      <c r="BH53" s="497">
        <f t="shared" si="31"/>
        <v>1800000</v>
      </c>
      <c r="BI53" s="497">
        <f>BH52</f>
        <v>1800000</v>
      </c>
      <c r="BJ53" s="502"/>
      <c r="BK53" s="492">
        <v>49</v>
      </c>
      <c r="BL53" s="492">
        <v>5</v>
      </c>
      <c r="BM53" s="497">
        <f>IF(('Comparison Calculator'!$E$11-BL53)&gt;=0,0,IFERROR(-PPMT($BQ$54/12,(BK53-48),($F$1-4)*12,$BQ$53),0))</f>
        <v>0</v>
      </c>
      <c r="BN53" s="497">
        <f>IF(('Comparison Calculator'!$E$11-BL53)&gt;=0,$C$1*$BQ$54/12,IFERROR(-IPMT($BQ$54/12,(BK53-48),($F$1-4)*12,$BQ$53,0),0))</f>
        <v>9720</v>
      </c>
      <c r="BO53" s="497">
        <f t="shared" si="7"/>
        <v>9720</v>
      </c>
      <c r="BP53" s="497">
        <f t="shared" si="32"/>
        <v>1800000</v>
      </c>
      <c r="BQ53" s="497">
        <f>BP52</f>
        <v>1800000</v>
      </c>
      <c r="BR53" s="502"/>
      <c r="BT53" s="492">
        <v>49</v>
      </c>
      <c r="BU53" s="492">
        <v>5</v>
      </c>
      <c r="BV53" s="497">
        <f>IF(('Comparison Calculator'!$E$11-BU53)&gt;=0,0,IFERROR(-PPMT($BZ$54/12,(BT53-48),($F$1-4)*12,$BZ$53),0))</f>
        <v>0</v>
      </c>
      <c r="BW53" s="497">
        <f>IF(('Comparison Calculator'!$E$11-BU53)&gt;=0,$C$1*$BZ$54/12,IFERROR(-IPMT($BZ$54/12,(BT53-48),($F$1-4)*12,$BZ$53,0),0))</f>
        <v>9720</v>
      </c>
      <c r="BX53" s="497">
        <f t="shared" si="8"/>
        <v>9720</v>
      </c>
      <c r="BY53" s="497">
        <f t="shared" si="33"/>
        <v>1800000</v>
      </c>
      <c r="BZ53" s="497">
        <f>BY52</f>
        <v>1800000</v>
      </c>
      <c r="CA53" s="502"/>
      <c r="CC53" s="492">
        <v>49</v>
      </c>
      <c r="CD53" s="492">
        <v>5</v>
      </c>
      <c r="CE53" s="497">
        <f>IF(('Comparison Calculator'!$E$11-CD53)&gt;=0,0,IFERROR(-PPMT($CI$54/12,(CC53-48),($F$1-4)*12,$CI$53),0))</f>
        <v>0</v>
      </c>
      <c r="CF53" s="497">
        <f>IF(('Comparison Calculator'!$E$11-CD53)&gt;=0,$C$1*$CI$54/12,IFERROR(-IPMT($CI$54/12,(CC53-48),($F$1-4)*12,$CI$53,0),0))</f>
        <v>9569.9999999999982</v>
      </c>
      <c r="CG53" s="497">
        <f t="shared" si="9"/>
        <v>9569.9999999999982</v>
      </c>
      <c r="CH53" s="497">
        <f t="shared" si="34"/>
        <v>1800000</v>
      </c>
      <c r="CI53" s="497">
        <f>CH52</f>
        <v>1800000</v>
      </c>
      <c r="CJ53" s="502"/>
      <c r="CL53" s="492">
        <v>49</v>
      </c>
      <c r="CM53" s="492">
        <v>5</v>
      </c>
      <c r="CN53" s="497">
        <f>IF(('Comparison Calculator'!$E$11-CM53)&gt;=0,0,IFERROR(-PPMT($CR$54/12,(CL53-48),($F$1-4)*12,$CR$53),0))</f>
        <v>0</v>
      </c>
      <c r="CO53" s="497" t="e">
        <f>IF(('Comparison Calculator'!$E$11-CM53)&gt;=0,$C$1*$CR$54/12,IFERROR(-IPMT($CR$54/12,(CL53-48),($F$1-4)*12,$CR$53,0),0))</f>
        <v>#N/A</v>
      </c>
      <c r="CP53" s="497" t="e">
        <f t="shared" si="10"/>
        <v>#N/A</v>
      </c>
      <c r="CQ53" s="497">
        <f t="shared" si="35"/>
        <v>1800000</v>
      </c>
      <c r="CR53" s="497">
        <f>CQ52</f>
        <v>1800000</v>
      </c>
      <c r="CS53" s="502"/>
      <c r="CU53" s="492">
        <v>49</v>
      </c>
      <c r="CV53" s="492">
        <v>5</v>
      </c>
      <c r="CW53" s="497">
        <f>IF(('Comparison Calculator'!$E$11-CV53)&gt;=0,0,IFERROR(-PPMT($DA$54/12,(CU53-48),($F$1-4)*12,$DA$53),0))</f>
        <v>0</v>
      </c>
      <c r="CX53" s="497" t="e">
        <f>IF(('Comparison Calculator'!$E$11-CV53)&gt;=0,$C$1*$DA$54/12,IFERROR(-IPMT($DA$54/12,(CU53-48),($F$1-4)*12,$DA$53,0),0))</f>
        <v>#N/A</v>
      </c>
      <c r="CY53" s="497" t="e">
        <f t="shared" si="11"/>
        <v>#N/A</v>
      </c>
      <c r="CZ53" s="497">
        <f t="shared" si="36"/>
        <v>1800000</v>
      </c>
      <c r="DA53" s="497">
        <f>CZ52</f>
        <v>1800000</v>
      </c>
      <c r="DB53" s="502"/>
      <c r="DD53" s="492">
        <v>49</v>
      </c>
      <c r="DE53" s="492">
        <v>5</v>
      </c>
      <c r="DF53" s="497">
        <f>IF(('Comparison Calculator'!$E$11-DE53)&gt;=0,0,IFERROR(-PPMT($DJ$54/12,(DD53-48),($F$1-4)*12,$DJ$53),0))</f>
        <v>0</v>
      </c>
      <c r="DG53" s="497" t="e">
        <f>IF(('Comparison Calculator'!$E$11-DE53)&gt;=0,$C$1*$DJ$54/12,IFERROR(-IPMT($DJ$54/12,(DD53-48),($F$1-4)*12,$DJ$53,0),0))</f>
        <v>#N/A</v>
      </c>
      <c r="DH53" s="497" t="e">
        <f t="shared" si="12"/>
        <v>#N/A</v>
      </c>
      <c r="DI53" s="497">
        <f t="shared" si="37"/>
        <v>1800000</v>
      </c>
      <c r="DJ53" s="497">
        <f>DI52</f>
        <v>1800000</v>
      </c>
      <c r="DK53" s="502"/>
    </row>
    <row r="54" spans="1:115">
      <c r="A54" s="492">
        <v>50</v>
      </c>
      <c r="B54" s="492">
        <v>5</v>
      </c>
      <c r="C54" s="497">
        <f>IF(('Comparison Calculator'!$E$11-B54)&gt;=0,0,IFERROR(-PPMT($G$54/12,(A54-48),($F$1-4)*12,$G$53),0))</f>
        <v>0</v>
      </c>
      <c r="D54" s="497">
        <f>IF(('Comparison Calculator'!$E$11-B54)&gt;=0,$C$1*$G$54/12,IFERROR(-IPMT($G$54/12,(A54-48),($F$1-4)*12,$G$53,0),0))</f>
        <v>9720</v>
      </c>
      <c r="E54" s="497">
        <f t="shared" si="0"/>
        <v>9720</v>
      </c>
      <c r="F54" s="497">
        <f t="shared" si="13"/>
        <v>1800000</v>
      </c>
      <c r="G54" s="504">
        <f>Rates!D26</f>
        <v>6.4799999999999996E-2</v>
      </c>
      <c r="H54" s="493"/>
      <c r="I54" s="489"/>
      <c r="J54" s="492">
        <v>50</v>
      </c>
      <c r="K54" s="492">
        <v>5</v>
      </c>
      <c r="L54" s="497">
        <f>IF(('Comparison Calculator'!$E$11-K54)&gt;=0,0,IFERROR(-PPMT($P$54/12,(J54-48),($F$1-4)*12,$P$53),0))</f>
        <v>0</v>
      </c>
      <c r="M54" s="497">
        <f>IF(('Comparison Calculator'!$E$11-K54)&gt;=0,$C$1*$P$54/12,IFERROR(-IPMT($P$54/12,(J54-48),($F$1-4)*12,$P$53,0),0))</f>
        <v>9720</v>
      </c>
      <c r="N54" s="497">
        <f t="shared" si="1"/>
        <v>9720</v>
      </c>
      <c r="O54" s="497">
        <f t="shared" si="26"/>
        <v>1800000</v>
      </c>
      <c r="P54" s="504">
        <f>Rates!L26</f>
        <v>6.4799999999999996E-2</v>
      </c>
      <c r="Q54" s="493"/>
      <c r="S54" s="492">
        <v>50</v>
      </c>
      <c r="T54" s="492">
        <v>5</v>
      </c>
      <c r="U54" s="497">
        <f>IF(('Comparison Calculator'!$E$11-T54)&gt;=0,0,IFERROR(-PPMT($Y$54/12,(S54-48),($F$1-4)*12,$Y$53),0))</f>
        <v>0</v>
      </c>
      <c r="V54" s="497" t="e">
        <f>IF(('Comparison Calculator'!$E$11-T54)&gt;=0,$C$1*$Y$54/12,IFERROR(-IPMT($Y$54/12,(S54-48),($F$1-4)*12,$Y$53,0),0))</f>
        <v>#N/A</v>
      </c>
      <c r="W54" s="497" t="e">
        <f t="shared" si="2"/>
        <v>#N/A</v>
      </c>
      <c r="X54" s="497">
        <f t="shared" si="27"/>
        <v>1800000</v>
      </c>
      <c r="Y54" s="504" t="e">
        <f>Rates!$E$47</f>
        <v>#N/A</v>
      </c>
      <c r="Z54" s="493"/>
      <c r="AB54" s="492">
        <v>50</v>
      </c>
      <c r="AC54" s="492">
        <v>5</v>
      </c>
      <c r="AD54" s="497">
        <f>IF(('Comparison Calculator'!$E$11-AC54)&gt;=0,0,IFERROR(-PPMT($AH$54/12,(AB54-48),($F$1-4)*12,$AH$53),0))</f>
        <v>0</v>
      </c>
      <c r="AE54" s="497" t="e">
        <f>IF(('Comparison Calculator'!$E$11-AC54)&gt;=0,$C$1*$AH$54/12,IFERROR(-IPMT($AH$54/12,(AB54-48),($F$1-4)*12,$AH$53,0),0))</f>
        <v>#N/A</v>
      </c>
      <c r="AF54" s="497" t="e">
        <f t="shared" si="3"/>
        <v>#N/A</v>
      </c>
      <c r="AG54" s="497">
        <f t="shared" si="28"/>
        <v>1800000</v>
      </c>
      <c r="AH54" s="504" t="e">
        <f>Rates!$M$47</f>
        <v>#N/A</v>
      </c>
      <c r="AI54" s="493"/>
      <c r="AK54" s="492">
        <v>50</v>
      </c>
      <c r="AL54" s="492">
        <v>5</v>
      </c>
      <c r="AM54" s="497">
        <f>IF(('Comparison Calculator'!$E$11-AL54)&gt;=0,0,IFERROR(-PPMT($AQ$54/12,(AK54-48),($F$1-4)*12,$AQ$53),0))</f>
        <v>0</v>
      </c>
      <c r="AN54" s="497">
        <f>IF(('Comparison Calculator'!$E$11-AL54)&gt;=0,$C$1*$AQ$54/12,IFERROR(-IPMT($AQ$54/12,(AK54-48),($F$1-4)*12,$AQ$53,0),0))</f>
        <v>8040</v>
      </c>
      <c r="AO54" s="497">
        <f t="shared" si="4"/>
        <v>8040</v>
      </c>
      <c r="AP54" s="497">
        <f t="shared" si="29"/>
        <v>1800000</v>
      </c>
      <c r="AQ54" s="504">
        <f>Rates!$C$69</f>
        <v>5.3600000000000002E-2</v>
      </c>
      <c r="AR54" s="493"/>
      <c r="AT54" s="492">
        <v>50</v>
      </c>
      <c r="AU54" s="492">
        <v>5</v>
      </c>
      <c r="AV54" s="497">
        <f>IF(('Comparison Calculator'!$E$11-AU54)&gt;=0,0,IFERROR(-PPMT($AZ$54/12,(AT54-48),($F$1-4)*12,$AZ$53),0))</f>
        <v>0</v>
      </c>
      <c r="AW54" s="497" t="e">
        <f>IF(('Comparison Calculator'!$E$11-AU54)&gt;=0,$C$1*$AZ$54/12,IFERROR(-IPMT($AZ$54/12,(AT54-48),($F$1-4)*12,$AZ$53,0),0))</f>
        <v>#N/A</v>
      </c>
      <c r="AX54" s="497" t="e">
        <f t="shared" si="5"/>
        <v>#N/A</v>
      </c>
      <c r="AY54" s="497">
        <f t="shared" si="30"/>
        <v>1800000</v>
      </c>
      <c r="AZ54" s="504" t="e">
        <f>Rates!$L$69</f>
        <v>#N/A</v>
      </c>
      <c r="BA54" s="493"/>
      <c r="BC54" s="492">
        <v>50</v>
      </c>
      <c r="BD54" s="492">
        <v>5</v>
      </c>
      <c r="BE54" s="497">
        <f>IF(('Comparison Calculator'!$E$11-BD54)&gt;=0,0,IFERROR(-PPMT($BI$54/12,(BC54-48),($F$1-4)*12,$BI$53),0))</f>
        <v>0</v>
      </c>
      <c r="BF54" s="497">
        <f>IF(('Comparison Calculator'!$E$11-BD54)&gt;=0,$C$1*$BI$54/12,IFERROR(-IPMT($BI$54/12,(BC54-48),($F$1-4)*12,$BI$53,0),0))</f>
        <v>7470</v>
      </c>
      <c r="BG54" s="497">
        <f t="shared" si="6"/>
        <v>7470</v>
      </c>
      <c r="BH54" s="497">
        <f t="shared" si="31"/>
        <v>1800000</v>
      </c>
      <c r="BI54" s="504">
        <f>'Comparison Calculator'!N12</f>
        <v>4.9799999999999997E-2</v>
      </c>
      <c r="BJ54" s="493"/>
      <c r="BK54" s="492">
        <v>50</v>
      </c>
      <c r="BL54" s="492">
        <v>5</v>
      </c>
      <c r="BM54" s="497">
        <f>IF(('Comparison Calculator'!$E$11-BL54)&gt;=0,0,IFERROR(-PPMT($BQ$54/12,(BK54-48),($F$1-4)*12,$BQ$53),0))</f>
        <v>0</v>
      </c>
      <c r="BN54" s="497">
        <f>IF(('Comparison Calculator'!$E$11-BL54)&gt;=0,$C$1*$BQ$54/12,IFERROR(-IPMT($BQ$54/12,(BK54-48),($F$1-4)*12,$BQ$53,0),0))</f>
        <v>9720</v>
      </c>
      <c r="BO54" s="497">
        <f t="shared" si="7"/>
        <v>9720</v>
      </c>
      <c r="BP54" s="497">
        <f t="shared" si="32"/>
        <v>1800000</v>
      </c>
      <c r="BQ54" s="504">
        <f>Rates!$C$89</f>
        <v>6.4799999999999996E-2</v>
      </c>
      <c r="BR54" s="493"/>
      <c r="BT54" s="492">
        <v>50</v>
      </c>
      <c r="BU54" s="492">
        <v>5</v>
      </c>
      <c r="BV54" s="497">
        <f>IF(('Comparison Calculator'!$E$11-BU54)&gt;=0,0,IFERROR(-PPMT($BZ$54/12,(BT54-48),($F$1-4)*12,$BZ$53),0))</f>
        <v>0</v>
      </c>
      <c r="BW54" s="497">
        <f>IF(('Comparison Calculator'!$E$11-BU54)&gt;=0,$C$1*$BZ$54/12,IFERROR(-IPMT($BZ$54/12,(BT54-48),($F$1-4)*12,$BZ$53,0),0))</f>
        <v>9720</v>
      </c>
      <c r="BX54" s="497">
        <f t="shared" si="8"/>
        <v>9720</v>
      </c>
      <c r="BY54" s="497">
        <f t="shared" si="33"/>
        <v>1800000</v>
      </c>
      <c r="BZ54" s="504">
        <f>Rates!$K$89</f>
        <v>6.4799999999999996E-2</v>
      </c>
      <c r="CA54" s="493"/>
      <c r="CC54" s="492">
        <v>50</v>
      </c>
      <c r="CD54" s="492">
        <v>5</v>
      </c>
      <c r="CE54" s="497">
        <f>IF(('Comparison Calculator'!$E$11-CD54)&gt;=0,0,IFERROR(-PPMT($CI$54/12,(CC54-48),($F$1-4)*12,$CI$53),0))</f>
        <v>0</v>
      </c>
      <c r="CF54" s="497">
        <f>IF(('Comparison Calculator'!$E$11-CD54)&gt;=0,$C$1*$CI$54/12,IFERROR(-IPMT($CI$54/12,(CC54-48),($F$1-4)*12,$CI$53,0),0))</f>
        <v>9569.9999999999982</v>
      </c>
      <c r="CG54" s="497">
        <f t="shared" si="9"/>
        <v>9569.9999999999982</v>
      </c>
      <c r="CH54" s="497">
        <f t="shared" si="34"/>
        <v>1800000</v>
      </c>
      <c r="CI54" s="504">
        <f>Rates!$C$108</f>
        <v>6.3799999999999996E-2</v>
      </c>
      <c r="CJ54" s="493"/>
      <c r="CL54" s="492">
        <v>50</v>
      </c>
      <c r="CM54" s="492">
        <v>5</v>
      </c>
      <c r="CN54" s="497">
        <f>IF(('Comparison Calculator'!$E$11-CM54)&gt;=0,0,IFERROR(-PPMT($CR$54/12,(CL54-48),($F$1-4)*12,$CR$53),0))</f>
        <v>0</v>
      </c>
      <c r="CO54" s="497" t="e">
        <f>IF(('Comparison Calculator'!$E$11-CM54)&gt;=0,$C$1*$CR$54/12,IFERROR(-IPMT($CR$54/12,(CL54-48),($F$1-4)*12,$CR$53,0),0))</f>
        <v>#N/A</v>
      </c>
      <c r="CP54" s="497" t="e">
        <f t="shared" si="10"/>
        <v>#N/A</v>
      </c>
      <c r="CQ54" s="497">
        <f t="shared" si="35"/>
        <v>1800000</v>
      </c>
      <c r="CR54" s="504" t="e">
        <f>Rates!$B$129</f>
        <v>#N/A</v>
      </c>
      <c r="CS54" s="493"/>
      <c r="CU54" s="492">
        <v>50</v>
      </c>
      <c r="CV54" s="492">
        <v>5</v>
      </c>
      <c r="CW54" s="497">
        <f>IF(('Comparison Calculator'!$E$11-CV54)&gt;=0,0,IFERROR(-PPMT($DA$54/12,(CU54-48),($F$1-4)*12,$DA$53),0))</f>
        <v>0</v>
      </c>
      <c r="CX54" s="497" t="e">
        <f>IF(('Comparison Calculator'!$E$11-CV54)&gt;=0,$C$1*$DA$54/12,IFERROR(-IPMT($DA$54/12,(CU54-48),($F$1-4)*12,$DA$53,0),0))</f>
        <v>#N/A</v>
      </c>
      <c r="CY54" s="497" t="e">
        <f t="shared" si="11"/>
        <v>#N/A</v>
      </c>
      <c r="CZ54" s="497">
        <f t="shared" si="36"/>
        <v>1800000</v>
      </c>
      <c r="DA54" s="504" t="e">
        <f>Rates!$C$148</f>
        <v>#N/A</v>
      </c>
      <c r="DB54" s="493"/>
      <c r="DD54" s="492">
        <v>50</v>
      </c>
      <c r="DE54" s="492">
        <v>5</v>
      </c>
      <c r="DF54" s="497">
        <f>IF(('Comparison Calculator'!$E$11-DE54)&gt;=0,0,IFERROR(-PPMT($DJ$54/12,(DD54-48),($F$1-4)*12,$DJ$53),0))</f>
        <v>0</v>
      </c>
      <c r="DG54" s="497" t="e">
        <f>IF(('Comparison Calculator'!$E$11-DE54)&gt;=0,$C$1*$DJ$54/12,IFERROR(-IPMT($DJ$54/12,(DD54-48),($F$1-4)*12,$DJ$53,0),0))</f>
        <v>#N/A</v>
      </c>
      <c r="DH54" s="497" t="e">
        <f t="shared" si="12"/>
        <v>#N/A</v>
      </c>
      <c r="DI54" s="497">
        <f t="shared" si="37"/>
        <v>1800000</v>
      </c>
      <c r="DJ54" s="504" t="e">
        <f>Rates!$C$168</f>
        <v>#N/A</v>
      </c>
      <c r="DK54" s="493"/>
    </row>
    <row r="55" spans="1:115">
      <c r="A55" s="492">
        <v>51</v>
      </c>
      <c r="B55" s="492">
        <v>5</v>
      </c>
      <c r="C55" s="497">
        <f>IF(('Comparison Calculator'!$E$11-B55)&gt;=0,0,IFERROR(-PPMT($G$54/12,(A55-48),($F$1-4)*12,$G$53),0))</f>
        <v>0</v>
      </c>
      <c r="D55" s="497">
        <f>IF(('Comparison Calculator'!$E$11-B55)&gt;=0,$C$1*$G$54/12,IFERROR(-IPMT($G$54/12,(A55-48),($F$1-4)*12,$G$53,0),0))</f>
        <v>9720</v>
      </c>
      <c r="E55" s="497">
        <f t="shared" si="0"/>
        <v>9720</v>
      </c>
      <c r="F55" s="497">
        <f t="shared" si="13"/>
        <v>1800000</v>
      </c>
      <c r="G55" s="493"/>
      <c r="H55" s="493"/>
      <c r="I55" s="489"/>
      <c r="J55" s="492">
        <v>51</v>
      </c>
      <c r="K55" s="492">
        <v>5</v>
      </c>
      <c r="L55" s="497">
        <f>IF(('Comparison Calculator'!$E$11-K55)&gt;=0,0,IFERROR(-PPMT($P$54/12,(J55-48),($F$1-4)*12,$P$53),0))</f>
        <v>0</v>
      </c>
      <c r="M55" s="497">
        <f>IF(('Comparison Calculator'!$E$11-K55)&gt;=0,$C$1*$P$54/12,IFERROR(-IPMT($P$54/12,(J55-48),($F$1-4)*12,$P$53,0),0))</f>
        <v>9720</v>
      </c>
      <c r="N55" s="497">
        <f t="shared" si="1"/>
        <v>9720</v>
      </c>
      <c r="O55" s="497">
        <f t="shared" si="26"/>
        <v>1800000</v>
      </c>
      <c r="P55" s="493"/>
      <c r="Q55" s="493"/>
      <c r="S55" s="492">
        <v>51</v>
      </c>
      <c r="T55" s="492">
        <v>5</v>
      </c>
      <c r="U55" s="497">
        <f>IF(('Comparison Calculator'!$E$11-T55)&gt;=0,0,IFERROR(-PPMT($Y$54/12,(S55-48),($F$1-4)*12,$Y$53),0))</f>
        <v>0</v>
      </c>
      <c r="V55" s="497" t="e">
        <f>IF(('Comparison Calculator'!$E$11-T55)&gt;=0,$C$1*$Y$54/12,IFERROR(-IPMT($Y$54/12,(S55-48),($F$1-4)*12,$Y$53,0),0))</f>
        <v>#N/A</v>
      </c>
      <c r="W55" s="497" t="e">
        <f t="shared" si="2"/>
        <v>#N/A</v>
      </c>
      <c r="X55" s="497">
        <f t="shared" si="27"/>
        <v>1800000</v>
      </c>
      <c r="Y55" s="493"/>
      <c r="Z55" s="493"/>
      <c r="AB55" s="492">
        <v>51</v>
      </c>
      <c r="AC55" s="492">
        <v>5</v>
      </c>
      <c r="AD55" s="497">
        <f>IF(('Comparison Calculator'!$E$11-AC55)&gt;=0,0,IFERROR(-PPMT($AH$54/12,(AB55-48),($F$1-4)*12,$AH$53),0))</f>
        <v>0</v>
      </c>
      <c r="AE55" s="497" t="e">
        <f>IF(('Comparison Calculator'!$E$11-AC55)&gt;=0,$C$1*$AH$54/12,IFERROR(-IPMT($AH$54/12,(AB55-48),($F$1-4)*12,$AH$53,0),0))</f>
        <v>#N/A</v>
      </c>
      <c r="AF55" s="497" t="e">
        <f t="shared" si="3"/>
        <v>#N/A</v>
      </c>
      <c r="AG55" s="497">
        <f t="shared" si="28"/>
        <v>1800000</v>
      </c>
      <c r="AH55" s="493"/>
      <c r="AI55" s="493"/>
      <c r="AK55" s="492">
        <v>51</v>
      </c>
      <c r="AL55" s="492">
        <v>5</v>
      </c>
      <c r="AM55" s="497">
        <f>IF(('Comparison Calculator'!$E$11-AL55)&gt;=0,0,IFERROR(-PPMT($AQ$54/12,(AK55-48),($F$1-4)*12,$AQ$53),0))</f>
        <v>0</v>
      </c>
      <c r="AN55" s="497">
        <f>IF(('Comparison Calculator'!$E$11-AL55)&gt;=0,$C$1*$AQ$54/12,IFERROR(-IPMT($AQ$54/12,(AK55-48),($F$1-4)*12,$AQ$53,0),0))</f>
        <v>8040</v>
      </c>
      <c r="AO55" s="497">
        <f t="shared" si="4"/>
        <v>8040</v>
      </c>
      <c r="AP55" s="497">
        <f t="shared" si="29"/>
        <v>1800000</v>
      </c>
      <c r="AQ55" s="493"/>
      <c r="AR55" s="493"/>
      <c r="AT55" s="492">
        <v>51</v>
      </c>
      <c r="AU55" s="492">
        <v>5</v>
      </c>
      <c r="AV55" s="497">
        <f>IF(('Comparison Calculator'!$E$11-AU55)&gt;=0,0,IFERROR(-PPMT($AZ$54/12,(AT55-48),($F$1-4)*12,$AZ$53),0))</f>
        <v>0</v>
      </c>
      <c r="AW55" s="497" t="e">
        <f>IF(('Comparison Calculator'!$E$11-AU55)&gt;=0,$C$1*$AZ$54/12,IFERROR(-IPMT($AZ$54/12,(AT55-48),($F$1-4)*12,$AZ$53,0),0))</f>
        <v>#N/A</v>
      </c>
      <c r="AX55" s="497" t="e">
        <f t="shared" si="5"/>
        <v>#N/A</v>
      </c>
      <c r="AY55" s="497">
        <f t="shared" si="30"/>
        <v>1800000</v>
      </c>
      <c r="AZ55" s="493"/>
      <c r="BA55" s="493"/>
      <c r="BC55" s="492">
        <v>51</v>
      </c>
      <c r="BD55" s="492">
        <v>5</v>
      </c>
      <c r="BE55" s="497">
        <f>IF(('Comparison Calculator'!$E$11-BD55)&gt;=0,0,IFERROR(-PPMT($BI$54/12,(BC55-48),($F$1-4)*12,$BI$53),0))</f>
        <v>0</v>
      </c>
      <c r="BF55" s="497">
        <f>IF(('Comparison Calculator'!$E$11-BD55)&gt;=0,$C$1*$BI$54/12,IFERROR(-IPMT($BI$54/12,(BC55-48),($F$1-4)*12,$BI$53,0),0))</f>
        <v>7470</v>
      </c>
      <c r="BG55" s="497">
        <f t="shared" si="6"/>
        <v>7470</v>
      </c>
      <c r="BH55" s="497">
        <f t="shared" si="31"/>
        <v>1800000</v>
      </c>
      <c r="BI55" s="493"/>
      <c r="BJ55" s="493"/>
      <c r="BK55" s="492">
        <v>51</v>
      </c>
      <c r="BL55" s="492">
        <v>5</v>
      </c>
      <c r="BM55" s="497">
        <f>IF(('Comparison Calculator'!$E$11-BL55)&gt;=0,0,IFERROR(-PPMT($BQ$54/12,(BK55-48),($F$1-4)*12,$BQ$53),0))</f>
        <v>0</v>
      </c>
      <c r="BN55" s="497">
        <f>IF(('Comparison Calculator'!$E$11-BL55)&gt;=0,$C$1*$BQ$54/12,IFERROR(-IPMT($BQ$54/12,(BK55-48),($F$1-4)*12,$BQ$53,0),0))</f>
        <v>9720</v>
      </c>
      <c r="BO55" s="497">
        <f t="shared" si="7"/>
        <v>9720</v>
      </c>
      <c r="BP55" s="497">
        <f t="shared" si="32"/>
        <v>1800000</v>
      </c>
      <c r="BQ55" s="493"/>
      <c r="BR55" s="493"/>
      <c r="BT55" s="492">
        <v>51</v>
      </c>
      <c r="BU55" s="492">
        <v>5</v>
      </c>
      <c r="BV55" s="497">
        <f>IF(('Comparison Calculator'!$E$11-BU55)&gt;=0,0,IFERROR(-PPMT($BZ$54/12,(BT55-48),($F$1-4)*12,$BZ$53),0))</f>
        <v>0</v>
      </c>
      <c r="BW55" s="497">
        <f>IF(('Comparison Calculator'!$E$11-BU55)&gt;=0,$C$1*$BZ$54/12,IFERROR(-IPMT($BZ$54/12,(BT55-48),($F$1-4)*12,$BZ$53,0),0))</f>
        <v>9720</v>
      </c>
      <c r="BX55" s="497">
        <f t="shared" si="8"/>
        <v>9720</v>
      </c>
      <c r="BY55" s="497">
        <f t="shared" si="33"/>
        <v>1800000</v>
      </c>
      <c r="BZ55" s="493"/>
      <c r="CA55" s="493"/>
      <c r="CC55" s="492">
        <v>51</v>
      </c>
      <c r="CD55" s="492">
        <v>5</v>
      </c>
      <c r="CE55" s="497">
        <f>IF(('Comparison Calculator'!$E$11-CD55)&gt;=0,0,IFERROR(-PPMT($CI$54/12,(CC55-48),($F$1-4)*12,$CI$53),0))</f>
        <v>0</v>
      </c>
      <c r="CF55" s="497">
        <f>IF(('Comparison Calculator'!$E$11-CD55)&gt;=0,$C$1*$CI$54/12,IFERROR(-IPMT($CI$54/12,(CC55-48),($F$1-4)*12,$CI$53,0),0))</f>
        <v>9569.9999999999982</v>
      </c>
      <c r="CG55" s="497">
        <f t="shared" si="9"/>
        <v>9569.9999999999982</v>
      </c>
      <c r="CH55" s="497">
        <f t="shared" si="34"/>
        <v>1800000</v>
      </c>
      <c r="CI55" s="493"/>
      <c r="CJ55" s="493"/>
      <c r="CL55" s="492">
        <v>51</v>
      </c>
      <c r="CM55" s="492">
        <v>5</v>
      </c>
      <c r="CN55" s="497">
        <f>IF(('Comparison Calculator'!$E$11-CM55)&gt;=0,0,IFERROR(-PPMT($CR$54/12,(CL55-48),($F$1-4)*12,$CR$53),0))</f>
        <v>0</v>
      </c>
      <c r="CO55" s="497" t="e">
        <f>IF(('Comparison Calculator'!$E$11-CM55)&gt;=0,$C$1*$CR$54/12,IFERROR(-IPMT($CR$54/12,(CL55-48),($F$1-4)*12,$CR$53,0),0))</f>
        <v>#N/A</v>
      </c>
      <c r="CP55" s="497" t="e">
        <f t="shared" si="10"/>
        <v>#N/A</v>
      </c>
      <c r="CQ55" s="497">
        <f t="shared" si="35"/>
        <v>1800000</v>
      </c>
      <c r="CR55" s="493"/>
      <c r="CS55" s="493"/>
      <c r="CU55" s="492">
        <v>51</v>
      </c>
      <c r="CV55" s="492">
        <v>5</v>
      </c>
      <c r="CW55" s="497">
        <f>IF(('Comparison Calculator'!$E$11-CV55)&gt;=0,0,IFERROR(-PPMT($DA$54/12,(CU55-48),($F$1-4)*12,$DA$53),0))</f>
        <v>0</v>
      </c>
      <c r="CX55" s="497" t="e">
        <f>IF(('Comparison Calculator'!$E$11-CV55)&gt;=0,$C$1*$DA$54/12,IFERROR(-IPMT($DA$54/12,(CU55-48),($F$1-4)*12,$DA$53,0),0))</f>
        <v>#N/A</v>
      </c>
      <c r="CY55" s="497" t="e">
        <f t="shared" si="11"/>
        <v>#N/A</v>
      </c>
      <c r="CZ55" s="497">
        <f t="shared" si="36"/>
        <v>1800000</v>
      </c>
      <c r="DA55" s="493"/>
      <c r="DB55" s="493"/>
      <c r="DD55" s="492">
        <v>51</v>
      </c>
      <c r="DE55" s="492">
        <v>5</v>
      </c>
      <c r="DF55" s="497">
        <f>IF(('Comparison Calculator'!$E$11-DE55)&gt;=0,0,IFERROR(-PPMT($DJ$54/12,(DD55-48),($F$1-4)*12,$DJ$53),0))</f>
        <v>0</v>
      </c>
      <c r="DG55" s="497" t="e">
        <f>IF(('Comparison Calculator'!$E$11-DE55)&gt;=0,$C$1*$DJ$54/12,IFERROR(-IPMT($DJ$54/12,(DD55-48),($F$1-4)*12,$DJ$53,0),0))</f>
        <v>#N/A</v>
      </c>
      <c r="DH55" s="497" t="e">
        <f t="shared" si="12"/>
        <v>#N/A</v>
      </c>
      <c r="DI55" s="497">
        <f t="shared" si="37"/>
        <v>1800000</v>
      </c>
      <c r="DJ55" s="493"/>
      <c r="DK55" s="493"/>
    </row>
    <row r="56" spans="1:115">
      <c r="A56" s="492">
        <v>52</v>
      </c>
      <c r="B56" s="492">
        <v>5</v>
      </c>
      <c r="C56" s="497">
        <f>IF(('Comparison Calculator'!$E$11-B56)&gt;=0,0,IFERROR(-PPMT($G$54/12,(A56-48),($F$1-4)*12,$G$53),0))</f>
        <v>0</v>
      </c>
      <c r="D56" s="497">
        <f>IF(('Comparison Calculator'!$E$11-B56)&gt;=0,$C$1*$G$54/12,IFERROR(-IPMT($G$54/12,(A56-48),($F$1-4)*12,$G$53,0),0))</f>
        <v>9720</v>
      </c>
      <c r="E56" s="497">
        <f t="shared" si="0"/>
        <v>9720</v>
      </c>
      <c r="F56" s="497">
        <f t="shared" si="13"/>
        <v>1800000</v>
      </c>
      <c r="G56" s="493"/>
      <c r="H56" s="493"/>
      <c r="I56" s="489"/>
      <c r="J56" s="492">
        <v>52</v>
      </c>
      <c r="K56" s="492">
        <v>5</v>
      </c>
      <c r="L56" s="497">
        <f>IF(('Comparison Calculator'!$E$11-K56)&gt;=0,0,IFERROR(-PPMT($P$54/12,(J56-48),($F$1-4)*12,$P$53),0))</f>
        <v>0</v>
      </c>
      <c r="M56" s="497">
        <f>IF(('Comparison Calculator'!$E$11-K56)&gt;=0,$C$1*$P$54/12,IFERROR(-IPMT($P$54/12,(J56-48),($F$1-4)*12,$P$53,0),0))</f>
        <v>9720</v>
      </c>
      <c r="N56" s="497">
        <f t="shared" si="1"/>
        <v>9720</v>
      </c>
      <c r="O56" s="497">
        <f t="shared" si="26"/>
        <v>1800000</v>
      </c>
      <c r="P56" s="493"/>
      <c r="Q56" s="493"/>
      <c r="S56" s="492">
        <v>52</v>
      </c>
      <c r="T56" s="492">
        <v>5</v>
      </c>
      <c r="U56" s="497">
        <f>IF(('Comparison Calculator'!$E$11-T56)&gt;=0,0,IFERROR(-PPMT($Y$54/12,(S56-48),($F$1-4)*12,$Y$53),0))</f>
        <v>0</v>
      </c>
      <c r="V56" s="497" t="e">
        <f>IF(('Comparison Calculator'!$E$11-T56)&gt;=0,$C$1*$Y$54/12,IFERROR(-IPMT($Y$54/12,(S56-48),($F$1-4)*12,$Y$53,0),0))</f>
        <v>#N/A</v>
      </c>
      <c r="W56" s="497" t="e">
        <f t="shared" si="2"/>
        <v>#N/A</v>
      </c>
      <c r="X56" s="497">
        <f t="shared" si="27"/>
        <v>1800000</v>
      </c>
      <c r="Y56" s="493"/>
      <c r="Z56" s="493"/>
      <c r="AB56" s="492">
        <v>52</v>
      </c>
      <c r="AC56" s="492">
        <v>5</v>
      </c>
      <c r="AD56" s="497">
        <f>IF(('Comparison Calculator'!$E$11-AC56)&gt;=0,0,IFERROR(-PPMT($AH$54/12,(AB56-48),($F$1-4)*12,$AH$53),0))</f>
        <v>0</v>
      </c>
      <c r="AE56" s="497" t="e">
        <f>IF(('Comparison Calculator'!$E$11-AC56)&gt;=0,$C$1*$AH$54/12,IFERROR(-IPMT($AH$54/12,(AB56-48),($F$1-4)*12,$AH$53,0),0))</f>
        <v>#N/A</v>
      </c>
      <c r="AF56" s="497" t="e">
        <f t="shared" si="3"/>
        <v>#N/A</v>
      </c>
      <c r="AG56" s="497">
        <f t="shared" si="28"/>
        <v>1800000</v>
      </c>
      <c r="AH56" s="493"/>
      <c r="AI56" s="493"/>
      <c r="AK56" s="492">
        <v>52</v>
      </c>
      <c r="AL56" s="492">
        <v>5</v>
      </c>
      <c r="AM56" s="497">
        <f>IF(('Comparison Calculator'!$E$11-AL56)&gt;=0,0,IFERROR(-PPMT($AQ$54/12,(AK56-48),($F$1-4)*12,$AQ$53),0))</f>
        <v>0</v>
      </c>
      <c r="AN56" s="497">
        <f>IF(('Comparison Calculator'!$E$11-AL56)&gt;=0,$C$1*$AQ$54/12,IFERROR(-IPMT($AQ$54/12,(AK56-48),($F$1-4)*12,$AQ$53,0),0))</f>
        <v>8040</v>
      </c>
      <c r="AO56" s="497">
        <f t="shared" si="4"/>
        <v>8040</v>
      </c>
      <c r="AP56" s="497">
        <f t="shared" si="29"/>
        <v>1800000</v>
      </c>
      <c r="AQ56" s="493"/>
      <c r="AR56" s="493"/>
      <c r="AT56" s="492">
        <v>52</v>
      </c>
      <c r="AU56" s="492">
        <v>5</v>
      </c>
      <c r="AV56" s="497">
        <f>IF(('Comparison Calculator'!$E$11-AU56)&gt;=0,0,IFERROR(-PPMT($AZ$54/12,(AT56-48),($F$1-4)*12,$AZ$53),0))</f>
        <v>0</v>
      </c>
      <c r="AW56" s="497" t="e">
        <f>IF(('Comparison Calculator'!$E$11-AU56)&gt;=0,$C$1*$AZ$54/12,IFERROR(-IPMT($AZ$54/12,(AT56-48),($F$1-4)*12,$AZ$53,0),0))</f>
        <v>#N/A</v>
      </c>
      <c r="AX56" s="497" t="e">
        <f t="shared" si="5"/>
        <v>#N/A</v>
      </c>
      <c r="AY56" s="497">
        <f t="shared" si="30"/>
        <v>1800000</v>
      </c>
      <c r="AZ56" s="493"/>
      <c r="BA56" s="493"/>
      <c r="BC56" s="492">
        <v>52</v>
      </c>
      <c r="BD56" s="492">
        <v>5</v>
      </c>
      <c r="BE56" s="497">
        <f>IF(('Comparison Calculator'!$E$11-BD56)&gt;=0,0,IFERROR(-PPMT($BI$54/12,(BC56-48),($F$1-4)*12,$BI$53),0))</f>
        <v>0</v>
      </c>
      <c r="BF56" s="497">
        <f>IF(('Comparison Calculator'!$E$11-BD56)&gt;=0,$C$1*$BI$54/12,IFERROR(-IPMT($BI$54/12,(BC56-48),($F$1-4)*12,$BI$53,0),0))</f>
        <v>7470</v>
      </c>
      <c r="BG56" s="497">
        <f t="shared" si="6"/>
        <v>7470</v>
      </c>
      <c r="BH56" s="497">
        <f t="shared" si="31"/>
        <v>1800000</v>
      </c>
      <c r="BI56" s="493"/>
      <c r="BJ56" s="493"/>
      <c r="BK56" s="492">
        <v>52</v>
      </c>
      <c r="BL56" s="492">
        <v>5</v>
      </c>
      <c r="BM56" s="497">
        <f>IF(('Comparison Calculator'!$E$11-BL56)&gt;=0,0,IFERROR(-PPMT($BQ$54/12,(BK56-48),($F$1-4)*12,$BQ$53),0))</f>
        <v>0</v>
      </c>
      <c r="BN56" s="497">
        <f>IF(('Comparison Calculator'!$E$11-BL56)&gt;=0,$C$1*$BQ$54/12,IFERROR(-IPMT($BQ$54/12,(BK56-48),($F$1-4)*12,$BQ$53,0),0))</f>
        <v>9720</v>
      </c>
      <c r="BO56" s="497">
        <f t="shared" si="7"/>
        <v>9720</v>
      </c>
      <c r="BP56" s="497">
        <f t="shared" si="32"/>
        <v>1800000</v>
      </c>
      <c r="BQ56" s="493"/>
      <c r="BR56" s="493"/>
      <c r="BT56" s="492">
        <v>52</v>
      </c>
      <c r="BU56" s="492">
        <v>5</v>
      </c>
      <c r="BV56" s="497">
        <f>IF(('Comparison Calculator'!$E$11-BU56)&gt;=0,0,IFERROR(-PPMT($BZ$54/12,(BT56-48),($F$1-4)*12,$BZ$53),0))</f>
        <v>0</v>
      </c>
      <c r="BW56" s="497">
        <f>IF(('Comparison Calculator'!$E$11-BU56)&gt;=0,$C$1*$BZ$54/12,IFERROR(-IPMT($BZ$54/12,(BT56-48),($F$1-4)*12,$BZ$53,0),0))</f>
        <v>9720</v>
      </c>
      <c r="BX56" s="497">
        <f t="shared" si="8"/>
        <v>9720</v>
      </c>
      <c r="BY56" s="497">
        <f t="shared" si="33"/>
        <v>1800000</v>
      </c>
      <c r="BZ56" s="493"/>
      <c r="CA56" s="493"/>
      <c r="CC56" s="492">
        <v>52</v>
      </c>
      <c r="CD56" s="492">
        <v>5</v>
      </c>
      <c r="CE56" s="497">
        <f>IF(('Comparison Calculator'!$E$11-CD56)&gt;=0,0,IFERROR(-PPMT($CI$54/12,(CC56-48),($F$1-4)*12,$CI$53),0))</f>
        <v>0</v>
      </c>
      <c r="CF56" s="497">
        <f>IF(('Comparison Calculator'!$E$11-CD56)&gt;=0,$C$1*$CI$54/12,IFERROR(-IPMT($CI$54/12,(CC56-48),($F$1-4)*12,$CI$53,0),0))</f>
        <v>9569.9999999999982</v>
      </c>
      <c r="CG56" s="497">
        <f t="shared" si="9"/>
        <v>9569.9999999999982</v>
      </c>
      <c r="CH56" s="497">
        <f t="shared" si="34"/>
        <v>1800000</v>
      </c>
      <c r="CI56" s="493"/>
      <c r="CJ56" s="493"/>
      <c r="CL56" s="492">
        <v>52</v>
      </c>
      <c r="CM56" s="492">
        <v>5</v>
      </c>
      <c r="CN56" s="497">
        <f>IF(('Comparison Calculator'!$E$11-CM56)&gt;=0,0,IFERROR(-PPMT($CR$54/12,(CL56-48),($F$1-4)*12,$CR$53),0))</f>
        <v>0</v>
      </c>
      <c r="CO56" s="497" t="e">
        <f>IF(('Comparison Calculator'!$E$11-CM56)&gt;=0,$C$1*$CR$54/12,IFERROR(-IPMT($CR$54/12,(CL56-48),($F$1-4)*12,$CR$53,0),0))</f>
        <v>#N/A</v>
      </c>
      <c r="CP56" s="497" t="e">
        <f t="shared" si="10"/>
        <v>#N/A</v>
      </c>
      <c r="CQ56" s="497">
        <f t="shared" si="35"/>
        <v>1800000</v>
      </c>
      <c r="CR56" s="493"/>
      <c r="CS56" s="493"/>
      <c r="CU56" s="492">
        <v>52</v>
      </c>
      <c r="CV56" s="492">
        <v>5</v>
      </c>
      <c r="CW56" s="497">
        <f>IF(('Comparison Calculator'!$E$11-CV56)&gt;=0,0,IFERROR(-PPMT($DA$54/12,(CU56-48),($F$1-4)*12,$DA$53),0))</f>
        <v>0</v>
      </c>
      <c r="CX56" s="497" t="e">
        <f>IF(('Comparison Calculator'!$E$11-CV56)&gt;=0,$C$1*$DA$54/12,IFERROR(-IPMT($DA$54/12,(CU56-48),($F$1-4)*12,$DA$53,0),0))</f>
        <v>#N/A</v>
      </c>
      <c r="CY56" s="497" t="e">
        <f t="shared" si="11"/>
        <v>#N/A</v>
      </c>
      <c r="CZ56" s="497">
        <f t="shared" si="36"/>
        <v>1800000</v>
      </c>
      <c r="DA56" s="493"/>
      <c r="DB56" s="493"/>
      <c r="DD56" s="492">
        <v>52</v>
      </c>
      <c r="DE56" s="492">
        <v>5</v>
      </c>
      <c r="DF56" s="497">
        <f>IF(('Comparison Calculator'!$E$11-DE56)&gt;=0,0,IFERROR(-PPMT($DJ$54/12,(DD56-48),($F$1-4)*12,$DJ$53),0))</f>
        <v>0</v>
      </c>
      <c r="DG56" s="497" t="e">
        <f>IF(('Comparison Calculator'!$E$11-DE56)&gt;=0,$C$1*$DJ$54/12,IFERROR(-IPMT($DJ$54/12,(DD56-48),($F$1-4)*12,$DJ$53,0),0))</f>
        <v>#N/A</v>
      </c>
      <c r="DH56" s="497" t="e">
        <f t="shared" si="12"/>
        <v>#N/A</v>
      </c>
      <c r="DI56" s="497">
        <f t="shared" si="37"/>
        <v>1800000</v>
      </c>
      <c r="DJ56" s="493"/>
      <c r="DK56" s="493"/>
    </row>
    <row r="57" spans="1:115">
      <c r="A57" s="492">
        <v>53</v>
      </c>
      <c r="B57" s="492">
        <v>5</v>
      </c>
      <c r="C57" s="497">
        <f>IF(('Comparison Calculator'!$E$11-B57)&gt;=0,0,IFERROR(-PPMT($G$54/12,(A57-48),($F$1-4)*12,$G$53),0))</f>
        <v>0</v>
      </c>
      <c r="D57" s="497">
        <f>IF(('Comparison Calculator'!$E$11-B57)&gt;=0,$C$1*$G$54/12,IFERROR(-IPMT($G$54/12,(A57-48),($F$1-4)*12,$G$53,0),0))</f>
        <v>9720</v>
      </c>
      <c r="E57" s="497">
        <f t="shared" si="0"/>
        <v>9720</v>
      </c>
      <c r="F57" s="497">
        <f t="shared" si="13"/>
        <v>1800000</v>
      </c>
      <c r="G57" s="493"/>
      <c r="H57" s="493"/>
      <c r="I57" s="489"/>
      <c r="J57" s="492">
        <v>53</v>
      </c>
      <c r="K57" s="492">
        <v>5</v>
      </c>
      <c r="L57" s="497">
        <f>IF(('Comparison Calculator'!$E$11-K57)&gt;=0,0,IFERROR(-PPMT($P$54/12,(J57-48),($F$1-4)*12,$P$53),0))</f>
        <v>0</v>
      </c>
      <c r="M57" s="497">
        <f>IF(('Comparison Calculator'!$E$11-K57)&gt;=0,$C$1*$P$54/12,IFERROR(-IPMT($P$54/12,(J57-48),($F$1-4)*12,$P$53,0),0))</f>
        <v>9720</v>
      </c>
      <c r="N57" s="497">
        <f t="shared" si="1"/>
        <v>9720</v>
      </c>
      <c r="O57" s="497">
        <f t="shared" si="26"/>
        <v>1800000</v>
      </c>
      <c r="P57" s="493"/>
      <c r="Q57" s="493"/>
      <c r="S57" s="492">
        <v>53</v>
      </c>
      <c r="T57" s="492">
        <v>5</v>
      </c>
      <c r="U57" s="497">
        <f>IF(('Comparison Calculator'!$E$11-T57)&gt;=0,0,IFERROR(-PPMT($Y$54/12,(S57-48),($F$1-4)*12,$Y$53),0))</f>
        <v>0</v>
      </c>
      <c r="V57" s="497" t="e">
        <f>IF(('Comparison Calculator'!$E$11-T57)&gt;=0,$C$1*$Y$54/12,IFERROR(-IPMT($Y$54/12,(S57-48),($F$1-4)*12,$Y$53,0),0))</f>
        <v>#N/A</v>
      </c>
      <c r="W57" s="497" t="e">
        <f t="shared" si="2"/>
        <v>#N/A</v>
      </c>
      <c r="X57" s="497">
        <f t="shared" si="27"/>
        <v>1800000</v>
      </c>
      <c r="Y57" s="493"/>
      <c r="Z57" s="493"/>
      <c r="AB57" s="492">
        <v>53</v>
      </c>
      <c r="AC57" s="492">
        <v>5</v>
      </c>
      <c r="AD57" s="497">
        <f>IF(('Comparison Calculator'!$E$11-AC57)&gt;=0,0,IFERROR(-PPMT($AH$54/12,(AB57-48),($F$1-4)*12,$AH$53),0))</f>
        <v>0</v>
      </c>
      <c r="AE57" s="497" t="e">
        <f>IF(('Comparison Calculator'!$E$11-AC57)&gt;=0,$C$1*$AH$54/12,IFERROR(-IPMT($AH$54/12,(AB57-48),($F$1-4)*12,$AH$53,0),0))</f>
        <v>#N/A</v>
      </c>
      <c r="AF57" s="497" t="e">
        <f t="shared" si="3"/>
        <v>#N/A</v>
      </c>
      <c r="AG57" s="497">
        <f t="shared" si="28"/>
        <v>1800000</v>
      </c>
      <c r="AH57" s="493"/>
      <c r="AI57" s="493"/>
      <c r="AK57" s="492">
        <v>53</v>
      </c>
      <c r="AL57" s="492">
        <v>5</v>
      </c>
      <c r="AM57" s="497">
        <f>IF(('Comparison Calculator'!$E$11-AL57)&gt;=0,0,IFERROR(-PPMT($AQ$54/12,(AK57-48),($F$1-4)*12,$AQ$53),0))</f>
        <v>0</v>
      </c>
      <c r="AN57" s="497">
        <f>IF(('Comparison Calculator'!$E$11-AL57)&gt;=0,$C$1*$AQ$54/12,IFERROR(-IPMT($AQ$54/12,(AK57-48),($F$1-4)*12,$AQ$53,0),0))</f>
        <v>8040</v>
      </c>
      <c r="AO57" s="497">
        <f t="shared" si="4"/>
        <v>8040</v>
      </c>
      <c r="AP57" s="497">
        <f t="shared" si="29"/>
        <v>1800000</v>
      </c>
      <c r="AQ57" s="493"/>
      <c r="AR57" s="493"/>
      <c r="AT57" s="492">
        <v>53</v>
      </c>
      <c r="AU57" s="492">
        <v>5</v>
      </c>
      <c r="AV57" s="497">
        <f>IF(('Comparison Calculator'!$E$11-AU57)&gt;=0,0,IFERROR(-PPMT($AZ$54/12,(AT57-48),($F$1-4)*12,$AZ$53),0))</f>
        <v>0</v>
      </c>
      <c r="AW57" s="497" t="e">
        <f>IF(('Comparison Calculator'!$E$11-AU57)&gt;=0,$C$1*$AZ$54/12,IFERROR(-IPMT($AZ$54/12,(AT57-48),($F$1-4)*12,$AZ$53,0),0))</f>
        <v>#N/A</v>
      </c>
      <c r="AX57" s="497" t="e">
        <f t="shared" si="5"/>
        <v>#N/A</v>
      </c>
      <c r="AY57" s="497">
        <f t="shared" si="30"/>
        <v>1800000</v>
      </c>
      <c r="AZ57" s="493"/>
      <c r="BA57" s="493"/>
      <c r="BC57" s="492">
        <v>53</v>
      </c>
      <c r="BD57" s="492">
        <v>5</v>
      </c>
      <c r="BE57" s="497">
        <f>IF(('Comparison Calculator'!$E$11-BD57)&gt;=0,0,IFERROR(-PPMT($BI$54/12,(BC57-48),($F$1-4)*12,$BI$53),0))</f>
        <v>0</v>
      </c>
      <c r="BF57" s="497">
        <f>IF(('Comparison Calculator'!$E$11-BD57)&gt;=0,$C$1*$BI$54/12,IFERROR(-IPMT($BI$54/12,(BC57-48),($F$1-4)*12,$BI$53,0),0))</f>
        <v>7470</v>
      </c>
      <c r="BG57" s="497">
        <f t="shared" si="6"/>
        <v>7470</v>
      </c>
      <c r="BH57" s="497">
        <f t="shared" si="31"/>
        <v>1800000</v>
      </c>
      <c r="BI57" s="493"/>
      <c r="BJ57" s="493"/>
      <c r="BK57" s="492">
        <v>53</v>
      </c>
      <c r="BL57" s="492">
        <v>5</v>
      </c>
      <c r="BM57" s="497">
        <f>IF(('Comparison Calculator'!$E$11-BL57)&gt;=0,0,IFERROR(-PPMT($BQ$54/12,(BK57-48),($F$1-4)*12,$BQ$53),0))</f>
        <v>0</v>
      </c>
      <c r="BN57" s="497">
        <f>IF(('Comparison Calculator'!$E$11-BL57)&gt;=0,$C$1*$BQ$54/12,IFERROR(-IPMT($BQ$54/12,(BK57-48),($F$1-4)*12,$BQ$53,0),0))</f>
        <v>9720</v>
      </c>
      <c r="BO57" s="497">
        <f t="shared" si="7"/>
        <v>9720</v>
      </c>
      <c r="BP57" s="497">
        <f t="shared" si="32"/>
        <v>1800000</v>
      </c>
      <c r="BQ57" s="493"/>
      <c r="BR57" s="493"/>
      <c r="BT57" s="492">
        <v>53</v>
      </c>
      <c r="BU57" s="492">
        <v>5</v>
      </c>
      <c r="BV57" s="497">
        <f>IF(('Comparison Calculator'!$E$11-BU57)&gt;=0,0,IFERROR(-PPMT($BZ$54/12,(BT57-48),($F$1-4)*12,$BZ$53),0))</f>
        <v>0</v>
      </c>
      <c r="BW57" s="497">
        <f>IF(('Comparison Calculator'!$E$11-BU57)&gt;=0,$C$1*$BZ$54/12,IFERROR(-IPMT($BZ$54/12,(BT57-48),($F$1-4)*12,$BZ$53,0),0))</f>
        <v>9720</v>
      </c>
      <c r="BX57" s="497">
        <f t="shared" si="8"/>
        <v>9720</v>
      </c>
      <c r="BY57" s="497">
        <f t="shared" si="33"/>
        <v>1800000</v>
      </c>
      <c r="BZ57" s="493"/>
      <c r="CA57" s="493"/>
      <c r="CC57" s="492">
        <v>53</v>
      </c>
      <c r="CD57" s="492">
        <v>5</v>
      </c>
      <c r="CE57" s="497">
        <f>IF(('Comparison Calculator'!$E$11-CD57)&gt;=0,0,IFERROR(-PPMT($CI$54/12,(CC57-48),($F$1-4)*12,$CI$53),0))</f>
        <v>0</v>
      </c>
      <c r="CF57" s="497">
        <f>IF(('Comparison Calculator'!$E$11-CD57)&gt;=0,$C$1*$CI$54/12,IFERROR(-IPMT($CI$54/12,(CC57-48),($F$1-4)*12,$CI$53,0),0))</f>
        <v>9569.9999999999982</v>
      </c>
      <c r="CG57" s="497">
        <f t="shared" si="9"/>
        <v>9569.9999999999982</v>
      </c>
      <c r="CH57" s="497">
        <f t="shared" si="34"/>
        <v>1800000</v>
      </c>
      <c r="CI57" s="493"/>
      <c r="CJ57" s="493"/>
      <c r="CL57" s="492">
        <v>53</v>
      </c>
      <c r="CM57" s="492">
        <v>5</v>
      </c>
      <c r="CN57" s="497">
        <f>IF(('Comparison Calculator'!$E$11-CM57)&gt;=0,0,IFERROR(-PPMT($CR$54/12,(CL57-48),($F$1-4)*12,$CR$53),0))</f>
        <v>0</v>
      </c>
      <c r="CO57" s="497" t="e">
        <f>IF(('Comparison Calculator'!$E$11-CM57)&gt;=0,$C$1*$CR$54/12,IFERROR(-IPMT($CR$54/12,(CL57-48),($F$1-4)*12,$CR$53,0),0))</f>
        <v>#N/A</v>
      </c>
      <c r="CP57" s="497" t="e">
        <f t="shared" si="10"/>
        <v>#N/A</v>
      </c>
      <c r="CQ57" s="497">
        <f t="shared" si="35"/>
        <v>1800000</v>
      </c>
      <c r="CR57" s="493"/>
      <c r="CS57" s="493"/>
      <c r="CU57" s="492">
        <v>53</v>
      </c>
      <c r="CV57" s="492">
        <v>5</v>
      </c>
      <c r="CW57" s="497">
        <f>IF(('Comparison Calculator'!$E$11-CV57)&gt;=0,0,IFERROR(-PPMT($DA$54/12,(CU57-48),($F$1-4)*12,$DA$53),0))</f>
        <v>0</v>
      </c>
      <c r="CX57" s="497" t="e">
        <f>IF(('Comparison Calculator'!$E$11-CV57)&gt;=0,$C$1*$DA$54/12,IFERROR(-IPMT($DA$54/12,(CU57-48),($F$1-4)*12,$DA$53,0),0))</f>
        <v>#N/A</v>
      </c>
      <c r="CY57" s="497" t="e">
        <f t="shared" si="11"/>
        <v>#N/A</v>
      </c>
      <c r="CZ57" s="497">
        <f t="shared" si="36"/>
        <v>1800000</v>
      </c>
      <c r="DA57" s="493"/>
      <c r="DB57" s="493"/>
      <c r="DD57" s="492">
        <v>53</v>
      </c>
      <c r="DE57" s="492">
        <v>5</v>
      </c>
      <c r="DF57" s="497">
        <f>IF(('Comparison Calculator'!$E$11-DE57)&gt;=0,0,IFERROR(-PPMT($DJ$54/12,(DD57-48),($F$1-4)*12,$DJ$53),0))</f>
        <v>0</v>
      </c>
      <c r="DG57" s="497" t="e">
        <f>IF(('Comparison Calculator'!$E$11-DE57)&gt;=0,$C$1*$DJ$54/12,IFERROR(-IPMT($DJ$54/12,(DD57-48),($F$1-4)*12,$DJ$53,0),0))</f>
        <v>#N/A</v>
      </c>
      <c r="DH57" s="497" t="e">
        <f t="shared" si="12"/>
        <v>#N/A</v>
      </c>
      <c r="DI57" s="497">
        <f t="shared" si="37"/>
        <v>1800000</v>
      </c>
      <c r="DJ57" s="493"/>
      <c r="DK57" s="493"/>
    </row>
    <row r="58" spans="1:115">
      <c r="A58" s="492">
        <v>54</v>
      </c>
      <c r="B58" s="492">
        <v>5</v>
      </c>
      <c r="C58" s="497">
        <f>IF(('Comparison Calculator'!$E$11-B58)&gt;=0,0,IFERROR(-PPMT($G$54/12,(A58-48),($F$1-4)*12,$G$53),0))</f>
        <v>0</v>
      </c>
      <c r="D58" s="497">
        <f>IF(('Comparison Calculator'!$E$11-B58)&gt;=0,$C$1*$G$54/12,IFERROR(-IPMT($G$54/12,(A58-48),($F$1-4)*12,$G$53,0),0))</f>
        <v>9720</v>
      </c>
      <c r="E58" s="497">
        <f t="shared" si="0"/>
        <v>9720</v>
      </c>
      <c r="F58" s="497">
        <f t="shared" si="13"/>
        <v>1800000</v>
      </c>
      <c r="G58" s="493"/>
      <c r="H58" s="493"/>
      <c r="I58" s="489"/>
      <c r="J58" s="492">
        <v>54</v>
      </c>
      <c r="K58" s="492">
        <v>5</v>
      </c>
      <c r="L58" s="497">
        <f>IF(('Comparison Calculator'!$E$11-K58)&gt;=0,0,IFERROR(-PPMT($P$54/12,(J58-48),($F$1-4)*12,$P$53),0))</f>
        <v>0</v>
      </c>
      <c r="M58" s="497">
        <f>IF(('Comparison Calculator'!$E$11-K58)&gt;=0,$C$1*$P$54/12,IFERROR(-IPMT($P$54/12,(J58-48),($F$1-4)*12,$P$53,0),0))</f>
        <v>9720</v>
      </c>
      <c r="N58" s="497">
        <f t="shared" si="1"/>
        <v>9720</v>
      </c>
      <c r="O58" s="497">
        <f t="shared" si="26"/>
        <v>1800000</v>
      </c>
      <c r="P58" s="493"/>
      <c r="Q58" s="493"/>
      <c r="S58" s="492">
        <v>54</v>
      </c>
      <c r="T58" s="492">
        <v>5</v>
      </c>
      <c r="U58" s="497">
        <f>IF(('Comparison Calculator'!$E$11-T58)&gt;=0,0,IFERROR(-PPMT($Y$54/12,(S58-48),($F$1-4)*12,$Y$53),0))</f>
        <v>0</v>
      </c>
      <c r="V58" s="497" t="e">
        <f>IF(('Comparison Calculator'!$E$11-T58)&gt;=0,$C$1*$Y$54/12,IFERROR(-IPMT($Y$54/12,(S58-48),($F$1-4)*12,$Y$53,0),0))</f>
        <v>#N/A</v>
      </c>
      <c r="W58" s="497" t="e">
        <f t="shared" si="2"/>
        <v>#N/A</v>
      </c>
      <c r="X58" s="497">
        <f t="shared" si="27"/>
        <v>1800000</v>
      </c>
      <c r="Y58" s="493"/>
      <c r="Z58" s="493"/>
      <c r="AB58" s="492">
        <v>54</v>
      </c>
      <c r="AC58" s="492">
        <v>5</v>
      </c>
      <c r="AD58" s="497">
        <f>IF(('Comparison Calculator'!$E$11-AC58)&gt;=0,0,IFERROR(-PPMT($AH$54/12,(AB58-48),($F$1-4)*12,$AH$53),0))</f>
        <v>0</v>
      </c>
      <c r="AE58" s="497" t="e">
        <f>IF(('Comparison Calculator'!$E$11-AC58)&gt;=0,$C$1*$AH$54/12,IFERROR(-IPMT($AH$54/12,(AB58-48),($F$1-4)*12,$AH$53,0),0))</f>
        <v>#N/A</v>
      </c>
      <c r="AF58" s="497" t="e">
        <f t="shared" si="3"/>
        <v>#N/A</v>
      </c>
      <c r="AG58" s="497">
        <f t="shared" si="28"/>
        <v>1800000</v>
      </c>
      <c r="AH58" s="493"/>
      <c r="AI58" s="493"/>
      <c r="AK58" s="492">
        <v>54</v>
      </c>
      <c r="AL58" s="492">
        <v>5</v>
      </c>
      <c r="AM58" s="497">
        <f>IF(('Comparison Calculator'!$E$11-AL58)&gt;=0,0,IFERROR(-PPMT($AQ$54/12,(AK58-48),($F$1-4)*12,$AQ$53),0))</f>
        <v>0</v>
      </c>
      <c r="AN58" s="497">
        <f>IF(('Comparison Calculator'!$E$11-AL58)&gt;=0,$C$1*$AQ$54/12,IFERROR(-IPMT($AQ$54/12,(AK58-48),($F$1-4)*12,$AQ$53,0),0))</f>
        <v>8040</v>
      </c>
      <c r="AO58" s="497">
        <f t="shared" si="4"/>
        <v>8040</v>
      </c>
      <c r="AP58" s="497">
        <f t="shared" si="29"/>
        <v>1800000</v>
      </c>
      <c r="AQ58" s="493"/>
      <c r="AR58" s="493"/>
      <c r="AT58" s="492">
        <v>54</v>
      </c>
      <c r="AU58" s="492">
        <v>5</v>
      </c>
      <c r="AV58" s="497">
        <f>IF(('Comparison Calculator'!$E$11-AU58)&gt;=0,0,IFERROR(-PPMT($AZ$54/12,(AT58-48),($F$1-4)*12,$AZ$53),0))</f>
        <v>0</v>
      </c>
      <c r="AW58" s="497" t="e">
        <f>IF(('Comparison Calculator'!$E$11-AU58)&gt;=0,$C$1*$AZ$54/12,IFERROR(-IPMT($AZ$54/12,(AT58-48),($F$1-4)*12,$AZ$53,0),0))</f>
        <v>#N/A</v>
      </c>
      <c r="AX58" s="497" t="e">
        <f t="shared" si="5"/>
        <v>#N/A</v>
      </c>
      <c r="AY58" s="497">
        <f t="shared" si="30"/>
        <v>1800000</v>
      </c>
      <c r="AZ58" s="493"/>
      <c r="BA58" s="493"/>
      <c r="BC58" s="492">
        <v>54</v>
      </c>
      <c r="BD58" s="492">
        <v>5</v>
      </c>
      <c r="BE58" s="497">
        <f>IF(('Comparison Calculator'!$E$11-BD58)&gt;=0,0,IFERROR(-PPMT($BI$54/12,(BC58-48),($F$1-4)*12,$BI$53),0))</f>
        <v>0</v>
      </c>
      <c r="BF58" s="497">
        <f>IF(('Comparison Calculator'!$E$11-BD58)&gt;=0,$C$1*$BI$54/12,IFERROR(-IPMT($BI$54/12,(BC58-48),($F$1-4)*12,$BI$53,0),0))</f>
        <v>7470</v>
      </c>
      <c r="BG58" s="497">
        <f t="shared" si="6"/>
        <v>7470</v>
      </c>
      <c r="BH58" s="497">
        <f t="shared" si="31"/>
        <v>1800000</v>
      </c>
      <c r="BI58" s="493"/>
      <c r="BJ58" s="493"/>
      <c r="BK58" s="492">
        <v>54</v>
      </c>
      <c r="BL58" s="492">
        <v>5</v>
      </c>
      <c r="BM58" s="497">
        <f>IF(('Comparison Calculator'!$E$11-BL58)&gt;=0,0,IFERROR(-PPMT($BQ$54/12,(BK58-48),($F$1-4)*12,$BQ$53),0))</f>
        <v>0</v>
      </c>
      <c r="BN58" s="497">
        <f>IF(('Comparison Calculator'!$E$11-BL58)&gt;=0,$C$1*$BQ$54/12,IFERROR(-IPMT($BQ$54/12,(BK58-48),($F$1-4)*12,$BQ$53,0),0))</f>
        <v>9720</v>
      </c>
      <c r="BO58" s="497">
        <f t="shared" si="7"/>
        <v>9720</v>
      </c>
      <c r="BP58" s="497">
        <f t="shared" si="32"/>
        <v>1800000</v>
      </c>
      <c r="BQ58" s="493"/>
      <c r="BR58" s="493"/>
      <c r="BT58" s="492">
        <v>54</v>
      </c>
      <c r="BU58" s="492">
        <v>5</v>
      </c>
      <c r="BV58" s="497">
        <f>IF(('Comparison Calculator'!$E$11-BU58)&gt;=0,0,IFERROR(-PPMT($BZ$54/12,(BT58-48),($F$1-4)*12,$BZ$53),0))</f>
        <v>0</v>
      </c>
      <c r="BW58" s="497">
        <f>IF(('Comparison Calculator'!$E$11-BU58)&gt;=0,$C$1*$BZ$54/12,IFERROR(-IPMT($BZ$54/12,(BT58-48),($F$1-4)*12,$BZ$53,0),0))</f>
        <v>9720</v>
      </c>
      <c r="BX58" s="497">
        <f t="shared" si="8"/>
        <v>9720</v>
      </c>
      <c r="BY58" s="497">
        <f t="shared" si="33"/>
        <v>1800000</v>
      </c>
      <c r="BZ58" s="493"/>
      <c r="CA58" s="493"/>
      <c r="CC58" s="492">
        <v>54</v>
      </c>
      <c r="CD58" s="492">
        <v>5</v>
      </c>
      <c r="CE58" s="497">
        <f>IF(('Comparison Calculator'!$E$11-CD58)&gt;=0,0,IFERROR(-PPMT($CI$54/12,(CC58-48),($F$1-4)*12,$CI$53),0))</f>
        <v>0</v>
      </c>
      <c r="CF58" s="497">
        <f>IF(('Comparison Calculator'!$E$11-CD58)&gt;=0,$C$1*$CI$54/12,IFERROR(-IPMT($CI$54/12,(CC58-48),($F$1-4)*12,$CI$53,0),0))</f>
        <v>9569.9999999999982</v>
      </c>
      <c r="CG58" s="497">
        <f t="shared" si="9"/>
        <v>9569.9999999999982</v>
      </c>
      <c r="CH58" s="497">
        <f t="shared" si="34"/>
        <v>1800000</v>
      </c>
      <c r="CI58" s="493"/>
      <c r="CJ58" s="493"/>
      <c r="CL58" s="492">
        <v>54</v>
      </c>
      <c r="CM58" s="492">
        <v>5</v>
      </c>
      <c r="CN58" s="497">
        <f>IF(('Comparison Calculator'!$E$11-CM58)&gt;=0,0,IFERROR(-PPMT($CR$54/12,(CL58-48),($F$1-4)*12,$CR$53),0))</f>
        <v>0</v>
      </c>
      <c r="CO58" s="497" t="e">
        <f>IF(('Comparison Calculator'!$E$11-CM58)&gt;=0,$C$1*$CR$54/12,IFERROR(-IPMT($CR$54/12,(CL58-48),($F$1-4)*12,$CR$53,0),0))</f>
        <v>#N/A</v>
      </c>
      <c r="CP58" s="497" t="e">
        <f t="shared" si="10"/>
        <v>#N/A</v>
      </c>
      <c r="CQ58" s="497">
        <f t="shared" si="35"/>
        <v>1800000</v>
      </c>
      <c r="CR58" s="493"/>
      <c r="CS58" s="493"/>
      <c r="CU58" s="492">
        <v>54</v>
      </c>
      <c r="CV58" s="492">
        <v>5</v>
      </c>
      <c r="CW58" s="497">
        <f>IF(('Comparison Calculator'!$E$11-CV58)&gt;=0,0,IFERROR(-PPMT($DA$54/12,(CU58-48),($F$1-4)*12,$DA$53),0))</f>
        <v>0</v>
      </c>
      <c r="CX58" s="497" t="e">
        <f>IF(('Comparison Calculator'!$E$11-CV58)&gt;=0,$C$1*$DA$54/12,IFERROR(-IPMT($DA$54/12,(CU58-48),($F$1-4)*12,$DA$53,0),0))</f>
        <v>#N/A</v>
      </c>
      <c r="CY58" s="497" t="e">
        <f t="shared" si="11"/>
        <v>#N/A</v>
      </c>
      <c r="CZ58" s="497">
        <f t="shared" si="36"/>
        <v>1800000</v>
      </c>
      <c r="DA58" s="493"/>
      <c r="DB58" s="493"/>
      <c r="DD58" s="492">
        <v>54</v>
      </c>
      <c r="DE58" s="492">
        <v>5</v>
      </c>
      <c r="DF58" s="497">
        <f>IF(('Comparison Calculator'!$E$11-DE58)&gt;=0,0,IFERROR(-PPMT($DJ$54/12,(DD58-48),($F$1-4)*12,$DJ$53),0))</f>
        <v>0</v>
      </c>
      <c r="DG58" s="497" t="e">
        <f>IF(('Comparison Calculator'!$E$11-DE58)&gt;=0,$C$1*$DJ$54/12,IFERROR(-IPMT($DJ$54/12,(DD58-48),($F$1-4)*12,$DJ$53,0),0))</f>
        <v>#N/A</v>
      </c>
      <c r="DH58" s="497" t="e">
        <f t="shared" si="12"/>
        <v>#N/A</v>
      </c>
      <c r="DI58" s="497">
        <f t="shared" si="37"/>
        <v>1800000</v>
      </c>
      <c r="DJ58" s="493"/>
      <c r="DK58" s="493"/>
    </row>
    <row r="59" spans="1:115">
      <c r="A59" s="492">
        <v>55</v>
      </c>
      <c r="B59" s="492">
        <v>5</v>
      </c>
      <c r="C59" s="497">
        <f>IF(('Comparison Calculator'!$E$11-B59)&gt;=0,0,IFERROR(-PPMT($G$54/12,(A59-48),($F$1-4)*12,$G$53),0))</f>
        <v>0</v>
      </c>
      <c r="D59" s="497">
        <f>IF(('Comparison Calculator'!$E$11-B59)&gt;=0,$C$1*$G$54/12,IFERROR(-IPMT($G$54/12,(A59-48),($F$1-4)*12,$G$53,0),0))</f>
        <v>9720</v>
      </c>
      <c r="E59" s="497">
        <f t="shared" si="0"/>
        <v>9720</v>
      </c>
      <c r="F59" s="497">
        <f t="shared" si="13"/>
        <v>1800000</v>
      </c>
      <c r="G59" s="493"/>
      <c r="H59" s="493"/>
      <c r="I59" s="489"/>
      <c r="J59" s="492">
        <v>55</v>
      </c>
      <c r="K59" s="492">
        <v>5</v>
      </c>
      <c r="L59" s="497">
        <f>IF(('Comparison Calculator'!$E$11-K59)&gt;=0,0,IFERROR(-PPMT($P$54/12,(J59-48),($F$1-4)*12,$P$53),0))</f>
        <v>0</v>
      </c>
      <c r="M59" s="497">
        <f>IF(('Comparison Calculator'!$E$11-K59)&gt;=0,$C$1*$P$54/12,IFERROR(-IPMT($P$54/12,(J59-48),($F$1-4)*12,$P$53,0),0))</f>
        <v>9720</v>
      </c>
      <c r="N59" s="497">
        <f t="shared" si="1"/>
        <v>9720</v>
      </c>
      <c r="O59" s="497">
        <f t="shared" si="26"/>
        <v>1800000</v>
      </c>
      <c r="P59" s="493"/>
      <c r="Q59" s="493"/>
      <c r="S59" s="492">
        <v>55</v>
      </c>
      <c r="T59" s="492">
        <v>5</v>
      </c>
      <c r="U59" s="497">
        <f>IF(('Comparison Calculator'!$E$11-T59)&gt;=0,0,IFERROR(-PPMT($Y$54/12,(S59-48),($F$1-4)*12,$Y$53),0))</f>
        <v>0</v>
      </c>
      <c r="V59" s="497" t="e">
        <f>IF(('Comparison Calculator'!$E$11-T59)&gt;=0,$C$1*$Y$54/12,IFERROR(-IPMT($Y$54/12,(S59-48),($F$1-4)*12,$Y$53,0),0))</f>
        <v>#N/A</v>
      </c>
      <c r="W59" s="497" t="e">
        <f t="shared" si="2"/>
        <v>#N/A</v>
      </c>
      <c r="X59" s="497">
        <f t="shared" si="27"/>
        <v>1800000</v>
      </c>
      <c r="Y59" s="493"/>
      <c r="Z59" s="493"/>
      <c r="AB59" s="492">
        <v>55</v>
      </c>
      <c r="AC59" s="492">
        <v>5</v>
      </c>
      <c r="AD59" s="497">
        <f>IF(('Comparison Calculator'!$E$11-AC59)&gt;=0,0,IFERROR(-PPMT($AH$54/12,(AB59-48),($F$1-4)*12,$AH$53),0))</f>
        <v>0</v>
      </c>
      <c r="AE59" s="497" t="e">
        <f>IF(('Comparison Calculator'!$E$11-AC59)&gt;=0,$C$1*$AH$54/12,IFERROR(-IPMT($AH$54/12,(AB59-48),($F$1-4)*12,$AH$53,0),0))</f>
        <v>#N/A</v>
      </c>
      <c r="AF59" s="497" t="e">
        <f t="shared" si="3"/>
        <v>#N/A</v>
      </c>
      <c r="AG59" s="497">
        <f t="shared" si="28"/>
        <v>1800000</v>
      </c>
      <c r="AH59" s="493"/>
      <c r="AI59" s="493"/>
      <c r="AK59" s="492">
        <v>55</v>
      </c>
      <c r="AL59" s="492">
        <v>5</v>
      </c>
      <c r="AM59" s="497">
        <f>IF(('Comparison Calculator'!$E$11-AL59)&gt;=0,0,IFERROR(-PPMT($AQ$54/12,(AK59-48),($F$1-4)*12,$AQ$53),0))</f>
        <v>0</v>
      </c>
      <c r="AN59" s="497">
        <f>IF(('Comparison Calculator'!$E$11-AL59)&gt;=0,$C$1*$AQ$54/12,IFERROR(-IPMT($AQ$54/12,(AK59-48),($F$1-4)*12,$AQ$53,0),0))</f>
        <v>8040</v>
      </c>
      <c r="AO59" s="497">
        <f t="shared" si="4"/>
        <v>8040</v>
      </c>
      <c r="AP59" s="497">
        <f t="shared" si="29"/>
        <v>1800000</v>
      </c>
      <c r="AQ59" s="493"/>
      <c r="AR59" s="493"/>
      <c r="AT59" s="492">
        <v>55</v>
      </c>
      <c r="AU59" s="492">
        <v>5</v>
      </c>
      <c r="AV59" s="497">
        <f>IF(('Comparison Calculator'!$E$11-AU59)&gt;=0,0,IFERROR(-PPMT($AZ$54/12,(AT59-48),($F$1-4)*12,$AZ$53),0))</f>
        <v>0</v>
      </c>
      <c r="AW59" s="497" t="e">
        <f>IF(('Comparison Calculator'!$E$11-AU59)&gt;=0,$C$1*$AZ$54/12,IFERROR(-IPMT($AZ$54/12,(AT59-48),($F$1-4)*12,$AZ$53,0),0))</f>
        <v>#N/A</v>
      </c>
      <c r="AX59" s="497" t="e">
        <f t="shared" si="5"/>
        <v>#N/A</v>
      </c>
      <c r="AY59" s="497">
        <f t="shared" si="30"/>
        <v>1800000</v>
      </c>
      <c r="AZ59" s="493"/>
      <c r="BA59" s="493"/>
      <c r="BC59" s="492">
        <v>55</v>
      </c>
      <c r="BD59" s="492">
        <v>5</v>
      </c>
      <c r="BE59" s="497">
        <f>IF(('Comparison Calculator'!$E$11-BD59)&gt;=0,0,IFERROR(-PPMT($BI$54/12,(BC59-48),($F$1-4)*12,$BI$53),0))</f>
        <v>0</v>
      </c>
      <c r="BF59" s="497">
        <f>IF(('Comparison Calculator'!$E$11-BD59)&gt;=0,$C$1*$BI$54/12,IFERROR(-IPMT($BI$54/12,(BC59-48),($F$1-4)*12,$BI$53,0),0))</f>
        <v>7470</v>
      </c>
      <c r="BG59" s="497">
        <f t="shared" si="6"/>
        <v>7470</v>
      </c>
      <c r="BH59" s="497">
        <f t="shared" si="31"/>
        <v>1800000</v>
      </c>
      <c r="BI59" s="493"/>
      <c r="BJ59" s="493"/>
      <c r="BK59" s="492">
        <v>55</v>
      </c>
      <c r="BL59" s="492">
        <v>5</v>
      </c>
      <c r="BM59" s="497">
        <f>IF(('Comparison Calculator'!$E$11-BL59)&gt;=0,0,IFERROR(-PPMT($BQ$54/12,(BK59-48),($F$1-4)*12,$BQ$53),0))</f>
        <v>0</v>
      </c>
      <c r="BN59" s="497">
        <f>IF(('Comparison Calculator'!$E$11-BL59)&gt;=0,$C$1*$BQ$54/12,IFERROR(-IPMT($BQ$54/12,(BK59-48),($F$1-4)*12,$BQ$53,0),0))</f>
        <v>9720</v>
      </c>
      <c r="BO59" s="497">
        <f t="shared" si="7"/>
        <v>9720</v>
      </c>
      <c r="BP59" s="497">
        <f t="shared" si="32"/>
        <v>1800000</v>
      </c>
      <c r="BQ59" s="493"/>
      <c r="BR59" s="493"/>
      <c r="BT59" s="492">
        <v>55</v>
      </c>
      <c r="BU59" s="492">
        <v>5</v>
      </c>
      <c r="BV59" s="497">
        <f>IF(('Comparison Calculator'!$E$11-BU59)&gt;=0,0,IFERROR(-PPMT($BZ$54/12,(BT59-48),($F$1-4)*12,$BZ$53),0))</f>
        <v>0</v>
      </c>
      <c r="BW59" s="497">
        <f>IF(('Comparison Calculator'!$E$11-BU59)&gt;=0,$C$1*$BZ$54/12,IFERROR(-IPMT($BZ$54/12,(BT59-48),($F$1-4)*12,$BZ$53,0),0))</f>
        <v>9720</v>
      </c>
      <c r="BX59" s="497">
        <f t="shared" si="8"/>
        <v>9720</v>
      </c>
      <c r="BY59" s="497">
        <f t="shared" si="33"/>
        <v>1800000</v>
      </c>
      <c r="BZ59" s="493"/>
      <c r="CA59" s="493"/>
      <c r="CC59" s="492">
        <v>55</v>
      </c>
      <c r="CD59" s="492">
        <v>5</v>
      </c>
      <c r="CE59" s="497">
        <f>IF(('Comparison Calculator'!$E$11-CD59)&gt;=0,0,IFERROR(-PPMT($CI$54/12,(CC59-48),($F$1-4)*12,$CI$53),0))</f>
        <v>0</v>
      </c>
      <c r="CF59" s="497">
        <f>IF(('Comparison Calculator'!$E$11-CD59)&gt;=0,$C$1*$CI$54/12,IFERROR(-IPMT($CI$54/12,(CC59-48),($F$1-4)*12,$CI$53,0),0))</f>
        <v>9569.9999999999982</v>
      </c>
      <c r="CG59" s="497">
        <f t="shared" si="9"/>
        <v>9569.9999999999982</v>
      </c>
      <c r="CH59" s="497">
        <f t="shared" si="34"/>
        <v>1800000</v>
      </c>
      <c r="CI59" s="493"/>
      <c r="CJ59" s="493"/>
      <c r="CL59" s="492">
        <v>55</v>
      </c>
      <c r="CM59" s="492">
        <v>5</v>
      </c>
      <c r="CN59" s="497">
        <f>IF(('Comparison Calculator'!$E$11-CM59)&gt;=0,0,IFERROR(-PPMT($CR$54/12,(CL59-48),($F$1-4)*12,$CR$53),0))</f>
        <v>0</v>
      </c>
      <c r="CO59" s="497" t="e">
        <f>IF(('Comparison Calculator'!$E$11-CM59)&gt;=0,$C$1*$CR$54/12,IFERROR(-IPMT($CR$54/12,(CL59-48),($F$1-4)*12,$CR$53,0),0))</f>
        <v>#N/A</v>
      </c>
      <c r="CP59" s="497" t="e">
        <f t="shared" si="10"/>
        <v>#N/A</v>
      </c>
      <c r="CQ59" s="497">
        <f t="shared" si="35"/>
        <v>1800000</v>
      </c>
      <c r="CR59" s="493"/>
      <c r="CS59" s="493"/>
      <c r="CU59" s="492">
        <v>55</v>
      </c>
      <c r="CV59" s="492">
        <v>5</v>
      </c>
      <c r="CW59" s="497">
        <f>IF(('Comparison Calculator'!$E$11-CV59)&gt;=0,0,IFERROR(-PPMT($DA$54/12,(CU59-48),($F$1-4)*12,$DA$53),0))</f>
        <v>0</v>
      </c>
      <c r="CX59" s="497" t="e">
        <f>IF(('Comparison Calculator'!$E$11-CV59)&gt;=0,$C$1*$DA$54/12,IFERROR(-IPMT($DA$54/12,(CU59-48),($F$1-4)*12,$DA$53,0),0))</f>
        <v>#N/A</v>
      </c>
      <c r="CY59" s="497" t="e">
        <f t="shared" si="11"/>
        <v>#N/A</v>
      </c>
      <c r="CZ59" s="497">
        <f t="shared" si="36"/>
        <v>1800000</v>
      </c>
      <c r="DA59" s="493"/>
      <c r="DB59" s="493"/>
      <c r="DD59" s="492">
        <v>55</v>
      </c>
      <c r="DE59" s="492">
        <v>5</v>
      </c>
      <c r="DF59" s="497">
        <f>IF(('Comparison Calculator'!$E$11-DE59)&gt;=0,0,IFERROR(-PPMT($DJ$54/12,(DD59-48),($F$1-4)*12,$DJ$53),0))</f>
        <v>0</v>
      </c>
      <c r="DG59" s="497" t="e">
        <f>IF(('Comparison Calculator'!$E$11-DE59)&gt;=0,$C$1*$DJ$54/12,IFERROR(-IPMT($DJ$54/12,(DD59-48),($F$1-4)*12,$DJ$53,0),0))</f>
        <v>#N/A</v>
      </c>
      <c r="DH59" s="497" t="e">
        <f t="shared" si="12"/>
        <v>#N/A</v>
      </c>
      <c r="DI59" s="497">
        <f t="shared" si="37"/>
        <v>1800000</v>
      </c>
      <c r="DJ59" s="493"/>
      <c r="DK59" s="493"/>
    </row>
    <row r="60" spans="1:115">
      <c r="A60" s="492">
        <v>56</v>
      </c>
      <c r="B60" s="492">
        <v>5</v>
      </c>
      <c r="C60" s="497">
        <f>IF(('Comparison Calculator'!$E$11-B60)&gt;=0,0,IFERROR(-PPMT($G$54/12,(A60-48),($F$1-4)*12,$G$53),0))</f>
        <v>0</v>
      </c>
      <c r="D60" s="497">
        <f>IF(('Comparison Calculator'!$E$11-B60)&gt;=0,$C$1*$G$54/12,IFERROR(-IPMT($G$54/12,(A60-48),($F$1-4)*12,$G$53,0),0))</f>
        <v>9720</v>
      </c>
      <c r="E60" s="497">
        <f t="shared" si="0"/>
        <v>9720</v>
      </c>
      <c r="F60" s="497">
        <f t="shared" si="13"/>
        <v>1800000</v>
      </c>
      <c r="G60" s="493"/>
      <c r="H60" s="493"/>
      <c r="I60" s="489"/>
      <c r="J60" s="492">
        <v>56</v>
      </c>
      <c r="K60" s="492">
        <v>5</v>
      </c>
      <c r="L60" s="497">
        <f>IF(('Comparison Calculator'!$E$11-K60)&gt;=0,0,IFERROR(-PPMT($P$54/12,(J60-48),($F$1-4)*12,$P$53),0))</f>
        <v>0</v>
      </c>
      <c r="M60" s="497">
        <f>IF(('Comparison Calculator'!$E$11-K60)&gt;=0,$C$1*$P$54/12,IFERROR(-IPMT($P$54/12,(J60-48),($F$1-4)*12,$P$53,0),0))</f>
        <v>9720</v>
      </c>
      <c r="N60" s="497">
        <f t="shared" si="1"/>
        <v>9720</v>
      </c>
      <c r="O60" s="497">
        <f t="shared" si="26"/>
        <v>1800000</v>
      </c>
      <c r="P60" s="493"/>
      <c r="Q60" s="493"/>
      <c r="S60" s="492">
        <v>56</v>
      </c>
      <c r="T60" s="492">
        <v>5</v>
      </c>
      <c r="U60" s="497">
        <f>IF(('Comparison Calculator'!$E$11-T60)&gt;=0,0,IFERROR(-PPMT($Y$54/12,(S60-48),($F$1-4)*12,$Y$53),0))</f>
        <v>0</v>
      </c>
      <c r="V60" s="497" t="e">
        <f>IF(('Comparison Calculator'!$E$11-T60)&gt;=0,$C$1*$Y$54/12,IFERROR(-IPMT($Y$54/12,(S60-48),($F$1-4)*12,$Y$53,0),0))</f>
        <v>#N/A</v>
      </c>
      <c r="W60" s="497" t="e">
        <f t="shared" si="2"/>
        <v>#N/A</v>
      </c>
      <c r="X60" s="497">
        <f t="shared" si="27"/>
        <v>1800000</v>
      </c>
      <c r="Y60" s="493"/>
      <c r="Z60" s="493"/>
      <c r="AB60" s="492">
        <v>56</v>
      </c>
      <c r="AC60" s="492">
        <v>5</v>
      </c>
      <c r="AD60" s="497">
        <f>IF(('Comparison Calculator'!$E$11-AC60)&gt;=0,0,IFERROR(-PPMT($AH$54/12,(AB60-48),($F$1-4)*12,$AH$53),0))</f>
        <v>0</v>
      </c>
      <c r="AE60" s="497" t="e">
        <f>IF(('Comparison Calculator'!$E$11-AC60)&gt;=0,$C$1*$AH$54/12,IFERROR(-IPMT($AH$54/12,(AB60-48),($F$1-4)*12,$AH$53,0),0))</f>
        <v>#N/A</v>
      </c>
      <c r="AF60" s="497" t="e">
        <f t="shared" si="3"/>
        <v>#N/A</v>
      </c>
      <c r="AG60" s="497">
        <f t="shared" si="28"/>
        <v>1800000</v>
      </c>
      <c r="AH60" s="493"/>
      <c r="AI60" s="493"/>
      <c r="AK60" s="492">
        <v>56</v>
      </c>
      <c r="AL60" s="492">
        <v>5</v>
      </c>
      <c r="AM60" s="497">
        <f>IF(('Comparison Calculator'!$E$11-AL60)&gt;=0,0,IFERROR(-PPMT($AQ$54/12,(AK60-48),($F$1-4)*12,$AQ$53),0))</f>
        <v>0</v>
      </c>
      <c r="AN60" s="497">
        <f>IF(('Comparison Calculator'!$E$11-AL60)&gt;=0,$C$1*$AQ$54/12,IFERROR(-IPMT($AQ$54/12,(AK60-48),($F$1-4)*12,$AQ$53,0),0))</f>
        <v>8040</v>
      </c>
      <c r="AO60" s="497">
        <f t="shared" si="4"/>
        <v>8040</v>
      </c>
      <c r="AP60" s="497">
        <f t="shared" si="29"/>
        <v>1800000</v>
      </c>
      <c r="AQ60" s="493"/>
      <c r="AR60" s="493"/>
      <c r="AT60" s="492">
        <v>56</v>
      </c>
      <c r="AU60" s="492">
        <v>5</v>
      </c>
      <c r="AV60" s="497">
        <f>IF(('Comparison Calculator'!$E$11-AU60)&gt;=0,0,IFERROR(-PPMT($AZ$54/12,(AT60-48),($F$1-4)*12,$AZ$53),0))</f>
        <v>0</v>
      </c>
      <c r="AW60" s="497" t="e">
        <f>IF(('Comparison Calculator'!$E$11-AU60)&gt;=0,$C$1*$AZ$54/12,IFERROR(-IPMT($AZ$54/12,(AT60-48),($F$1-4)*12,$AZ$53,0),0))</f>
        <v>#N/A</v>
      </c>
      <c r="AX60" s="497" t="e">
        <f t="shared" si="5"/>
        <v>#N/A</v>
      </c>
      <c r="AY60" s="497">
        <f t="shared" si="30"/>
        <v>1800000</v>
      </c>
      <c r="AZ60" s="493"/>
      <c r="BA60" s="493"/>
      <c r="BC60" s="492">
        <v>56</v>
      </c>
      <c r="BD60" s="492">
        <v>5</v>
      </c>
      <c r="BE60" s="497">
        <f>IF(('Comparison Calculator'!$E$11-BD60)&gt;=0,0,IFERROR(-PPMT($BI$54/12,(BC60-48),($F$1-4)*12,$BI$53),0))</f>
        <v>0</v>
      </c>
      <c r="BF60" s="497">
        <f>IF(('Comparison Calculator'!$E$11-BD60)&gt;=0,$C$1*$BI$54/12,IFERROR(-IPMT($BI$54/12,(BC60-48),($F$1-4)*12,$BI$53,0),0))</f>
        <v>7470</v>
      </c>
      <c r="BG60" s="497">
        <f t="shared" si="6"/>
        <v>7470</v>
      </c>
      <c r="BH60" s="497">
        <f t="shared" si="31"/>
        <v>1800000</v>
      </c>
      <c r="BI60" s="493"/>
      <c r="BJ60" s="493"/>
      <c r="BK60" s="492">
        <v>56</v>
      </c>
      <c r="BL60" s="492">
        <v>5</v>
      </c>
      <c r="BM60" s="497">
        <f>IF(('Comparison Calculator'!$E$11-BL60)&gt;=0,0,IFERROR(-PPMT($BQ$54/12,(BK60-48),($F$1-4)*12,$BQ$53),0))</f>
        <v>0</v>
      </c>
      <c r="BN60" s="497">
        <f>IF(('Comparison Calculator'!$E$11-BL60)&gt;=0,$C$1*$BQ$54/12,IFERROR(-IPMT($BQ$54/12,(BK60-48),($F$1-4)*12,$BQ$53,0),0))</f>
        <v>9720</v>
      </c>
      <c r="BO60" s="497">
        <f t="shared" si="7"/>
        <v>9720</v>
      </c>
      <c r="BP60" s="497">
        <f t="shared" si="32"/>
        <v>1800000</v>
      </c>
      <c r="BQ60" s="493"/>
      <c r="BR60" s="493"/>
      <c r="BT60" s="492">
        <v>56</v>
      </c>
      <c r="BU60" s="492">
        <v>5</v>
      </c>
      <c r="BV60" s="497">
        <f>IF(('Comparison Calculator'!$E$11-BU60)&gt;=0,0,IFERROR(-PPMT($BZ$54/12,(BT60-48),($F$1-4)*12,$BZ$53),0))</f>
        <v>0</v>
      </c>
      <c r="BW60" s="497">
        <f>IF(('Comparison Calculator'!$E$11-BU60)&gt;=0,$C$1*$BZ$54/12,IFERROR(-IPMT($BZ$54/12,(BT60-48),($F$1-4)*12,$BZ$53,0),0))</f>
        <v>9720</v>
      </c>
      <c r="BX60" s="497">
        <f t="shared" si="8"/>
        <v>9720</v>
      </c>
      <c r="BY60" s="497">
        <f t="shared" si="33"/>
        <v>1800000</v>
      </c>
      <c r="BZ60" s="493"/>
      <c r="CA60" s="493"/>
      <c r="CC60" s="492">
        <v>56</v>
      </c>
      <c r="CD60" s="492">
        <v>5</v>
      </c>
      <c r="CE60" s="497">
        <f>IF(('Comparison Calculator'!$E$11-CD60)&gt;=0,0,IFERROR(-PPMT($CI$54/12,(CC60-48),($F$1-4)*12,$CI$53),0))</f>
        <v>0</v>
      </c>
      <c r="CF60" s="497">
        <f>IF(('Comparison Calculator'!$E$11-CD60)&gt;=0,$C$1*$CI$54/12,IFERROR(-IPMT($CI$54/12,(CC60-48),($F$1-4)*12,$CI$53,0),0))</f>
        <v>9569.9999999999982</v>
      </c>
      <c r="CG60" s="497">
        <f t="shared" si="9"/>
        <v>9569.9999999999982</v>
      </c>
      <c r="CH60" s="497">
        <f t="shared" si="34"/>
        <v>1800000</v>
      </c>
      <c r="CI60" s="493"/>
      <c r="CJ60" s="493"/>
      <c r="CL60" s="492">
        <v>56</v>
      </c>
      <c r="CM60" s="492">
        <v>5</v>
      </c>
      <c r="CN60" s="497">
        <f>IF(('Comparison Calculator'!$E$11-CM60)&gt;=0,0,IFERROR(-PPMT($CR$54/12,(CL60-48),($F$1-4)*12,$CR$53),0))</f>
        <v>0</v>
      </c>
      <c r="CO60" s="497" t="e">
        <f>IF(('Comparison Calculator'!$E$11-CM60)&gt;=0,$C$1*$CR$54/12,IFERROR(-IPMT($CR$54/12,(CL60-48),($F$1-4)*12,$CR$53,0),0))</f>
        <v>#N/A</v>
      </c>
      <c r="CP60" s="497" t="e">
        <f t="shared" si="10"/>
        <v>#N/A</v>
      </c>
      <c r="CQ60" s="497">
        <f t="shared" si="35"/>
        <v>1800000</v>
      </c>
      <c r="CR60" s="493"/>
      <c r="CS60" s="493"/>
      <c r="CU60" s="492">
        <v>56</v>
      </c>
      <c r="CV60" s="492">
        <v>5</v>
      </c>
      <c r="CW60" s="497">
        <f>IF(('Comparison Calculator'!$E$11-CV60)&gt;=0,0,IFERROR(-PPMT($DA$54/12,(CU60-48),($F$1-4)*12,$DA$53),0))</f>
        <v>0</v>
      </c>
      <c r="CX60" s="497" t="e">
        <f>IF(('Comparison Calculator'!$E$11-CV60)&gt;=0,$C$1*$DA$54/12,IFERROR(-IPMT($DA$54/12,(CU60-48),($F$1-4)*12,$DA$53,0),0))</f>
        <v>#N/A</v>
      </c>
      <c r="CY60" s="497" t="e">
        <f t="shared" si="11"/>
        <v>#N/A</v>
      </c>
      <c r="CZ60" s="497">
        <f t="shared" si="36"/>
        <v>1800000</v>
      </c>
      <c r="DA60" s="493"/>
      <c r="DB60" s="493"/>
      <c r="DD60" s="492">
        <v>56</v>
      </c>
      <c r="DE60" s="492">
        <v>5</v>
      </c>
      <c r="DF60" s="497">
        <f>IF(('Comparison Calculator'!$E$11-DE60)&gt;=0,0,IFERROR(-PPMT($DJ$54/12,(DD60-48),($F$1-4)*12,$DJ$53),0))</f>
        <v>0</v>
      </c>
      <c r="DG60" s="497" t="e">
        <f>IF(('Comparison Calculator'!$E$11-DE60)&gt;=0,$C$1*$DJ$54/12,IFERROR(-IPMT($DJ$54/12,(DD60-48),($F$1-4)*12,$DJ$53,0),0))</f>
        <v>#N/A</v>
      </c>
      <c r="DH60" s="497" t="e">
        <f t="shared" si="12"/>
        <v>#N/A</v>
      </c>
      <c r="DI60" s="497">
        <f t="shared" si="37"/>
        <v>1800000</v>
      </c>
      <c r="DJ60" s="493"/>
      <c r="DK60" s="493"/>
    </row>
    <row r="61" spans="1:115">
      <c r="A61" s="492">
        <v>57</v>
      </c>
      <c r="B61" s="492">
        <v>5</v>
      </c>
      <c r="C61" s="497">
        <f>IF(('Comparison Calculator'!$E$11-B61)&gt;=0,0,IFERROR(-PPMT($G$54/12,(A61-48),($F$1-4)*12,$G$53),0))</f>
        <v>0</v>
      </c>
      <c r="D61" s="497">
        <f>IF(('Comparison Calculator'!$E$11-B61)&gt;=0,$C$1*$G$54/12,IFERROR(-IPMT($G$54/12,(A61-48),($F$1-4)*12,$G$53,0),0))</f>
        <v>9720</v>
      </c>
      <c r="E61" s="497">
        <f t="shared" si="0"/>
        <v>9720</v>
      </c>
      <c r="F61" s="497">
        <f t="shared" si="13"/>
        <v>1800000</v>
      </c>
      <c r="G61" s="493"/>
      <c r="H61" s="493"/>
      <c r="I61" s="489"/>
      <c r="J61" s="492">
        <v>57</v>
      </c>
      <c r="K61" s="492">
        <v>5</v>
      </c>
      <c r="L61" s="497">
        <f>IF(('Comparison Calculator'!$E$11-K61)&gt;=0,0,IFERROR(-PPMT($P$54/12,(J61-48),($F$1-4)*12,$P$53),0))</f>
        <v>0</v>
      </c>
      <c r="M61" s="497">
        <f>IF(('Comparison Calculator'!$E$11-K61)&gt;=0,$C$1*$P$54/12,IFERROR(-IPMT($P$54/12,(J61-48),($F$1-4)*12,$P$53,0),0))</f>
        <v>9720</v>
      </c>
      <c r="N61" s="497">
        <f t="shared" si="1"/>
        <v>9720</v>
      </c>
      <c r="O61" s="497">
        <f t="shared" si="26"/>
        <v>1800000</v>
      </c>
      <c r="P61" s="493"/>
      <c r="Q61" s="493"/>
      <c r="S61" s="492">
        <v>57</v>
      </c>
      <c r="T61" s="492">
        <v>5</v>
      </c>
      <c r="U61" s="497">
        <f>IF(('Comparison Calculator'!$E$11-T61)&gt;=0,0,IFERROR(-PPMT($Y$54/12,(S61-48),($F$1-4)*12,$Y$53),0))</f>
        <v>0</v>
      </c>
      <c r="V61" s="497" t="e">
        <f>IF(('Comparison Calculator'!$E$11-T61)&gt;=0,$C$1*$Y$54/12,IFERROR(-IPMT($Y$54/12,(S61-48),($F$1-4)*12,$Y$53,0),0))</f>
        <v>#N/A</v>
      </c>
      <c r="W61" s="497" t="e">
        <f t="shared" si="2"/>
        <v>#N/A</v>
      </c>
      <c r="X61" s="497">
        <f t="shared" si="27"/>
        <v>1800000</v>
      </c>
      <c r="Y61" s="493"/>
      <c r="Z61" s="493"/>
      <c r="AB61" s="492">
        <v>57</v>
      </c>
      <c r="AC61" s="492">
        <v>5</v>
      </c>
      <c r="AD61" s="497">
        <f>IF(('Comparison Calculator'!$E$11-AC61)&gt;=0,0,IFERROR(-PPMT($AH$54/12,(AB61-48),($F$1-4)*12,$AH$53),0))</f>
        <v>0</v>
      </c>
      <c r="AE61" s="497" t="e">
        <f>IF(('Comparison Calculator'!$E$11-AC61)&gt;=0,$C$1*$AH$54/12,IFERROR(-IPMT($AH$54/12,(AB61-48),($F$1-4)*12,$AH$53,0),0))</f>
        <v>#N/A</v>
      </c>
      <c r="AF61" s="497" t="e">
        <f t="shared" si="3"/>
        <v>#N/A</v>
      </c>
      <c r="AG61" s="497">
        <f t="shared" si="28"/>
        <v>1800000</v>
      </c>
      <c r="AH61" s="493"/>
      <c r="AI61" s="493"/>
      <c r="AK61" s="492">
        <v>57</v>
      </c>
      <c r="AL61" s="492">
        <v>5</v>
      </c>
      <c r="AM61" s="497">
        <f>IF(('Comparison Calculator'!$E$11-AL61)&gt;=0,0,IFERROR(-PPMT($AQ$54/12,(AK61-48),($F$1-4)*12,$AQ$53),0))</f>
        <v>0</v>
      </c>
      <c r="AN61" s="497">
        <f>IF(('Comparison Calculator'!$E$11-AL61)&gt;=0,$C$1*$AQ$54/12,IFERROR(-IPMT($AQ$54/12,(AK61-48),($F$1-4)*12,$AQ$53,0),0))</f>
        <v>8040</v>
      </c>
      <c r="AO61" s="497">
        <f t="shared" si="4"/>
        <v>8040</v>
      </c>
      <c r="AP61" s="497">
        <f t="shared" si="29"/>
        <v>1800000</v>
      </c>
      <c r="AQ61" s="493"/>
      <c r="AR61" s="493"/>
      <c r="AT61" s="492">
        <v>57</v>
      </c>
      <c r="AU61" s="492">
        <v>5</v>
      </c>
      <c r="AV61" s="497">
        <f>IF(('Comparison Calculator'!$E$11-AU61)&gt;=0,0,IFERROR(-PPMT($AZ$54/12,(AT61-48),($F$1-4)*12,$AZ$53),0))</f>
        <v>0</v>
      </c>
      <c r="AW61" s="497" t="e">
        <f>IF(('Comparison Calculator'!$E$11-AU61)&gt;=0,$C$1*$AZ$54/12,IFERROR(-IPMT($AZ$54/12,(AT61-48),($F$1-4)*12,$AZ$53,0),0))</f>
        <v>#N/A</v>
      </c>
      <c r="AX61" s="497" t="e">
        <f t="shared" si="5"/>
        <v>#N/A</v>
      </c>
      <c r="AY61" s="497">
        <f t="shared" si="30"/>
        <v>1800000</v>
      </c>
      <c r="AZ61" s="493"/>
      <c r="BA61" s="493"/>
      <c r="BC61" s="492">
        <v>57</v>
      </c>
      <c r="BD61" s="492">
        <v>5</v>
      </c>
      <c r="BE61" s="497">
        <f>IF(('Comparison Calculator'!$E$11-BD61)&gt;=0,0,IFERROR(-PPMT($BI$54/12,(BC61-48),($F$1-4)*12,$BI$53),0))</f>
        <v>0</v>
      </c>
      <c r="BF61" s="497">
        <f>IF(('Comparison Calculator'!$E$11-BD61)&gt;=0,$C$1*$BI$54/12,IFERROR(-IPMT($BI$54/12,(BC61-48),($F$1-4)*12,$BI$53,0),0))</f>
        <v>7470</v>
      </c>
      <c r="BG61" s="497">
        <f t="shared" si="6"/>
        <v>7470</v>
      </c>
      <c r="BH61" s="497">
        <f t="shared" si="31"/>
        <v>1800000</v>
      </c>
      <c r="BI61" s="493"/>
      <c r="BJ61" s="493"/>
      <c r="BK61" s="492">
        <v>57</v>
      </c>
      <c r="BL61" s="492">
        <v>5</v>
      </c>
      <c r="BM61" s="497">
        <f>IF(('Comparison Calculator'!$E$11-BL61)&gt;=0,0,IFERROR(-PPMT($BQ$54/12,(BK61-48),($F$1-4)*12,$BQ$53),0))</f>
        <v>0</v>
      </c>
      <c r="BN61" s="497">
        <f>IF(('Comparison Calculator'!$E$11-BL61)&gt;=0,$C$1*$BQ$54/12,IFERROR(-IPMT($BQ$54/12,(BK61-48),($F$1-4)*12,$BQ$53,0),0))</f>
        <v>9720</v>
      </c>
      <c r="BO61" s="497">
        <f t="shared" si="7"/>
        <v>9720</v>
      </c>
      <c r="BP61" s="497">
        <f t="shared" si="32"/>
        <v>1800000</v>
      </c>
      <c r="BQ61" s="493"/>
      <c r="BR61" s="493"/>
      <c r="BT61" s="492">
        <v>57</v>
      </c>
      <c r="BU61" s="492">
        <v>5</v>
      </c>
      <c r="BV61" s="497">
        <f>IF(('Comparison Calculator'!$E$11-BU61)&gt;=0,0,IFERROR(-PPMT($BZ$54/12,(BT61-48),($F$1-4)*12,$BZ$53),0))</f>
        <v>0</v>
      </c>
      <c r="BW61" s="497">
        <f>IF(('Comparison Calculator'!$E$11-BU61)&gt;=0,$C$1*$BZ$54/12,IFERROR(-IPMT($BZ$54/12,(BT61-48),($F$1-4)*12,$BZ$53,0),0))</f>
        <v>9720</v>
      </c>
      <c r="BX61" s="497">
        <f t="shared" si="8"/>
        <v>9720</v>
      </c>
      <c r="BY61" s="497">
        <f t="shared" si="33"/>
        <v>1800000</v>
      </c>
      <c r="BZ61" s="493"/>
      <c r="CA61" s="493"/>
      <c r="CC61" s="492">
        <v>57</v>
      </c>
      <c r="CD61" s="492">
        <v>5</v>
      </c>
      <c r="CE61" s="497">
        <f>IF(('Comparison Calculator'!$E$11-CD61)&gt;=0,0,IFERROR(-PPMT($CI$54/12,(CC61-48),($F$1-4)*12,$CI$53),0))</f>
        <v>0</v>
      </c>
      <c r="CF61" s="497">
        <f>IF(('Comparison Calculator'!$E$11-CD61)&gt;=0,$C$1*$CI$54/12,IFERROR(-IPMT($CI$54/12,(CC61-48),($F$1-4)*12,$CI$53,0),0))</f>
        <v>9569.9999999999982</v>
      </c>
      <c r="CG61" s="497">
        <f t="shared" si="9"/>
        <v>9569.9999999999982</v>
      </c>
      <c r="CH61" s="497">
        <f t="shared" si="34"/>
        <v>1800000</v>
      </c>
      <c r="CI61" s="493"/>
      <c r="CJ61" s="493"/>
      <c r="CL61" s="492">
        <v>57</v>
      </c>
      <c r="CM61" s="492">
        <v>5</v>
      </c>
      <c r="CN61" s="497">
        <f>IF(('Comparison Calculator'!$E$11-CM61)&gt;=0,0,IFERROR(-PPMT($CR$54/12,(CL61-48),($F$1-4)*12,$CR$53),0))</f>
        <v>0</v>
      </c>
      <c r="CO61" s="497" t="e">
        <f>IF(('Comparison Calculator'!$E$11-CM61)&gt;=0,$C$1*$CR$54/12,IFERROR(-IPMT($CR$54/12,(CL61-48),($F$1-4)*12,$CR$53,0),0))</f>
        <v>#N/A</v>
      </c>
      <c r="CP61" s="497" t="e">
        <f t="shared" si="10"/>
        <v>#N/A</v>
      </c>
      <c r="CQ61" s="497">
        <f t="shared" si="35"/>
        <v>1800000</v>
      </c>
      <c r="CR61" s="493"/>
      <c r="CS61" s="493"/>
      <c r="CU61" s="492">
        <v>57</v>
      </c>
      <c r="CV61" s="492">
        <v>5</v>
      </c>
      <c r="CW61" s="497">
        <f>IF(('Comparison Calculator'!$E$11-CV61)&gt;=0,0,IFERROR(-PPMT($DA$54/12,(CU61-48),($F$1-4)*12,$DA$53),0))</f>
        <v>0</v>
      </c>
      <c r="CX61" s="497" t="e">
        <f>IF(('Comparison Calculator'!$E$11-CV61)&gt;=0,$C$1*$DA$54/12,IFERROR(-IPMT($DA$54/12,(CU61-48),($F$1-4)*12,$DA$53,0),0))</f>
        <v>#N/A</v>
      </c>
      <c r="CY61" s="497" t="e">
        <f t="shared" si="11"/>
        <v>#N/A</v>
      </c>
      <c r="CZ61" s="497">
        <f t="shared" si="36"/>
        <v>1800000</v>
      </c>
      <c r="DA61" s="493"/>
      <c r="DB61" s="493"/>
      <c r="DD61" s="492">
        <v>57</v>
      </c>
      <c r="DE61" s="492">
        <v>5</v>
      </c>
      <c r="DF61" s="497">
        <f>IF(('Comparison Calculator'!$E$11-DE61)&gt;=0,0,IFERROR(-PPMT($DJ$54/12,(DD61-48),($F$1-4)*12,$DJ$53),0))</f>
        <v>0</v>
      </c>
      <c r="DG61" s="497" t="e">
        <f>IF(('Comparison Calculator'!$E$11-DE61)&gt;=0,$C$1*$DJ$54/12,IFERROR(-IPMT($DJ$54/12,(DD61-48),($F$1-4)*12,$DJ$53,0),0))</f>
        <v>#N/A</v>
      </c>
      <c r="DH61" s="497" t="e">
        <f t="shared" si="12"/>
        <v>#N/A</v>
      </c>
      <c r="DI61" s="497">
        <f t="shared" si="37"/>
        <v>1800000</v>
      </c>
      <c r="DJ61" s="493"/>
      <c r="DK61" s="493"/>
    </row>
    <row r="62" spans="1:115">
      <c r="A62" s="492">
        <v>58</v>
      </c>
      <c r="B62" s="492">
        <v>5</v>
      </c>
      <c r="C62" s="497">
        <f>IF(('Comparison Calculator'!$E$11-B62)&gt;=0,0,IFERROR(-PPMT($G$54/12,(A62-48),($F$1-4)*12,$G$53),0))</f>
        <v>0</v>
      </c>
      <c r="D62" s="497">
        <f>IF(('Comparison Calculator'!$E$11-B62)&gt;=0,$C$1*$G$54/12,IFERROR(-IPMT($G$54/12,(A62-48),($F$1-4)*12,$G$53,0),0))</f>
        <v>9720</v>
      </c>
      <c r="E62" s="497">
        <f t="shared" si="0"/>
        <v>9720</v>
      </c>
      <c r="F62" s="497">
        <f t="shared" si="13"/>
        <v>1800000</v>
      </c>
      <c r="G62" s="493"/>
      <c r="H62" s="493"/>
      <c r="I62" s="489"/>
      <c r="J62" s="492">
        <v>58</v>
      </c>
      <c r="K62" s="492">
        <v>5</v>
      </c>
      <c r="L62" s="497">
        <f>IF(('Comparison Calculator'!$E$11-K62)&gt;=0,0,IFERROR(-PPMT($P$54/12,(J62-48),($F$1-4)*12,$P$53),0))</f>
        <v>0</v>
      </c>
      <c r="M62" s="497">
        <f>IF(('Comparison Calculator'!$E$11-K62)&gt;=0,$C$1*$P$54/12,IFERROR(-IPMT($P$54/12,(J62-48),($F$1-4)*12,$P$53,0),0))</f>
        <v>9720</v>
      </c>
      <c r="N62" s="497">
        <f t="shared" si="1"/>
        <v>9720</v>
      </c>
      <c r="O62" s="497">
        <f t="shared" si="26"/>
        <v>1800000</v>
      </c>
      <c r="P62" s="493"/>
      <c r="Q62" s="493"/>
      <c r="S62" s="492">
        <v>58</v>
      </c>
      <c r="T62" s="492">
        <v>5</v>
      </c>
      <c r="U62" s="497">
        <f>IF(('Comparison Calculator'!$E$11-T62)&gt;=0,0,IFERROR(-PPMT($Y$54/12,(S62-48),($F$1-4)*12,$Y$53),0))</f>
        <v>0</v>
      </c>
      <c r="V62" s="497" t="e">
        <f>IF(('Comparison Calculator'!$E$11-T62)&gt;=0,$C$1*$Y$54/12,IFERROR(-IPMT($Y$54/12,(S62-48),($F$1-4)*12,$Y$53,0),0))</f>
        <v>#N/A</v>
      </c>
      <c r="W62" s="497" t="e">
        <f t="shared" si="2"/>
        <v>#N/A</v>
      </c>
      <c r="X62" s="497">
        <f t="shared" si="27"/>
        <v>1800000</v>
      </c>
      <c r="Y62" s="493"/>
      <c r="Z62" s="493"/>
      <c r="AB62" s="492">
        <v>58</v>
      </c>
      <c r="AC62" s="492">
        <v>5</v>
      </c>
      <c r="AD62" s="497">
        <f>IF(('Comparison Calculator'!$E$11-AC62)&gt;=0,0,IFERROR(-PPMT($AH$54/12,(AB62-48),($F$1-4)*12,$AH$53),0))</f>
        <v>0</v>
      </c>
      <c r="AE62" s="497" t="e">
        <f>IF(('Comparison Calculator'!$E$11-AC62)&gt;=0,$C$1*$AH$54/12,IFERROR(-IPMT($AH$54/12,(AB62-48),($F$1-4)*12,$AH$53,0),0))</f>
        <v>#N/A</v>
      </c>
      <c r="AF62" s="497" t="e">
        <f t="shared" si="3"/>
        <v>#N/A</v>
      </c>
      <c r="AG62" s="497">
        <f t="shared" si="28"/>
        <v>1800000</v>
      </c>
      <c r="AH62" s="493"/>
      <c r="AI62" s="493"/>
      <c r="AK62" s="492">
        <v>58</v>
      </c>
      <c r="AL62" s="492">
        <v>5</v>
      </c>
      <c r="AM62" s="497">
        <f>IF(('Comparison Calculator'!$E$11-AL62)&gt;=0,0,IFERROR(-PPMT($AQ$54/12,(AK62-48),($F$1-4)*12,$AQ$53),0))</f>
        <v>0</v>
      </c>
      <c r="AN62" s="497">
        <f>IF(('Comparison Calculator'!$E$11-AL62)&gt;=0,$C$1*$AQ$54/12,IFERROR(-IPMT($AQ$54/12,(AK62-48),($F$1-4)*12,$AQ$53,0),0))</f>
        <v>8040</v>
      </c>
      <c r="AO62" s="497">
        <f t="shared" si="4"/>
        <v>8040</v>
      </c>
      <c r="AP62" s="497">
        <f t="shared" si="29"/>
        <v>1800000</v>
      </c>
      <c r="AQ62" s="493"/>
      <c r="AR62" s="493"/>
      <c r="AT62" s="492">
        <v>58</v>
      </c>
      <c r="AU62" s="492">
        <v>5</v>
      </c>
      <c r="AV62" s="497">
        <f>IF(('Comparison Calculator'!$E$11-AU62)&gt;=0,0,IFERROR(-PPMT($AZ$54/12,(AT62-48),($F$1-4)*12,$AZ$53),0))</f>
        <v>0</v>
      </c>
      <c r="AW62" s="497" t="e">
        <f>IF(('Comparison Calculator'!$E$11-AU62)&gt;=0,$C$1*$AZ$54/12,IFERROR(-IPMT($AZ$54/12,(AT62-48),($F$1-4)*12,$AZ$53,0),0))</f>
        <v>#N/A</v>
      </c>
      <c r="AX62" s="497" t="e">
        <f t="shared" si="5"/>
        <v>#N/A</v>
      </c>
      <c r="AY62" s="497">
        <f t="shared" si="30"/>
        <v>1800000</v>
      </c>
      <c r="AZ62" s="493"/>
      <c r="BA62" s="493"/>
      <c r="BC62" s="492">
        <v>58</v>
      </c>
      <c r="BD62" s="492">
        <v>5</v>
      </c>
      <c r="BE62" s="497">
        <f>IF(('Comparison Calculator'!$E$11-BD62)&gt;=0,0,IFERROR(-PPMT($BI$54/12,(BC62-48),($F$1-4)*12,$BI$53),0))</f>
        <v>0</v>
      </c>
      <c r="BF62" s="497">
        <f>IF(('Comparison Calculator'!$E$11-BD62)&gt;=0,$C$1*$BI$54/12,IFERROR(-IPMT($BI$54/12,(BC62-48),($F$1-4)*12,$BI$53,0),0))</f>
        <v>7470</v>
      </c>
      <c r="BG62" s="497">
        <f t="shared" si="6"/>
        <v>7470</v>
      </c>
      <c r="BH62" s="497">
        <f t="shared" si="31"/>
        <v>1800000</v>
      </c>
      <c r="BI62" s="493"/>
      <c r="BJ62" s="493"/>
      <c r="BK62" s="492">
        <v>58</v>
      </c>
      <c r="BL62" s="492">
        <v>5</v>
      </c>
      <c r="BM62" s="497">
        <f>IF(('Comparison Calculator'!$E$11-BL62)&gt;=0,0,IFERROR(-PPMT($BQ$54/12,(BK62-48),($F$1-4)*12,$BQ$53),0))</f>
        <v>0</v>
      </c>
      <c r="BN62" s="497">
        <f>IF(('Comparison Calculator'!$E$11-BL62)&gt;=0,$C$1*$BQ$54/12,IFERROR(-IPMT($BQ$54/12,(BK62-48),($F$1-4)*12,$BQ$53,0),0))</f>
        <v>9720</v>
      </c>
      <c r="BO62" s="497">
        <f t="shared" si="7"/>
        <v>9720</v>
      </c>
      <c r="BP62" s="497">
        <f t="shared" si="32"/>
        <v>1800000</v>
      </c>
      <c r="BQ62" s="493"/>
      <c r="BR62" s="493"/>
      <c r="BT62" s="492">
        <v>58</v>
      </c>
      <c r="BU62" s="492">
        <v>5</v>
      </c>
      <c r="BV62" s="497">
        <f>IF(('Comparison Calculator'!$E$11-BU62)&gt;=0,0,IFERROR(-PPMT($BZ$54/12,(BT62-48),($F$1-4)*12,$BZ$53),0))</f>
        <v>0</v>
      </c>
      <c r="BW62" s="497">
        <f>IF(('Comparison Calculator'!$E$11-BU62)&gt;=0,$C$1*$BZ$54/12,IFERROR(-IPMT($BZ$54/12,(BT62-48),($F$1-4)*12,$BZ$53,0),0))</f>
        <v>9720</v>
      </c>
      <c r="BX62" s="497">
        <f t="shared" si="8"/>
        <v>9720</v>
      </c>
      <c r="BY62" s="497">
        <f t="shared" si="33"/>
        <v>1800000</v>
      </c>
      <c r="BZ62" s="493"/>
      <c r="CA62" s="493"/>
      <c r="CC62" s="492">
        <v>58</v>
      </c>
      <c r="CD62" s="492">
        <v>5</v>
      </c>
      <c r="CE62" s="497">
        <f>IF(('Comparison Calculator'!$E$11-CD62)&gt;=0,0,IFERROR(-PPMT($CI$54/12,(CC62-48),($F$1-4)*12,$CI$53),0))</f>
        <v>0</v>
      </c>
      <c r="CF62" s="497">
        <f>IF(('Comparison Calculator'!$E$11-CD62)&gt;=0,$C$1*$CI$54/12,IFERROR(-IPMT($CI$54/12,(CC62-48),($F$1-4)*12,$CI$53,0),0))</f>
        <v>9569.9999999999982</v>
      </c>
      <c r="CG62" s="497">
        <f t="shared" si="9"/>
        <v>9569.9999999999982</v>
      </c>
      <c r="CH62" s="497">
        <f t="shared" si="34"/>
        <v>1800000</v>
      </c>
      <c r="CI62" s="493"/>
      <c r="CJ62" s="493"/>
      <c r="CL62" s="492">
        <v>58</v>
      </c>
      <c r="CM62" s="492">
        <v>5</v>
      </c>
      <c r="CN62" s="497">
        <f>IF(('Comparison Calculator'!$E$11-CM62)&gt;=0,0,IFERROR(-PPMT($CR$54/12,(CL62-48),($F$1-4)*12,$CR$53),0))</f>
        <v>0</v>
      </c>
      <c r="CO62" s="497" t="e">
        <f>IF(('Comparison Calculator'!$E$11-CM62)&gt;=0,$C$1*$CR$54/12,IFERROR(-IPMT($CR$54/12,(CL62-48),($F$1-4)*12,$CR$53,0),0))</f>
        <v>#N/A</v>
      </c>
      <c r="CP62" s="497" t="e">
        <f t="shared" si="10"/>
        <v>#N/A</v>
      </c>
      <c r="CQ62" s="497">
        <f t="shared" si="35"/>
        <v>1800000</v>
      </c>
      <c r="CR62" s="493"/>
      <c r="CS62" s="493"/>
      <c r="CU62" s="492">
        <v>58</v>
      </c>
      <c r="CV62" s="492">
        <v>5</v>
      </c>
      <c r="CW62" s="497">
        <f>IF(('Comparison Calculator'!$E$11-CV62)&gt;=0,0,IFERROR(-PPMT($DA$54/12,(CU62-48),($F$1-4)*12,$DA$53),0))</f>
        <v>0</v>
      </c>
      <c r="CX62" s="497" t="e">
        <f>IF(('Comparison Calculator'!$E$11-CV62)&gt;=0,$C$1*$DA$54/12,IFERROR(-IPMT($DA$54/12,(CU62-48),($F$1-4)*12,$DA$53,0),0))</f>
        <v>#N/A</v>
      </c>
      <c r="CY62" s="497" t="e">
        <f t="shared" si="11"/>
        <v>#N/A</v>
      </c>
      <c r="CZ62" s="497">
        <f t="shared" si="36"/>
        <v>1800000</v>
      </c>
      <c r="DA62" s="493"/>
      <c r="DB62" s="493"/>
      <c r="DD62" s="492">
        <v>58</v>
      </c>
      <c r="DE62" s="492">
        <v>5</v>
      </c>
      <c r="DF62" s="497">
        <f>IF(('Comparison Calculator'!$E$11-DE62)&gt;=0,0,IFERROR(-PPMT($DJ$54/12,(DD62-48),($F$1-4)*12,$DJ$53),0))</f>
        <v>0</v>
      </c>
      <c r="DG62" s="497" t="e">
        <f>IF(('Comparison Calculator'!$E$11-DE62)&gt;=0,$C$1*$DJ$54/12,IFERROR(-IPMT($DJ$54/12,(DD62-48),($F$1-4)*12,$DJ$53,0),0))</f>
        <v>#N/A</v>
      </c>
      <c r="DH62" s="497" t="e">
        <f t="shared" si="12"/>
        <v>#N/A</v>
      </c>
      <c r="DI62" s="497">
        <f t="shared" si="37"/>
        <v>1800000</v>
      </c>
      <c r="DJ62" s="493"/>
      <c r="DK62" s="493"/>
    </row>
    <row r="63" spans="1:115">
      <c r="A63" s="492">
        <v>59</v>
      </c>
      <c r="B63" s="492">
        <v>5</v>
      </c>
      <c r="C63" s="497">
        <f>IF(('Comparison Calculator'!$E$11-B63)&gt;=0,0,IFERROR(-PPMT($G$54/12,(A63-48),($F$1-4)*12,$G$53),0))</f>
        <v>0</v>
      </c>
      <c r="D63" s="497">
        <f>IF(('Comparison Calculator'!$E$11-B63)&gt;=0,$C$1*$G$54/12,IFERROR(-IPMT($G$54/12,(A63-48),($F$1-4)*12,$G$53,0),0))</f>
        <v>9720</v>
      </c>
      <c r="E63" s="497">
        <f t="shared" si="0"/>
        <v>9720</v>
      </c>
      <c r="F63" s="497">
        <f t="shared" si="13"/>
        <v>1800000</v>
      </c>
      <c r="G63" s="493"/>
      <c r="H63" s="493"/>
      <c r="I63" s="489"/>
      <c r="J63" s="492">
        <v>59</v>
      </c>
      <c r="K63" s="492">
        <v>5</v>
      </c>
      <c r="L63" s="497">
        <f>IF(('Comparison Calculator'!$E$11-K63)&gt;=0,0,IFERROR(-PPMT($P$54/12,(J63-48),($F$1-4)*12,$P$53),0))</f>
        <v>0</v>
      </c>
      <c r="M63" s="497">
        <f>IF(('Comparison Calculator'!$E$11-K63)&gt;=0,$C$1*$P$54/12,IFERROR(-IPMT($P$54/12,(J63-48),($F$1-4)*12,$P$53,0),0))</f>
        <v>9720</v>
      </c>
      <c r="N63" s="497">
        <f t="shared" si="1"/>
        <v>9720</v>
      </c>
      <c r="O63" s="497">
        <f t="shared" si="26"/>
        <v>1800000</v>
      </c>
      <c r="P63" s="493"/>
      <c r="Q63" s="493"/>
      <c r="S63" s="492">
        <v>59</v>
      </c>
      <c r="T63" s="492">
        <v>5</v>
      </c>
      <c r="U63" s="497">
        <f>IF(('Comparison Calculator'!$E$11-T63)&gt;=0,0,IFERROR(-PPMT($Y$54/12,(S63-48),($F$1-4)*12,$Y$53),0))</f>
        <v>0</v>
      </c>
      <c r="V63" s="497" t="e">
        <f>IF(('Comparison Calculator'!$E$11-T63)&gt;=0,$C$1*$Y$54/12,IFERROR(-IPMT($Y$54/12,(S63-48),($F$1-4)*12,$Y$53,0),0))</f>
        <v>#N/A</v>
      </c>
      <c r="W63" s="497" t="e">
        <f t="shared" si="2"/>
        <v>#N/A</v>
      </c>
      <c r="X63" s="497">
        <f t="shared" si="27"/>
        <v>1800000</v>
      </c>
      <c r="Y63" s="493"/>
      <c r="Z63" s="493"/>
      <c r="AB63" s="492">
        <v>59</v>
      </c>
      <c r="AC63" s="492">
        <v>5</v>
      </c>
      <c r="AD63" s="497">
        <f>IF(('Comparison Calculator'!$E$11-AC63)&gt;=0,0,IFERROR(-PPMT($AH$54/12,(AB63-48),($F$1-4)*12,$AH$53),0))</f>
        <v>0</v>
      </c>
      <c r="AE63" s="497" t="e">
        <f>IF(('Comparison Calculator'!$E$11-AC63)&gt;=0,$C$1*$AH$54/12,IFERROR(-IPMT($AH$54/12,(AB63-48),($F$1-4)*12,$AH$53,0),0))</f>
        <v>#N/A</v>
      </c>
      <c r="AF63" s="497" t="e">
        <f t="shared" si="3"/>
        <v>#N/A</v>
      </c>
      <c r="AG63" s="497">
        <f t="shared" si="28"/>
        <v>1800000</v>
      </c>
      <c r="AH63" s="493"/>
      <c r="AI63" s="493"/>
      <c r="AK63" s="492">
        <v>59</v>
      </c>
      <c r="AL63" s="492">
        <v>5</v>
      </c>
      <c r="AM63" s="497">
        <f>IF(('Comparison Calculator'!$E$11-AL63)&gt;=0,0,IFERROR(-PPMT($AQ$54/12,(AK63-48),($F$1-4)*12,$AQ$53),0))</f>
        <v>0</v>
      </c>
      <c r="AN63" s="497">
        <f>IF(('Comparison Calculator'!$E$11-AL63)&gt;=0,$C$1*$AQ$54/12,IFERROR(-IPMT($AQ$54/12,(AK63-48),($F$1-4)*12,$AQ$53,0),0))</f>
        <v>8040</v>
      </c>
      <c r="AO63" s="497">
        <f t="shared" si="4"/>
        <v>8040</v>
      </c>
      <c r="AP63" s="497">
        <f t="shared" si="29"/>
        <v>1800000</v>
      </c>
      <c r="AQ63" s="493"/>
      <c r="AR63" s="493"/>
      <c r="AT63" s="492">
        <v>59</v>
      </c>
      <c r="AU63" s="492">
        <v>5</v>
      </c>
      <c r="AV63" s="497">
        <f>IF(('Comparison Calculator'!$E$11-AU63)&gt;=0,0,IFERROR(-PPMT($AZ$54/12,(AT63-48),($F$1-4)*12,$AZ$53),0))</f>
        <v>0</v>
      </c>
      <c r="AW63" s="497" t="e">
        <f>IF(('Comparison Calculator'!$E$11-AU63)&gt;=0,$C$1*$AZ$54/12,IFERROR(-IPMT($AZ$54/12,(AT63-48),($F$1-4)*12,$AZ$53,0),0))</f>
        <v>#N/A</v>
      </c>
      <c r="AX63" s="497" t="e">
        <f t="shared" si="5"/>
        <v>#N/A</v>
      </c>
      <c r="AY63" s="497">
        <f t="shared" si="30"/>
        <v>1800000</v>
      </c>
      <c r="AZ63" s="493"/>
      <c r="BA63" s="493"/>
      <c r="BC63" s="492">
        <v>59</v>
      </c>
      <c r="BD63" s="492">
        <v>5</v>
      </c>
      <c r="BE63" s="497">
        <f>IF(('Comparison Calculator'!$E$11-BD63)&gt;=0,0,IFERROR(-PPMT($BI$54/12,(BC63-48),($F$1-4)*12,$BI$53),0))</f>
        <v>0</v>
      </c>
      <c r="BF63" s="497">
        <f>IF(('Comparison Calculator'!$E$11-BD63)&gt;=0,$C$1*$BI$54/12,IFERROR(-IPMT($BI$54/12,(BC63-48),($F$1-4)*12,$BI$53,0),0))</f>
        <v>7470</v>
      </c>
      <c r="BG63" s="497">
        <f t="shared" si="6"/>
        <v>7470</v>
      </c>
      <c r="BH63" s="497">
        <f t="shared" si="31"/>
        <v>1800000</v>
      </c>
      <c r="BI63" s="493"/>
      <c r="BJ63" s="493"/>
      <c r="BK63" s="492">
        <v>59</v>
      </c>
      <c r="BL63" s="492">
        <v>5</v>
      </c>
      <c r="BM63" s="497">
        <f>IF(('Comparison Calculator'!$E$11-BL63)&gt;=0,0,IFERROR(-PPMT($BQ$54/12,(BK63-48),($F$1-4)*12,$BQ$53),0))</f>
        <v>0</v>
      </c>
      <c r="BN63" s="497">
        <f>IF(('Comparison Calculator'!$E$11-BL63)&gt;=0,$C$1*$BQ$54/12,IFERROR(-IPMT($BQ$54/12,(BK63-48),($F$1-4)*12,$BQ$53,0),0))</f>
        <v>9720</v>
      </c>
      <c r="BO63" s="497">
        <f t="shared" si="7"/>
        <v>9720</v>
      </c>
      <c r="BP63" s="497">
        <f t="shared" si="32"/>
        <v>1800000</v>
      </c>
      <c r="BQ63" s="493"/>
      <c r="BR63" s="493"/>
      <c r="BT63" s="492">
        <v>59</v>
      </c>
      <c r="BU63" s="492">
        <v>5</v>
      </c>
      <c r="BV63" s="497">
        <f>IF(('Comparison Calculator'!$E$11-BU63)&gt;=0,0,IFERROR(-PPMT($BZ$54/12,(BT63-48),($F$1-4)*12,$BZ$53),0))</f>
        <v>0</v>
      </c>
      <c r="BW63" s="497">
        <f>IF(('Comparison Calculator'!$E$11-BU63)&gt;=0,$C$1*$BZ$54/12,IFERROR(-IPMT($BZ$54/12,(BT63-48),($F$1-4)*12,$BZ$53,0),0))</f>
        <v>9720</v>
      </c>
      <c r="BX63" s="497">
        <f t="shared" si="8"/>
        <v>9720</v>
      </c>
      <c r="BY63" s="497">
        <f t="shared" si="33"/>
        <v>1800000</v>
      </c>
      <c r="BZ63" s="493"/>
      <c r="CA63" s="493"/>
      <c r="CC63" s="492">
        <v>59</v>
      </c>
      <c r="CD63" s="492">
        <v>5</v>
      </c>
      <c r="CE63" s="497">
        <f>IF(('Comparison Calculator'!$E$11-CD63)&gt;=0,0,IFERROR(-PPMT($CI$54/12,(CC63-48),($F$1-4)*12,$CI$53),0))</f>
        <v>0</v>
      </c>
      <c r="CF63" s="497">
        <f>IF(('Comparison Calculator'!$E$11-CD63)&gt;=0,$C$1*$CI$54/12,IFERROR(-IPMT($CI$54/12,(CC63-48),($F$1-4)*12,$CI$53,0),0))</f>
        <v>9569.9999999999982</v>
      </c>
      <c r="CG63" s="497">
        <f t="shared" si="9"/>
        <v>9569.9999999999982</v>
      </c>
      <c r="CH63" s="497">
        <f t="shared" si="34"/>
        <v>1800000</v>
      </c>
      <c r="CI63" s="493"/>
      <c r="CJ63" s="493"/>
      <c r="CL63" s="492">
        <v>59</v>
      </c>
      <c r="CM63" s="492">
        <v>5</v>
      </c>
      <c r="CN63" s="497">
        <f>IF(('Comparison Calculator'!$E$11-CM63)&gt;=0,0,IFERROR(-PPMT($CR$54/12,(CL63-48),($F$1-4)*12,$CR$53),0))</f>
        <v>0</v>
      </c>
      <c r="CO63" s="497" t="e">
        <f>IF(('Comparison Calculator'!$E$11-CM63)&gt;=0,$C$1*$CR$54/12,IFERROR(-IPMT($CR$54/12,(CL63-48),($F$1-4)*12,$CR$53,0),0))</f>
        <v>#N/A</v>
      </c>
      <c r="CP63" s="497" t="e">
        <f t="shared" si="10"/>
        <v>#N/A</v>
      </c>
      <c r="CQ63" s="497">
        <f t="shared" si="35"/>
        <v>1800000</v>
      </c>
      <c r="CR63" s="493"/>
      <c r="CS63" s="493"/>
      <c r="CU63" s="492">
        <v>59</v>
      </c>
      <c r="CV63" s="492">
        <v>5</v>
      </c>
      <c r="CW63" s="497">
        <f>IF(('Comparison Calculator'!$E$11-CV63)&gt;=0,0,IFERROR(-PPMT($DA$54/12,(CU63-48),($F$1-4)*12,$DA$53),0))</f>
        <v>0</v>
      </c>
      <c r="CX63" s="497" t="e">
        <f>IF(('Comparison Calculator'!$E$11-CV63)&gt;=0,$C$1*$DA$54/12,IFERROR(-IPMT($DA$54/12,(CU63-48),($F$1-4)*12,$DA$53,0),0))</f>
        <v>#N/A</v>
      </c>
      <c r="CY63" s="497" t="e">
        <f t="shared" si="11"/>
        <v>#N/A</v>
      </c>
      <c r="CZ63" s="497">
        <f t="shared" si="36"/>
        <v>1800000</v>
      </c>
      <c r="DA63" s="493"/>
      <c r="DB63" s="493"/>
      <c r="DD63" s="492">
        <v>59</v>
      </c>
      <c r="DE63" s="492">
        <v>5</v>
      </c>
      <c r="DF63" s="497">
        <f>IF(('Comparison Calculator'!$E$11-DE63)&gt;=0,0,IFERROR(-PPMT($DJ$54/12,(DD63-48),($F$1-4)*12,$DJ$53),0))</f>
        <v>0</v>
      </c>
      <c r="DG63" s="497" t="e">
        <f>IF(('Comparison Calculator'!$E$11-DE63)&gt;=0,$C$1*$DJ$54/12,IFERROR(-IPMT($DJ$54/12,(DD63-48),($F$1-4)*12,$DJ$53,0),0))</f>
        <v>#N/A</v>
      </c>
      <c r="DH63" s="497" t="e">
        <f t="shared" si="12"/>
        <v>#N/A</v>
      </c>
      <c r="DI63" s="497">
        <f t="shared" si="37"/>
        <v>1800000</v>
      </c>
      <c r="DJ63" s="493"/>
      <c r="DK63" s="493"/>
    </row>
    <row r="64" spans="1:115">
      <c r="A64" s="492">
        <v>60</v>
      </c>
      <c r="B64" s="492">
        <v>5</v>
      </c>
      <c r="C64" s="497">
        <f>IF(('Comparison Calculator'!$E$11-B64)&gt;=0,0,IFERROR(-PPMT($G$54/12,(A64-48),($F$1-4)*12,$G$53),0))</f>
        <v>0</v>
      </c>
      <c r="D64" s="497">
        <f>IF(('Comparison Calculator'!$E$11-B64)&gt;=0,$C$1*$G$54/12,IFERROR(-IPMT($G$54/12,(A64-48),($F$1-4)*12,$G$53,0),0))</f>
        <v>9720</v>
      </c>
      <c r="E64" s="497">
        <f t="shared" si="0"/>
        <v>9720</v>
      </c>
      <c r="F64" s="497">
        <f t="shared" si="13"/>
        <v>1800000</v>
      </c>
      <c r="G64" s="501">
        <f>SUM(E5:E64)+$H$1*B64</f>
        <v>469055</v>
      </c>
      <c r="H64" s="493"/>
      <c r="I64" s="489"/>
      <c r="J64" s="492">
        <v>60</v>
      </c>
      <c r="K64" s="492">
        <v>5</v>
      </c>
      <c r="L64" s="497">
        <f>IF(('Comparison Calculator'!$E$11-K64)&gt;=0,0,IFERROR(-PPMT($P$54/12,(J64-48),($F$1-4)*12,$P$53),0))</f>
        <v>0</v>
      </c>
      <c r="M64" s="497">
        <f>IF(('Comparison Calculator'!$E$11-K64)&gt;=0,$C$1*$P$54/12,IFERROR(-IPMT($P$54/12,(J64-48),($F$1-4)*12,$P$53,0),0))</f>
        <v>9720</v>
      </c>
      <c r="N64" s="497">
        <f t="shared" si="1"/>
        <v>9720</v>
      </c>
      <c r="O64" s="497">
        <f t="shared" si="26"/>
        <v>1800000</v>
      </c>
      <c r="P64" s="501">
        <f>SUM(N5:N64)+$H$1*K64</f>
        <v>469055</v>
      </c>
      <c r="Q64" s="493"/>
      <c r="S64" s="492">
        <v>60</v>
      </c>
      <c r="T64" s="492">
        <v>5</v>
      </c>
      <c r="U64" s="497">
        <f>IF(('Comparison Calculator'!$E$11-T64)&gt;=0,0,IFERROR(-PPMT($Y$54/12,(S64-48),($F$1-4)*12,$Y$53),0))</f>
        <v>0</v>
      </c>
      <c r="V64" s="497" t="e">
        <f>IF(('Comparison Calculator'!$E$11-T64)&gt;=0,$C$1*$Y$54/12,IFERROR(-IPMT($Y$54/12,(S64-48),($F$1-4)*12,$Y$53,0),0))</f>
        <v>#N/A</v>
      </c>
      <c r="W64" s="497" t="e">
        <f t="shared" si="2"/>
        <v>#N/A</v>
      </c>
      <c r="X64" s="497">
        <f t="shared" si="27"/>
        <v>1800000</v>
      </c>
      <c r="Y64" s="501" t="e">
        <f>SUM(W5:W64)+$Z$1*T64</f>
        <v>#N/A</v>
      </c>
      <c r="Z64" s="493"/>
      <c r="AB64" s="492">
        <v>60</v>
      </c>
      <c r="AC64" s="492">
        <v>5</v>
      </c>
      <c r="AD64" s="497">
        <f>IF(('Comparison Calculator'!$E$11-AC64)&gt;=0,0,IFERROR(-PPMT($AH$54/12,(AB64-48),($F$1-4)*12,$AH$53),0))</f>
        <v>0</v>
      </c>
      <c r="AE64" s="497" t="e">
        <f>IF(('Comparison Calculator'!$E$11-AC64)&gt;=0,$C$1*$AH$54/12,IFERROR(-IPMT($AH$54/12,(AB64-48),($F$1-4)*12,$AH$53,0),0))</f>
        <v>#N/A</v>
      </c>
      <c r="AF64" s="497" t="e">
        <f t="shared" si="3"/>
        <v>#N/A</v>
      </c>
      <c r="AG64" s="497">
        <f t="shared" si="28"/>
        <v>1800000</v>
      </c>
      <c r="AH64" s="501" t="e">
        <f>SUM(AF5:AF64)+$AI$1*AC64</f>
        <v>#N/A</v>
      </c>
      <c r="AI64" s="493"/>
      <c r="AK64" s="492">
        <v>60</v>
      </c>
      <c r="AL64" s="492">
        <v>5</v>
      </c>
      <c r="AM64" s="497">
        <f>IF(('Comparison Calculator'!$E$11-AL64)&gt;=0,0,IFERROR(-PPMT($AQ$54/12,(AK64-48),($F$1-4)*12,$AQ$53),0))</f>
        <v>0</v>
      </c>
      <c r="AN64" s="497">
        <f>IF(('Comparison Calculator'!$E$11-AL64)&gt;=0,$C$1*$AQ$54/12,IFERROR(-IPMT($AQ$54/12,(AK64-48),($F$1-4)*12,$AQ$53,0),0))</f>
        <v>8040</v>
      </c>
      <c r="AO64" s="497">
        <f t="shared" si="4"/>
        <v>8040</v>
      </c>
      <c r="AP64" s="497">
        <f t="shared" si="29"/>
        <v>1800000</v>
      </c>
      <c r="AQ64" s="501">
        <f>SUM(AO5:AO64)+$AR$1*AL64</f>
        <v>388415</v>
      </c>
      <c r="AR64" s="493"/>
      <c r="AT64" s="492">
        <v>60</v>
      </c>
      <c r="AU64" s="492">
        <v>5</v>
      </c>
      <c r="AV64" s="497">
        <f>IF(('Comparison Calculator'!$E$11-AU64)&gt;=0,0,IFERROR(-PPMT($AZ$54/12,(AT64-48),($F$1-4)*12,$AZ$53),0))</f>
        <v>0</v>
      </c>
      <c r="AW64" s="497" t="e">
        <f>IF(('Comparison Calculator'!$E$11-AU64)&gt;=0,$C$1*$AZ$54/12,IFERROR(-IPMT($AZ$54/12,(AT64-48),($F$1-4)*12,$AZ$53,0),0))</f>
        <v>#N/A</v>
      </c>
      <c r="AX64" s="497" t="e">
        <f t="shared" si="5"/>
        <v>#N/A</v>
      </c>
      <c r="AY64" s="497">
        <f t="shared" si="30"/>
        <v>1800000</v>
      </c>
      <c r="AZ64" s="501" t="e">
        <f>SUM(AX5:AX64)+$BA$1*AU64</f>
        <v>#N/A</v>
      </c>
      <c r="BA64" s="493"/>
      <c r="BC64" s="492">
        <v>60</v>
      </c>
      <c r="BD64" s="492">
        <v>5</v>
      </c>
      <c r="BE64" s="497">
        <f>IF(('Comparison Calculator'!$E$11-BD64)&gt;=0,0,IFERROR(-PPMT($BI$54/12,(BC64-48),($F$1-4)*12,$BI$53),0))</f>
        <v>0</v>
      </c>
      <c r="BF64" s="497">
        <f>IF(('Comparison Calculator'!$E$11-BD64)&gt;=0,$C$1*$BI$54/12,IFERROR(-IPMT($BI$54/12,(BC64-48),($F$1-4)*12,$BI$53,0),0))</f>
        <v>7470</v>
      </c>
      <c r="BG64" s="497">
        <f t="shared" si="6"/>
        <v>7470</v>
      </c>
      <c r="BH64" s="497">
        <f t="shared" si="31"/>
        <v>1800000</v>
      </c>
      <c r="BI64" s="501">
        <f>SUM(BG5:BG64)+$BA$1*BD64</f>
        <v>361055</v>
      </c>
      <c r="BJ64" s="493"/>
      <c r="BK64" s="492">
        <v>60</v>
      </c>
      <c r="BL64" s="492">
        <v>5</v>
      </c>
      <c r="BM64" s="497">
        <f>IF(('Comparison Calculator'!$E$11-BL64)&gt;=0,0,IFERROR(-PPMT($BQ$54/12,(BK64-48),($F$1-4)*12,$BQ$53),0))</f>
        <v>0</v>
      </c>
      <c r="BN64" s="497">
        <f>IF(('Comparison Calculator'!$E$11-BL64)&gt;=0,$C$1*$BQ$54/12,IFERROR(-IPMT($BQ$54/12,(BK64-48),($F$1-4)*12,$BQ$53,0),0))</f>
        <v>9720</v>
      </c>
      <c r="BO64" s="497">
        <f t="shared" si="7"/>
        <v>9720</v>
      </c>
      <c r="BP64" s="497">
        <f t="shared" si="32"/>
        <v>1800000</v>
      </c>
      <c r="BQ64" s="501">
        <f>SUM(BO5:BO64)+$BR$1*BL64</f>
        <v>469055</v>
      </c>
      <c r="BR64" s="493"/>
      <c r="BT64" s="492">
        <v>60</v>
      </c>
      <c r="BU64" s="492">
        <v>5</v>
      </c>
      <c r="BV64" s="497">
        <f>IF(('Comparison Calculator'!$E$11-BU64)&gt;=0,0,IFERROR(-PPMT($BZ$54/12,(BT64-48),($F$1-4)*12,$BZ$53),0))</f>
        <v>0</v>
      </c>
      <c r="BW64" s="497">
        <f>IF(('Comparison Calculator'!$E$11-BU64)&gt;=0,$C$1*$BZ$54/12,IFERROR(-IPMT($BZ$54/12,(BT64-48),($F$1-4)*12,$BZ$53,0),0))</f>
        <v>9720</v>
      </c>
      <c r="BX64" s="497">
        <f t="shared" si="8"/>
        <v>9720</v>
      </c>
      <c r="BY64" s="497">
        <f t="shared" si="33"/>
        <v>1800000</v>
      </c>
      <c r="BZ64" s="501">
        <f>SUM(BX5:BX64)+$CA$1*BU64</f>
        <v>469055</v>
      </c>
      <c r="CA64" s="493"/>
      <c r="CC64" s="492">
        <v>60</v>
      </c>
      <c r="CD64" s="492">
        <v>5</v>
      </c>
      <c r="CE64" s="497">
        <f>IF(('Comparison Calculator'!$E$11-CD64)&gt;=0,0,IFERROR(-PPMT($CI$54/12,(CC64-48),($F$1-4)*12,$CI$53),0))</f>
        <v>0</v>
      </c>
      <c r="CF64" s="497">
        <f>IF(('Comparison Calculator'!$E$11-CD64)&gt;=0,$C$1*$CI$54/12,IFERROR(-IPMT($CI$54/12,(CC64-48),($F$1-4)*12,$CI$53,0),0))</f>
        <v>9569.9999999999982</v>
      </c>
      <c r="CG64" s="497">
        <f t="shared" si="9"/>
        <v>9569.9999999999982</v>
      </c>
      <c r="CH64" s="497">
        <f t="shared" si="34"/>
        <v>1800000</v>
      </c>
      <c r="CI64" s="501">
        <f>SUM(CG5:CG64)+$CJ$1*CD64</f>
        <v>461699.99999999994</v>
      </c>
      <c r="CJ64" s="493"/>
      <c r="CL64" s="492">
        <v>60</v>
      </c>
      <c r="CM64" s="492">
        <v>5</v>
      </c>
      <c r="CN64" s="497">
        <f>IF(('Comparison Calculator'!$E$11-CM64)&gt;=0,0,IFERROR(-PPMT($CR$54/12,(CL64-48),($F$1-4)*12,$CR$53),0))</f>
        <v>0</v>
      </c>
      <c r="CO64" s="497" t="e">
        <f>IF(('Comparison Calculator'!$E$11-CM64)&gt;=0,$C$1*$CR$54/12,IFERROR(-IPMT($CR$54/12,(CL64-48),($F$1-4)*12,$CR$53,0),0))</f>
        <v>#N/A</v>
      </c>
      <c r="CP64" s="497" t="e">
        <f t="shared" si="10"/>
        <v>#N/A</v>
      </c>
      <c r="CQ64" s="497">
        <f t="shared" si="35"/>
        <v>1800000</v>
      </c>
      <c r="CR64" s="501" t="e">
        <f>SUM(CP5:CP64)+$CS$1*CM64</f>
        <v>#N/A</v>
      </c>
      <c r="CS64" s="493"/>
      <c r="CU64" s="492">
        <v>60</v>
      </c>
      <c r="CV64" s="492">
        <v>5</v>
      </c>
      <c r="CW64" s="497">
        <f>IF(('Comparison Calculator'!$E$11-CV64)&gt;=0,0,IFERROR(-PPMT($DA$54/12,(CU64-48),($F$1-4)*12,$DA$53),0))</f>
        <v>0</v>
      </c>
      <c r="CX64" s="497" t="e">
        <f>IF(('Comparison Calculator'!$E$11-CV64)&gt;=0,$C$1*$DA$54/12,IFERROR(-IPMT($DA$54/12,(CU64-48),($F$1-4)*12,$DA$53,0),0))</f>
        <v>#N/A</v>
      </c>
      <c r="CY64" s="497" t="e">
        <f t="shared" si="11"/>
        <v>#N/A</v>
      </c>
      <c r="CZ64" s="497">
        <f t="shared" si="36"/>
        <v>1800000</v>
      </c>
      <c r="DA64" s="501" t="e">
        <f>SUM(CY5:CY64)+$DB$1*CV64</f>
        <v>#N/A</v>
      </c>
      <c r="DB64" s="493"/>
      <c r="DD64" s="492">
        <v>60</v>
      </c>
      <c r="DE64" s="492">
        <v>5</v>
      </c>
      <c r="DF64" s="497">
        <f>IF(('Comparison Calculator'!$E$11-DE64)&gt;=0,0,IFERROR(-PPMT($DA$54/12,(DD64-48),($F$1-4)*12,$DA$53),0))</f>
        <v>0</v>
      </c>
      <c r="DG64" s="497" t="e">
        <f>IF(('Comparison Calculator'!$E$11-DE64)&gt;=0,$C$1*$DJ$54/12,IFERROR(-IPMT($DJ$54/12,(DD64-48),($F$1-4)*12,$DJ$53,0),0))</f>
        <v>#N/A</v>
      </c>
      <c r="DH64" s="497" t="e">
        <f t="shared" si="12"/>
        <v>#N/A</v>
      </c>
      <c r="DI64" s="497">
        <f t="shared" si="37"/>
        <v>1800000</v>
      </c>
      <c r="DJ64" s="501" t="e">
        <f>SUM(DH5:DH64)+$DK$1*DE64</f>
        <v>#N/A</v>
      </c>
      <c r="DK64" s="493"/>
    </row>
    <row r="65" spans="1:115">
      <c r="A65" s="492">
        <v>61</v>
      </c>
      <c r="B65" s="492">
        <v>6</v>
      </c>
      <c r="C65" s="497">
        <f>IF(('Comparison Calculator'!$E$11-B65)&gt;=0,0,IFERROR(-PPMT($G$66/12,(A65-60),($F$1-5)*12,$G$65),0))</f>
        <v>0</v>
      </c>
      <c r="D65" s="497">
        <f>IF(('Comparison Calculator'!$E$11-B65)&gt;=0,$C$1*$G$66/12,IFERROR(-IPMT($G$66/12,(A65-60),($F$1-5)*12,$G$65,0),0))</f>
        <v>0</v>
      </c>
      <c r="E65" s="497">
        <f t="shared" si="0"/>
        <v>0</v>
      </c>
      <c r="F65" s="497">
        <f t="shared" si="13"/>
        <v>1800000</v>
      </c>
      <c r="G65" s="497">
        <f>F64</f>
        <v>1800000</v>
      </c>
      <c r="H65" s="502"/>
      <c r="I65" s="503"/>
      <c r="J65" s="492">
        <v>61</v>
      </c>
      <c r="K65" s="492">
        <v>6</v>
      </c>
      <c r="L65" s="497">
        <f>IF(('Comparison Calculator'!$E$11-K65)&gt;=0,0,IFERROR(-PPMT($P$66/12,(J65-60),($F$1-5)*12,$P$65),0))</f>
        <v>0</v>
      </c>
      <c r="M65" s="497">
        <f>IF(('Comparison Calculator'!$E$11-K65)&gt;=0,$C$1*$P$66/12,IFERROR(-IPMT($P$66/12,(J65-60),($F$1-5)*12,$P$65,0),0))</f>
        <v>0</v>
      </c>
      <c r="N65" s="497">
        <f t="shared" si="1"/>
        <v>0</v>
      </c>
      <c r="O65" s="497">
        <f t="shared" si="26"/>
        <v>1800000</v>
      </c>
      <c r="P65" s="497">
        <f>O64</f>
        <v>1800000</v>
      </c>
      <c r="Q65" s="502"/>
      <c r="S65" s="492">
        <v>61</v>
      </c>
      <c r="T65" s="492">
        <v>6</v>
      </c>
      <c r="U65" s="497">
        <f>IF(('Comparison Calculator'!$E$11-T65)&gt;=0,0,IFERROR(-PPMT($Y$66/12,(S65-60),($F$1-5)*12,$Y$65),0))</f>
        <v>0</v>
      </c>
      <c r="V65" s="497">
        <f>IF(('Comparison Calculator'!$E$11-T65)&gt;=0,$C$1*$Y$66/12,IFERROR(-IPMT($Y$66/12,(S65-60),($F$1-5)*12,$Y$65,0),0))</f>
        <v>0</v>
      </c>
      <c r="W65" s="497">
        <f t="shared" si="2"/>
        <v>0</v>
      </c>
      <c r="X65" s="497">
        <f t="shared" si="27"/>
        <v>1800000</v>
      </c>
      <c r="Y65" s="497">
        <f>X64</f>
        <v>1800000</v>
      </c>
      <c r="Z65" s="502"/>
      <c r="AB65" s="492">
        <v>61</v>
      </c>
      <c r="AC65" s="492">
        <v>6</v>
      </c>
      <c r="AD65" s="497">
        <f>IF(('Comparison Calculator'!$E$11-AC65)&gt;=0,0,IFERROR(-PPMT($AH$66/12,(AB65-60),($F$1-5)*12,$AH$65),0))</f>
        <v>0</v>
      </c>
      <c r="AE65" s="497">
        <f>IF(('Comparison Calculator'!$E$11-AC65)&gt;=0,$C$1*$AH$66/12,IFERROR(-IPMT($AH$66/12,(AB65-60),($F$1-5)*12,$AH$65,0),0))</f>
        <v>0</v>
      </c>
      <c r="AF65" s="497">
        <f t="shared" si="3"/>
        <v>0</v>
      </c>
      <c r="AG65" s="497">
        <f t="shared" si="28"/>
        <v>1800000</v>
      </c>
      <c r="AH65" s="497">
        <f>AG64</f>
        <v>1800000</v>
      </c>
      <c r="AI65" s="502"/>
      <c r="AK65" s="492">
        <v>61</v>
      </c>
      <c r="AL65" s="492">
        <v>6</v>
      </c>
      <c r="AM65" s="497">
        <f>IF(('Comparison Calculator'!$E$11-AL65)&gt;=0,0,IFERROR(-PPMT($AQ$66/12,(AK65-60),($F$1-5)*12,$AQ$65),0))</f>
        <v>0</v>
      </c>
      <c r="AN65" s="497">
        <f>IF(('Comparison Calculator'!$E$11-AL65)&gt;=0,$C$1*$AQ$66/12,IFERROR(-IPMT($AQ$66/12,(AK65-60),($F$1-5)*12,$AQ$65,0),0))</f>
        <v>0</v>
      </c>
      <c r="AO65" s="497">
        <f t="shared" si="4"/>
        <v>0</v>
      </c>
      <c r="AP65" s="497">
        <f t="shared" si="29"/>
        <v>1800000</v>
      </c>
      <c r="AQ65" s="497">
        <f>AP64</f>
        <v>1800000</v>
      </c>
      <c r="AR65" s="502"/>
      <c r="AT65" s="492">
        <v>61</v>
      </c>
      <c r="AU65" s="492">
        <v>6</v>
      </c>
      <c r="AV65" s="497">
        <f>IF(('Comparison Calculator'!$E$11-AU65)&gt;=0,0,IFERROR(-PPMT($AZ$66/12,(AT65-60),($F$1-5)*12,$AZ$65),0))</f>
        <v>0</v>
      </c>
      <c r="AW65" s="497">
        <f>IF(('Comparison Calculator'!$E$11-AU65)&gt;=0,$C$1*$AZ$66/12,IFERROR(-IPMT($AZ$66/12,(AT65-60),($F$1-5)*12,$AZ$65,0),0))</f>
        <v>0</v>
      </c>
      <c r="AX65" s="497">
        <f t="shared" si="5"/>
        <v>0</v>
      </c>
      <c r="AY65" s="497">
        <f t="shared" si="30"/>
        <v>1800000</v>
      </c>
      <c r="AZ65" s="497">
        <f>AY64</f>
        <v>1800000</v>
      </c>
      <c r="BA65" s="502"/>
      <c r="BC65" s="492">
        <v>61</v>
      </c>
      <c r="BD65" s="492">
        <v>6</v>
      </c>
      <c r="BE65" s="497">
        <f>IF(('Comparison Calculator'!$E$11-BD65)&gt;=0,0,IFERROR(-PPMT($BI$66/12,(BC65-60),($F$1-5)*12,$BI$65),0))</f>
        <v>0</v>
      </c>
      <c r="BF65" s="497">
        <f>IF(('Comparison Calculator'!$E$11-BD65)&gt;=0,$C$1*$BI$66/12,IFERROR(-IPMT($BI$66/12,(BC65-60),($F$1-5)*12,$BI$65,0),0))</f>
        <v>0</v>
      </c>
      <c r="BG65" s="497">
        <f t="shared" si="6"/>
        <v>0</v>
      </c>
      <c r="BH65" s="497">
        <f t="shared" si="31"/>
        <v>1800000</v>
      </c>
      <c r="BI65" s="497">
        <f>BH64</f>
        <v>1800000</v>
      </c>
      <c r="BJ65" s="502"/>
      <c r="BK65" s="492">
        <v>61</v>
      </c>
      <c r="BL65" s="492">
        <v>6</v>
      </c>
      <c r="BM65" s="497">
        <f>IF(('Comparison Calculator'!$E$11-BL65)&gt;=0,0,IFERROR(-PPMT($BQ$66/12,(BK65-60),($F$1-5)*12,$BQ$65),0))</f>
        <v>0</v>
      </c>
      <c r="BN65" s="497">
        <f>IF(('Comparison Calculator'!$E$11-BL65)&gt;=0,$C$1*$BQ$66/12,IFERROR(-IPMT($BQ$66/12,(BK65-60),($F$1-5)*12,$BQ$65,0),0))</f>
        <v>0</v>
      </c>
      <c r="BO65" s="497">
        <f t="shared" si="7"/>
        <v>0</v>
      </c>
      <c r="BP65" s="497">
        <f t="shared" si="32"/>
        <v>1800000</v>
      </c>
      <c r="BQ65" s="497">
        <f>BP64</f>
        <v>1800000</v>
      </c>
      <c r="BR65" s="502"/>
      <c r="BT65" s="492">
        <v>61</v>
      </c>
      <c r="BU65" s="492">
        <v>6</v>
      </c>
      <c r="BV65" s="497">
        <f>IF(('Comparison Calculator'!$E$11-BU65)&gt;=0,0,IFERROR(-PPMT($BZ$66/12,(BT65-60),($F$1-5)*12,$BZ$65),0))</f>
        <v>0</v>
      </c>
      <c r="BW65" s="497">
        <f>IF(('Comparison Calculator'!$E$11-BU65)&gt;=0,$C$1*$BZ$66/12,IFERROR(-IPMT($BZ$66/12,(BT65-60),($F$1-5)*12,$BZ$65,0),0))</f>
        <v>0</v>
      </c>
      <c r="BX65" s="497">
        <f t="shared" si="8"/>
        <v>0</v>
      </c>
      <c r="BY65" s="497">
        <f t="shared" si="33"/>
        <v>1800000</v>
      </c>
      <c r="BZ65" s="497">
        <f>BY64</f>
        <v>1800000</v>
      </c>
      <c r="CA65" s="502"/>
      <c r="CC65" s="492">
        <v>61</v>
      </c>
      <c r="CD65" s="492">
        <v>6</v>
      </c>
      <c r="CE65" s="497">
        <f>IF(('Comparison Calculator'!$E$11-CD65)&gt;=0,0,IFERROR(-PPMT($CI$66/12,(CC65-60),($F$1-5)*12,$CI$65),0))</f>
        <v>0</v>
      </c>
      <c r="CF65" s="497">
        <f>IF(('Comparison Calculator'!$E$11-CD65)&gt;=0,$C$1*$CI$66/12,IFERROR(-IPMT($CI$66/12,(CC65-60),($F$1-5)*12,$CI$65,0),0))</f>
        <v>0</v>
      </c>
      <c r="CG65" s="497">
        <f t="shared" si="9"/>
        <v>0</v>
      </c>
      <c r="CH65" s="497">
        <f t="shared" si="34"/>
        <v>1800000</v>
      </c>
      <c r="CI65" s="497">
        <f>CH64</f>
        <v>1800000</v>
      </c>
      <c r="CJ65" s="502"/>
      <c r="CL65" s="492">
        <v>61</v>
      </c>
      <c r="CM65" s="492">
        <v>6</v>
      </c>
      <c r="CN65" s="497">
        <f>IF(('Comparison Calculator'!$E$11-CM65)&gt;=0,0,IFERROR(-PPMT($CR$66/12,(CL65-60),($F$1-5)*12,$CR$65),0))</f>
        <v>0</v>
      </c>
      <c r="CO65" s="497">
        <f>IF(('Comparison Calculator'!$E$11-CM65)&gt;=0,$C$1*$CI$66/12,IFERROR(-IPMT($CI$66/12,(CL65-60),($F$1-5)*12,$CI$65,0),0))</f>
        <v>0</v>
      </c>
      <c r="CP65" s="497">
        <f t="shared" si="10"/>
        <v>0</v>
      </c>
      <c r="CQ65" s="497">
        <f t="shared" si="35"/>
        <v>1800000</v>
      </c>
      <c r="CR65" s="497">
        <f>CQ64</f>
        <v>1800000</v>
      </c>
      <c r="CS65" s="502"/>
      <c r="CU65" s="492">
        <v>61</v>
      </c>
      <c r="CV65" s="492">
        <v>6</v>
      </c>
      <c r="CW65" s="497">
        <f>IF(('Comparison Calculator'!$E$11-CV65)&gt;=0,0,IFERROR(-PPMT($DA$66/12,(CU65-60),($F$1-5)*12,$DA$65),0))</f>
        <v>0</v>
      </c>
      <c r="CX65" s="497">
        <f>IF(('Comparison Calculator'!$E$11-CV65)&gt;=0,$C$1*$DA$66/12,IFERROR(-IPMT($DA$66/12,(CU65-60),($F$1-5)*12,$DA$65,0),0))</f>
        <v>0</v>
      </c>
      <c r="CY65" s="497">
        <f t="shared" si="11"/>
        <v>0</v>
      </c>
      <c r="CZ65" s="497">
        <f t="shared" si="36"/>
        <v>1800000</v>
      </c>
      <c r="DA65" s="497">
        <f>CZ64</f>
        <v>1800000</v>
      </c>
      <c r="DB65" s="502"/>
      <c r="DD65" s="492">
        <v>61</v>
      </c>
      <c r="DE65" s="492">
        <v>6</v>
      </c>
      <c r="DF65" s="497">
        <f>IF(('Comparison Calculator'!$E$11-DE65)&gt;=0,0,IFERROR(-PPMT($DJ$66/12,(DD65-60),($F$1-5)*12,$DJ$65),0))</f>
        <v>0</v>
      </c>
      <c r="DG65" s="497">
        <f>IF(('Comparison Calculator'!$E$11-DE65)&gt;=0,$C$1*$DJ$66/12,IFERROR(-IPMT($DJ$66/12,(DD65-60),($F$1-5)*12,$DJ$65,0),0))</f>
        <v>0</v>
      </c>
      <c r="DH65" s="497">
        <f t="shared" si="12"/>
        <v>0</v>
      </c>
      <c r="DI65" s="497">
        <f t="shared" si="37"/>
        <v>1800000</v>
      </c>
      <c r="DJ65" s="497">
        <f>DI64</f>
        <v>1800000</v>
      </c>
      <c r="DK65" s="502"/>
    </row>
    <row r="66" spans="1:115">
      <c r="A66" s="492">
        <v>62</v>
      </c>
      <c r="B66" s="492">
        <v>6</v>
      </c>
      <c r="C66" s="497">
        <f>IF(('Comparison Calculator'!$E$11-B66)&gt;=0,0,IFERROR(-PPMT($G$66/12,(A66-60),($F$1-5)*12,$G$65),0))</f>
        <v>0</v>
      </c>
      <c r="D66" s="497">
        <f>IF(('Comparison Calculator'!$E$11-B66)&gt;=0,$C$1*$G$66/12,IFERROR(-IPMT($G$66/12,(A66-60),($F$1-5)*12,$G$65,0),0))</f>
        <v>0</v>
      </c>
      <c r="E66" s="497">
        <f t="shared" si="0"/>
        <v>0</v>
      </c>
      <c r="F66" s="497">
        <f t="shared" si="13"/>
        <v>1800000</v>
      </c>
      <c r="G66" s="504">
        <f>G54</f>
        <v>6.4799999999999996E-2</v>
      </c>
      <c r="H66" s="493"/>
      <c r="I66" s="489"/>
      <c r="J66" s="492">
        <v>62</v>
      </c>
      <c r="K66" s="492">
        <v>6</v>
      </c>
      <c r="L66" s="497">
        <f>IF(('Comparison Calculator'!$E$11-K66)&gt;=0,0,IFERROR(-PPMT($P$66/12,(J66-60),($F$1-5)*12,$P$65),0))</f>
        <v>0</v>
      </c>
      <c r="M66" s="497">
        <f>IF(('Comparison Calculator'!$E$11-K66)&gt;=0,$C$1*$P$66/12,IFERROR(-IPMT($P$66/12,(J66-60),($F$1-5)*12,$P$65,0),0))</f>
        <v>0</v>
      </c>
      <c r="N66" s="497">
        <f t="shared" si="1"/>
        <v>0</v>
      </c>
      <c r="O66" s="497">
        <f t="shared" si="26"/>
        <v>1800000</v>
      </c>
      <c r="P66" s="504">
        <f>P54</f>
        <v>6.4799999999999996E-2</v>
      </c>
      <c r="Q66" s="493"/>
      <c r="S66" s="492">
        <v>62</v>
      </c>
      <c r="T66" s="492">
        <v>6</v>
      </c>
      <c r="U66" s="497">
        <f>IF(('Comparison Calculator'!$E$11-T66)&gt;=0,0,IFERROR(-PPMT($Y$66/12,(S66-60),($F$1-5)*12,$Y$65),0))</f>
        <v>0</v>
      </c>
      <c r="V66" s="497">
        <f>IF(('Comparison Calculator'!$E$11-T66)&gt;=0,$C$1*$Y$66/12,IFERROR(-IPMT($Y$66/12,(S66-60),($F$1-5)*12,$Y$65,0),0))</f>
        <v>0</v>
      </c>
      <c r="W66" s="497">
        <f t="shared" si="2"/>
        <v>0</v>
      </c>
      <c r="X66" s="497">
        <f t="shared" si="27"/>
        <v>1800000</v>
      </c>
      <c r="Y66" s="504" t="e">
        <f>Y54</f>
        <v>#N/A</v>
      </c>
      <c r="Z66" s="493"/>
      <c r="AB66" s="492">
        <v>62</v>
      </c>
      <c r="AC66" s="492">
        <v>6</v>
      </c>
      <c r="AD66" s="497">
        <f>IF(('Comparison Calculator'!$E$11-AC66)&gt;=0,0,IFERROR(-PPMT($AH$66/12,(AB66-60),($F$1-5)*12,$AH$65),0))</f>
        <v>0</v>
      </c>
      <c r="AE66" s="497">
        <f>IF(('Comparison Calculator'!$E$11-AC66)&gt;=0,$C$1*$AH$66/12,IFERROR(-IPMT($AH$66/12,(AB66-60),($F$1-5)*12,$AH$65,0),0))</f>
        <v>0</v>
      </c>
      <c r="AF66" s="497">
        <f t="shared" si="3"/>
        <v>0</v>
      </c>
      <c r="AG66" s="497">
        <f t="shared" si="28"/>
        <v>1800000</v>
      </c>
      <c r="AH66" s="504" t="e">
        <f>AH54</f>
        <v>#N/A</v>
      </c>
      <c r="AI66" s="493"/>
      <c r="AK66" s="492">
        <v>62</v>
      </c>
      <c r="AL66" s="492">
        <v>6</v>
      </c>
      <c r="AM66" s="497">
        <f>IF(('Comparison Calculator'!$E$11-AL66)&gt;=0,0,IFERROR(-PPMT($AQ$66/12,(AK66-60),($F$1-5)*12,$AQ$65),0))</f>
        <v>0</v>
      </c>
      <c r="AN66" s="497">
        <f>IF(('Comparison Calculator'!$E$11-AL66)&gt;=0,$C$1*$AQ$66/12,IFERROR(-IPMT($AQ$66/12,(AK66-60),($F$1-5)*12,$AQ$65,0),0))</f>
        <v>0</v>
      </c>
      <c r="AO66" s="497">
        <f t="shared" si="4"/>
        <v>0</v>
      </c>
      <c r="AP66" s="497">
        <f t="shared" si="29"/>
        <v>1800000</v>
      </c>
      <c r="AQ66" s="504">
        <f>AQ54</f>
        <v>5.3600000000000002E-2</v>
      </c>
      <c r="AR66" s="493"/>
      <c r="AT66" s="492">
        <v>62</v>
      </c>
      <c r="AU66" s="492">
        <v>6</v>
      </c>
      <c r="AV66" s="497">
        <f>IF(('Comparison Calculator'!$E$11-AU66)&gt;=0,0,IFERROR(-PPMT($AZ$66/12,(AT66-60),($F$1-5)*12,$AZ$65),0))</f>
        <v>0</v>
      </c>
      <c r="AW66" s="497">
        <f>IF(('Comparison Calculator'!$E$11-AU66)&gt;=0,$C$1*$AZ$66/12,IFERROR(-IPMT($AZ$66/12,(AT66-60),($F$1-5)*12,$AZ$65,0),0))</f>
        <v>0</v>
      </c>
      <c r="AX66" s="497">
        <f t="shared" si="5"/>
        <v>0</v>
      </c>
      <c r="AY66" s="497">
        <f t="shared" si="30"/>
        <v>1800000</v>
      </c>
      <c r="AZ66" s="504" t="e">
        <f>AZ54</f>
        <v>#N/A</v>
      </c>
      <c r="BA66" s="493"/>
      <c r="BC66" s="492">
        <v>62</v>
      </c>
      <c r="BD66" s="492">
        <v>6</v>
      </c>
      <c r="BE66" s="497">
        <f>IF(('Comparison Calculator'!$E$11-BD66)&gt;=0,0,IFERROR(-PPMT($BI$66/12,(BC66-60),($F$1-5)*12,$BI$65),0))</f>
        <v>0</v>
      </c>
      <c r="BF66" s="497">
        <f>IF(('Comparison Calculator'!$E$11-BD66)&gt;=0,$C$1*$BI$66/12,IFERROR(-IPMT($BI$66/12,(BC66-60),($F$1-5)*12,$BI$65,0),0))</f>
        <v>0</v>
      </c>
      <c r="BG66" s="497">
        <f t="shared" si="6"/>
        <v>0</v>
      </c>
      <c r="BH66" s="497">
        <f t="shared" si="31"/>
        <v>1800000</v>
      </c>
      <c r="BI66" s="504">
        <f>'Comparison Calculator'!N12</f>
        <v>4.9799999999999997E-2</v>
      </c>
      <c r="BJ66" s="493"/>
      <c r="BK66" s="492">
        <v>62</v>
      </c>
      <c r="BL66" s="492">
        <v>6</v>
      </c>
      <c r="BM66" s="497">
        <f>IF(('Comparison Calculator'!$E$11-BL66)&gt;=0,0,IFERROR(-PPMT($BQ$66/12,(BK66-60),($F$1-5)*12,$BQ$65),0))</f>
        <v>0</v>
      </c>
      <c r="BN66" s="497">
        <f>IF(('Comparison Calculator'!$E$11-BL66)&gt;=0,$C$1*$BQ$66/12,IFERROR(-IPMT($BQ$66/12,(BK66-60),($F$1-5)*12,$BQ$65,0),0))</f>
        <v>0</v>
      </c>
      <c r="BO66" s="497">
        <f t="shared" si="7"/>
        <v>0</v>
      </c>
      <c r="BP66" s="497">
        <f t="shared" si="32"/>
        <v>1800000</v>
      </c>
      <c r="BQ66" s="504">
        <f>BQ54</f>
        <v>6.4799999999999996E-2</v>
      </c>
      <c r="BR66" s="493"/>
      <c r="BT66" s="492">
        <v>62</v>
      </c>
      <c r="BU66" s="492">
        <v>6</v>
      </c>
      <c r="BV66" s="497">
        <f>IF(('Comparison Calculator'!$E$11-BU66)&gt;=0,0,IFERROR(-PPMT($BZ$66/12,(BT66-60),($F$1-5)*12,$BZ$65),0))</f>
        <v>0</v>
      </c>
      <c r="BW66" s="497">
        <f>IF(('Comparison Calculator'!$E$11-BU66)&gt;=0,$C$1*$BZ$66/12,IFERROR(-IPMT($BZ$66/12,(BT66-60),($F$1-5)*12,$BZ$65,0),0))</f>
        <v>0</v>
      </c>
      <c r="BX66" s="497">
        <f t="shared" si="8"/>
        <v>0</v>
      </c>
      <c r="BY66" s="497">
        <f t="shared" si="33"/>
        <v>1800000</v>
      </c>
      <c r="BZ66" s="504">
        <f>BZ54</f>
        <v>6.4799999999999996E-2</v>
      </c>
      <c r="CA66" s="493"/>
      <c r="CC66" s="492">
        <v>62</v>
      </c>
      <c r="CD66" s="492">
        <v>6</v>
      </c>
      <c r="CE66" s="497">
        <f>IF(('Comparison Calculator'!$E$11-CD66)&gt;=0,0,IFERROR(-PPMT($CI$66/12,(CC66-60),($F$1-5)*12,$CI$65),0))</f>
        <v>0</v>
      </c>
      <c r="CF66" s="497">
        <f>IF(('Comparison Calculator'!$E$11-CD66)&gt;=0,$C$1*$CI$66/12,IFERROR(-IPMT($CI$66/12,(CC66-60),($F$1-5)*12,$CI$65,0),0))</f>
        <v>0</v>
      </c>
      <c r="CG66" s="497">
        <f t="shared" si="9"/>
        <v>0</v>
      </c>
      <c r="CH66" s="497">
        <f t="shared" si="34"/>
        <v>1800000</v>
      </c>
      <c r="CI66" s="504">
        <f>CI54</f>
        <v>6.3799999999999996E-2</v>
      </c>
      <c r="CJ66" s="493"/>
      <c r="CL66" s="492">
        <v>62</v>
      </c>
      <c r="CM66" s="492">
        <v>6</v>
      </c>
      <c r="CN66" s="497">
        <f>IF(('Comparison Calculator'!$E$11-CM66)&gt;=0,0,IFERROR(-PPMT($CR$66/12,(CL66-60),($F$1-5)*12,$CR$65),0))</f>
        <v>0</v>
      </c>
      <c r="CO66" s="497">
        <f>IF(('Comparison Calculator'!$E$11-CM66)&gt;=0,$C$1*$CI$66/12,IFERROR(-IPMT($CI$66/12,(CL66-60),($F$1-5)*12,$CI$65,0),0))</f>
        <v>0</v>
      </c>
      <c r="CP66" s="497">
        <f t="shared" si="10"/>
        <v>0</v>
      </c>
      <c r="CQ66" s="497">
        <f t="shared" si="35"/>
        <v>1800000</v>
      </c>
      <c r="CR66" s="504" t="e">
        <f>CR54</f>
        <v>#N/A</v>
      </c>
      <c r="CS66" s="493"/>
      <c r="CU66" s="492">
        <v>62</v>
      </c>
      <c r="CV66" s="492">
        <v>6</v>
      </c>
      <c r="CW66" s="497">
        <f>IF(('Comparison Calculator'!$E$11-CV66)&gt;=0,0,IFERROR(-PPMT($DA$66/12,(CU66-60),($F$1-5)*12,$DA$65),0))</f>
        <v>0</v>
      </c>
      <c r="CX66" s="497">
        <f>IF(('Comparison Calculator'!$E$11-CV66)&gt;=0,$C$1*$DA$66/12,IFERROR(-IPMT($DA$66/12,(CU66-60),($F$1-5)*12,$DA$65,0),0))</f>
        <v>0</v>
      </c>
      <c r="CY66" s="497">
        <f t="shared" si="11"/>
        <v>0</v>
      </c>
      <c r="CZ66" s="497">
        <f t="shared" si="36"/>
        <v>1800000</v>
      </c>
      <c r="DA66" s="504" t="e">
        <f>DA54</f>
        <v>#N/A</v>
      </c>
      <c r="DB66" s="493"/>
      <c r="DD66" s="492">
        <v>62</v>
      </c>
      <c r="DE66" s="492">
        <v>6</v>
      </c>
      <c r="DF66" s="497">
        <f>IF(('Comparison Calculator'!$E$11-DE66)&gt;=0,0,IFERROR(-PPMT($DJ$66/12,(DD66-60),($F$1-5)*12,$DJ$65),0))</f>
        <v>0</v>
      </c>
      <c r="DG66" s="497">
        <f>IF(('Comparison Calculator'!$E$11-DE66)&gt;=0,$C$1*$DJ$66/12,IFERROR(-IPMT($DJ$66/12,(DD66-60),($F$1-5)*12,$DJ$65,0),0))</f>
        <v>0</v>
      </c>
      <c r="DH66" s="497">
        <f t="shared" si="12"/>
        <v>0</v>
      </c>
      <c r="DI66" s="497">
        <f t="shared" si="37"/>
        <v>1800000</v>
      </c>
      <c r="DJ66" s="504" t="e">
        <f>DJ54</f>
        <v>#N/A</v>
      </c>
      <c r="DK66" s="493"/>
    </row>
    <row r="67" spans="1:115">
      <c r="A67" s="492">
        <v>63</v>
      </c>
      <c r="B67" s="492">
        <v>6</v>
      </c>
      <c r="C67" s="497">
        <f>IF(('Comparison Calculator'!$E$11-B67)&gt;=0,0,IFERROR(-PPMT($G$66/12,(A67-60),($F$1-5)*12,$G$65),0))</f>
        <v>0</v>
      </c>
      <c r="D67" s="497">
        <f>IF(('Comparison Calculator'!$E$11-B67)&gt;=0,$C$1*$G$66/12,IFERROR(-IPMT($G$66/12,(A67-60),($F$1-5)*12,$G$65,0),0))</f>
        <v>0</v>
      </c>
      <c r="E67" s="497">
        <f t="shared" si="0"/>
        <v>0</v>
      </c>
      <c r="F67" s="497">
        <f t="shared" si="13"/>
        <v>1800000</v>
      </c>
      <c r="G67" s="493"/>
      <c r="H67" s="493"/>
      <c r="I67" s="489"/>
      <c r="J67" s="492">
        <v>63</v>
      </c>
      <c r="K67" s="492">
        <v>6</v>
      </c>
      <c r="L67" s="497">
        <f>IF(('Comparison Calculator'!$E$11-K67)&gt;=0,0,IFERROR(-PPMT($P$66/12,(J67-60),($F$1-5)*12,$P$65),0))</f>
        <v>0</v>
      </c>
      <c r="M67" s="497">
        <f>IF(('Comparison Calculator'!$E$11-K67)&gt;=0,$C$1*$P$66/12,IFERROR(-IPMT($P$66/12,(J67-60),($F$1-5)*12,$P$65,0),0))</f>
        <v>0</v>
      </c>
      <c r="N67" s="497">
        <f t="shared" si="1"/>
        <v>0</v>
      </c>
      <c r="O67" s="497">
        <f t="shared" si="26"/>
        <v>1800000</v>
      </c>
      <c r="P67" s="493"/>
      <c r="Q67" s="493"/>
      <c r="S67" s="492">
        <v>63</v>
      </c>
      <c r="T67" s="492">
        <v>6</v>
      </c>
      <c r="U67" s="497">
        <f>IF(('Comparison Calculator'!$E$11-T67)&gt;=0,0,IFERROR(-PPMT($Y$66/12,(S67-60),($F$1-5)*12,$Y$65),0))</f>
        <v>0</v>
      </c>
      <c r="V67" s="497">
        <f>IF(('Comparison Calculator'!$E$11-T67)&gt;=0,$C$1*$Y$66/12,IFERROR(-IPMT($Y$66/12,(S67-60),($F$1-5)*12,$Y$65,0),0))</f>
        <v>0</v>
      </c>
      <c r="W67" s="497">
        <f t="shared" si="2"/>
        <v>0</v>
      </c>
      <c r="X67" s="497">
        <f t="shared" si="27"/>
        <v>1800000</v>
      </c>
      <c r="Y67" s="493"/>
      <c r="Z67" s="493"/>
      <c r="AB67" s="492">
        <v>63</v>
      </c>
      <c r="AC67" s="492">
        <v>6</v>
      </c>
      <c r="AD67" s="497">
        <f>IF(('Comparison Calculator'!$E$11-AC67)&gt;=0,0,IFERROR(-PPMT($AH$66/12,(AB67-60),($F$1-5)*12,$AH$65),0))</f>
        <v>0</v>
      </c>
      <c r="AE67" s="497">
        <f>IF(('Comparison Calculator'!$E$11-AC67)&gt;=0,$C$1*$AH$66/12,IFERROR(-IPMT($AH$66/12,(AB67-60),($F$1-5)*12,$AH$65,0),0))</f>
        <v>0</v>
      </c>
      <c r="AF67" s="497">
        <f t="shared" si="3"/>
        <v>0</v>
      </c>
      <c r="AG67" s="497">
        <f t="shared" si="28"/>
        <v>1800000</v>
      </c>
      <c r="AH67" s="493"/>
      <c r="AI67" s="493"/>
      <c r="AK67" s="492">
        <v>63</v>
      </c>
      <c r="AL67" s="492">
        <v>6</v>
      </c>
      <c r="AM67" s="497">
        <f>IF(('Comparison Calculator'!$E$11-AL67)&gt;=0,0,IFERROR(-PPMT($AQ$66/12,(AK67-60),($F$1-5)*12,$AQ$65),0))</f>
        <v>0</v>
      </c>
      <c r="AN67" s="497">
        <f>IF(('Comparison Calculator'!$E$11-AL67)&gt;=0,$C$1*$AQ$66/12,IFERROR(-IPMT($AQ$66/12,(AK67-60),($F$1-5)*12,$AQ$65,0),0))</f>
        <v>0</v>
      </c>
      <c r="AO67" s="497">
        <f t="shared" si="4"/>
        <v>0</v>
      </c>
      <c r="AP67" s="497">
        <f t="shared" si="29"/>
        <v>1800000</v>
      </c>
      <c r="AQ67" s="493"/>
      <c r="AR67" s="493"/>
      <c r="AT67" s="492">
        <v>63</v>
      </c>
      <c r="AU67" s="492">
        <v>6</v>
      </c>
      <c r="AV67" s="497">
        <f>IF(('Comparison Calculator'!$E$11-AU67)&gt;=0,0,IFERROR(-PPMT($AZ$66/12,(AT67-60),($F$1-5)*12,$AZ$65),0))</f>
        <v>0</v>
      </c>
      <c r="AW67" s="497">
        <f>IF(('Comparison Calculator'!$E$11-AU67)&gt;=0,$C$1*$AZ$66/12,IFERROR(-IPMT($AZ$66/12,(AT67-60),($F$1-5)*12,$AZ$65,0),0))</f>
        <v>0</v>
      </c>
      <c r="AX67" s="497">
        <f t="shared" si="5"/>
        <v>0</v>
      </c>
      <c r="AY67" s="497">
        <f t="shared" si="30"/>
        <v>1800000</v>
      </c>
      <c r="AZ67" s="493"/>
      <c r="BA67" s="493"/>
      <c r="BC67" s="492">
        <v>63</v>
      </c>
      <c r="BD67" s="492">
        <v>6</v>
      </c>
      <c r="BE67" s="497">
        <f>IF(('Comparison Calculator'!$E$11-BD67)&gt;=0,0,IFERROR(-PPMT($BI$66/12,(BC67-60),($F$1-5)*12,$BI$65),0))</f>
        <v>0</v>
      </c>
      <c r="BF67" s="497">
        <f>IF(('Comparison Calculator'!$E$11-BD67)&gt;=0,$C$1*$BI$66/12,IFERROR(-IPMT($BI$66/12,(BC67-60),($F$1-5)*12,$BI$65,0),0))</f>
        <v>0</v>
      </c>
      <c r="BG67" s="497">
        <f t="shared" si="6"/>
        <v>0</v>
      </c>
      <c r="BH67" s="497">
        <f t="shared" si="31"/>
        <v>1800000</v>
      </c>
      <c r="BI67" s="493"/>
      <c r="BJ67" s="493"/>
      <c r="BK67" s="492">
        <v>63</v>
      </c>
      <c r="BL67" s="492">
        <v>6</v>
      </c>
      <c r="BM67" s="497">
        <f>IF(('Comparison Calculator'!$E$11-BL67)&gt;=0,0,IFERROR(-PPMT($BQ$66/12,(BK67-60),($F$1-5)*12,$BQ$65),0))</f>
        <v>0</v>
      </c>
      <c r="BN67" s="497">
        <f>IF(('Comparison Calculator'!$E$11-BL67)&gt;=0,$C$1*$BQ$66/12,IFERROR(-IPMT($BQ$66/12,(BK67-60),($F$1-5)*12,$BQ$65,0),0))</f>
        <v>0</v>
      </c>
      <c r="BO67" s="497">
        <f t="shared" si="7"/>
        <v>0</v>
      </c>
      <c r="BP67" s="497">
        <f t="shared" si="32"/>
        <v>1800000</v>
      </c>
      <c r="BQ67" s="493"/>
      <c r="BR67" s="493"/>
      <c r="BT67" s="492">
        <v>63</v>
      </c>
      <c r="BU67" s="492">
        <v>6</v>
      </c>
      <c r="BV67" s="497">
        <f>IF(('Comparison Calculator'!$E$11-BU67)&gt;=0,0,IFERROR(-PPMT($BZ$66/12,(BT67-60),($F$1-5)*12,$BZ$65),0))</f>
        <v>0</v>
      </c>
      <c r="BW67" s="497">
        <f>IF(('Comparison Calculator'!$E$11-BU67)&gt;=0,$C$1*$BZ$66/12,IFERROR(-IPMT($BZ$66/12,(BT67-60),($F$1-5)*12,$BZ$65,0),0))</f>
        <v>0</v>
      </c>
      <c r="BX67" s="497">
        <f t="shared" si="8"/>
        <v>0</v>
      </c>
      <c r="BY67" s="497">
        <f t="shared" si="33"/>
        <v>1800000</v>
      </c>
      <c r="BZ67" s="493"/>
      <c r="CA67" s="493"/>
      <c r="CC67" s="492">
        <v>63</v>
      </c>
      <c r="CD67" s="492">
        <v>6</v>
      </c>
      <c r="CE67" s="497">
        <f>IF(('Comparison Calculator'!$E$11-CD67)&gt;=0,0,IFERROR(-PPMT($CI$66/12,(CC67-60),($F$1-5)*12,$CI$65),0))</f>
        <v>0</v>
      </c>
      <c r="CF67" s="497">
        <f>IF(('Comparison Calculator'!$E$11-CD67)&gt;=0,$C$1*$CI$66/12,IFERROR(-IPMT($CI$66/12,(CC67-60),($F$1-5)*12,$CI$65,0),0))</f>
        <v>0</v>
      </c>
      <c r="CG67" s="497">
        <f t="shared" si="9"/>
        <v>0</v>
      </c>
      <c r="CH67" s="497">
        <f t="shared" si="34"/>
        <v>1800000</v>
      </c>
      <c r="CI67" s="493"/>
      <c r="CJ67" s="493"/>
      <c r="CL67" s="492">
        <v>63</v>
      </c>
      <c r="CM67" s="492">
        <v>6</v>
      </c>
      <c r="CN67" s="497">
        <f>IF(('Comparison Calculator'!$E$11-CM67)&gt;=0,0,IFERROR(-PPMT($CR$66/12,(CL67-60),($F$1-5)*12,$CR$65),0))</f>
        <v>0</v>
      </c>
      <c r="CO67" s="497">
        <f>IF(('Comparison Calculator'!$E$11-CM67)&gt;=0,$C$1*$CI$66/12,IFERROR(-IPMT($CI$66/12,(CL67-60),($F$1-5)*12,$CI$65,0),0))</f>
        <v>0</v>
      </c>
      <c r="CP67" s="497">
        <f t="shared" si="10"/>
        <v>0</v>
      </c>
      <c r="CQ67" s="497">
        <f t="shared" si="35"/>
        <v>1800000</v>
      </c>
      <c r="CR67" s="493"/>
      <c r="CS67" s="493"/>
      <c r="CU67" s="492">
        <v>63</v>
      </c>
      <c r="CV67" s="492">
        <v>6</v>
      </c>
      <c r="CW67" s="497">
        <f>IF(('Comparison Calculator'!$E$11-CV67)&gt;=0,0,IFERROR(-PPMT($DA$66/12,(CU67-60),($F$1-5)*12,$DA$65),0))</f>
        <v>0</v>
      </c>
      <c r="CX67" s="497">
        <f>IF(('Comparison Calculator'!$E$11-CV67)&gt;=0,$C$1*$DA$66/12,IFERROR(-IPMT($DA$66/12,(CU67-60),($F$1-5)*12,$DA$65,0),0))</f>
        <v>0</v>
      </c>
      <c r="CY67" s="497">
        <f t="shared" si="11"/>
        <v>0</v>
      </c>
      <c r="CZ67" s="497">
        <f t="shared" si="36"/>
        <v>1800000</v>
      </c>
      <c r="DA67" s="493"/>
      <c r="DB67" s="493"/>
      <c r="DD67" s="492">
        <v>63</v>
      </c>
      <c r="DE67" s="492">
        <v>6</v>
      </c>
      <c r="DF67" s="497">
        <f>IF(('Comparison Calculator'!$E$11-DE67)&gt;=0,0,IFERROR(-PPMT($DJ$66/12,(DD67-60),($F$1-5)*12,$DJ$65),0))</f>
        <v>0</v>
      </c>
      <c r="DG67" s="497">
        <f>IF(('Comparison Calculator'!$E$11-DE67)&gt;=0,$C$1*$DJ$66/12,IFERROR(-IPMT($DJ$66/12,(DD67-60),($F$1-5)*12,$DJ$65,0),0))</f>
        <v>0</v>
      </c>
      <c r="DH67" s="497">
        <f t="shared" si="12"/>
        <v>0</v>
      </c>
      <c r="DI67" s="497">
        <f t="shared" si="37"/>
        <v>1800000</v>
      </c>
      <c r="DJ67" s="493"/>
      <c r="DK67" s="493"/>
    </row>
    <row r="68" spans="1:115">
      <c r="A68" s="492">
        <v>64</v>
      </c>
      <c r="B68" s="492">
        <v>6</v>
      </c>
      <c r="C68" s="497">
        <f>IF(('Comparison Calculator'!$E$11-B68)&gt;=0,0,IFERROR(-PPMT($G$66/12,(A68-60),($F$1-5)*12,$G$65),0))</f>
        <v>0</v>
      </c>
      <c r="D68" s="497">
        <f>IF(('Comparison Calculator'!$E$11-B68)&gt;=0,$C$1*$G$66/12,IFERROR(-IPMT($G$66/12,(A68-60),($F$1-5)*12,$G$65,0),0))</f>
        <v>0</v>
      </c>
      <c r="E68" s="497">
        <f t="shared" si="0"/>
        <v>0</v>
      </c>
      <c r="F68" s="497">
        <f t="shared" si="13"/>
        <v>1800000</v>
      </c>
      <c r="G68" s="493"/>
      <c r="H68" s="493"/>
      <c r="I68" s="489"/>
      <c r="J68" s="492">
        <v>64</v>
      </c>
      <c r="K68" s="492">
        <v>6</v>
      </c>
      <c r="L68" s="497">
        <f>IF(('Comparison Calculator'!$E$11-K68)&gt;=0,0,IFERROR(-PPMT($P$66/12,(J68-60),($F$1-5)*12,$P$65),0))</f>
        <v>0</v>
      </c>
      <c r="M68" s="497">
        <f>IF(('Comparison Calculator'!$E$11-K68)&gt;=0,$C$1*$P$66/12,IFERROR(-IPMT($P$66/12,(J68-60),($F$1-5)*12,$P$65,0),0))</f>
        <v>0</v>
      </c>
      <c r="N68" s="497">
        <f t="shared" si="1"/>
        <v>0</v>
      </c>
      <c r="O68" s="497">
        <f t="shared" si="26"/>
        <v>1800000</v>
      </c>
      <c r="P68" s="493"/>
      <c r="Q68" s="493"/>
      <c r="S68" s="492">
        <v>64</v>
      </c>
      <c r="T68" s="492">
        <v>6</v>
      </c>
      <c r="U68" s="497">
        <f>IF(('Comparison Calculator'!$E$11-T68)&gt;=0,0,IFERROR(-PPMT($Y$66/12,(S68-60),($F$1-5)*12,$Y$65),0))</f>
        <v>0</v>
      </c>
      <c r="V68" s="497">
        <f>IF(('Comparison Calculator'!$E$11-T68)&gt;=0,$C$1*$Y$66/12,IFERROR(-IPMT($Y$66/12,(S68-60),($F$1-5)*12,$Y$65,0),0))</f>
        <v>0</v>
      </c>
      <c r="W68" s="497">
        <f t="shared" si="2"/>
        <v>0</v>
      </c>
      <c r="X68" s="497">
        <f t="shared" si="27"/>
        <v>1800000</v>
      </c>
      <c r="Y68" s="493"/>
      <c r="Z68" s="493"/>
      <c r="AB68" s="492">
        <v>64</v>
      </c>
      <c r="AC68" s="492">
        <v>6</v>
      </c>
      <c r="AD68" s="497">
        <f>IF(('Comparison Calculator'!$E$11-AC68)&gt;=0,0,IFERROR(-PPMT($AH$66/12,(AB68-60),($F$1-5)*12,$AH$65),0))</f>
        <v>0</v>
      </c>
      <c r="AE68" s="497">
        <f>IF(('Comparison Calculator'!$E$11-AC68)&gt;=0,$C$1*$AH$66/12,IFERROR(-IPMT($AH$66/12,(AB68-60),($F$1-5)*12,$AH$65,0),0))</f>
        <v>0</v>
      </c>
      <c r="AF68" s="497">
        <f t="shared" si="3"/>
        <v>0</v>
      </c>
      <c r="AG68" s="497">
        <f t="shared" si="28"/>
        <v>1800000</v>
      </c>
      <c r="AH68" s="493"/>
      <c r="AI68" s="493"/>
      <c r="AK68" s="492">
        <v>64</v>
      </c>
      <c r="AL68" s="492">
        <v>6</v>
      </c>
      <c r="AM68" s="497">
        <f>IF(('Comparison Calculator'!$E$11-AL68)&gt;=0,0,IFERROR(-PPMT($AQ$66/12,(AK68-60),($F$1-5)*12,$AQ$65),0))</f>
        <v>0</v>
      </c>
      <c r="AN68" s="497">
        <f>IF(('Comparison Calculator'!$E$11-AL68)&gt;=0,$C$1*$AQ$66/12,IFERROR(-IPMT($AQ$66/12,(AK68-60),($F$1-5)*12,$AQ$65,0),0))</f>
        <v>0</v>
      </c>
      <c r="AO68" s="497">
        <f t="shared" si="4"/>
        <v>0</v>
      </c>
      <c r="AP68" s="497">
        <f t="shared" si="29"/>
        <v>1800000</v>
      </c>
      <c r="AQ68" s="493"/>
      <c r="AR68" s="493"/>
      <c r="AT68" s="492">
        <v>64</v>
      </c>
      <c r="AU68" s="492">
        <v>6</v>
      </c>
      <c r="AV68" s="497">
        <f>IF(('Comparison Calculator'!$E$11-AU68)&gt;=0,0,IFERROR(-PPMT($AZ$66/12,(AT68-60),($F$1-5)*12,$AZ$65),0))</f>
        <v>0</v>
      </c>
      <c r="AW68" s="497">
        <f>IF(('Comparison Calculator'!$E$11-AU68)&gt;=0,$C$1*$AZ$66/12,IFERROR(-IPMT($AZ$66/12,(AT68-60),($F$1-5)*12,$AZ$65,0),0))</f>
        <v>0</v>
      </c>
      <c r="AX68" s="497">
        <f t="shared" si="5"/>
        <v>0</v>
      </c>
      <c r="AY68" s="497">
        <f t="shared" si="30"/>
        <v>1800000</v>
      </c>
      <c r="AZ68" s="493"/>
      <c r="BA68" s="493"/>
      <c r="BC68" s="492">
        <v>64</v>
      </c>
      <c r="BD68" s="492">
        <v>6</v>
      </c>
      <c r="BE68" s="497">
        <f>IF(('Comparison Calculator'!$E$11-BD68)&gt;=0,0,IFERROR(-PPMT($BI$66/12,(BC68-60),($F$1-5)*12,$BI$65),0))</f>
        <v>0</v>
      </c>
      <c r="BF68" s="497">
        <f>IF(('Comparison Calculator'!$E$11-BD68)&gt;=0,$C$1*$BI$66/12,IFERROR(-IPMT($BI$66/12,(BC68-60),($F$1-5)*12,$BI$65,0),0))</f>
        <v>0</v>
      </c>
      <c r="BG68" s="497">
        <f t="shared" si="6"/>
        <v>0</v>
      </c>
      <c r="BH68" s="497">
        <f t="shared" si="31"/>
        <v>1800000</v>
      </c>
      <c r="BI68" s="493"/>
      <c r="BJ68" s="493"/>
      <c r="BK68" s="492">
        <v>64</v>
      </c>
      <c r="BL68" s="492">
        <v>6</v>
      </c>
      <c r="BM68" s="497">
        <f>IF(('Comparison Calculator'!$E$11-BL68)&gt;=0,0,IFERROR(-PPMT($BQ$66/12,(BK68-60),($F$1-5)*12,$BQ$65),0))</f>
        <v>0</v>
      </c>
      <c r="BN68" s="497">
        <f>IF(('Comparison Calculator'!$E$11-BL68)&gt;=0,$C$1*$BQ$66/12,IFERROR(-IPMT($BQ$66/12,(BK68-60),($F$1-5)*12,$BQ$65,0),0))</f>
        <v>0</v>
      </c>
      <c r="BO68" s="497">
        <f t="shared" si="7"/>
        <v>0</v>
      </c>
      <c r="BP68" s="497">
        <f t="shared" si="32"/>
        <v>1800000</v>
      </c>
      <c r="BQ68" s="493"/>
      <c r="BR68" s="493"/>
      <c r="BT68" s="492">
        <v>64</v>
      </c>
      <c r="BU68" s="492">
        <v>6</v>
      </c>
      <c r="BV68" s="497">
        <f>IF(('Comparison Calculator'!$E$11-BU68)&gt;=0,0,IFERROR(-PPMT($BZ$66/12,(BT68-60),($F$1-5)*12,$BZ$65),0))</f>
        <v>0</v>
      </c>
      <c r="BW68" s="497">
        <f>IF(('Comparison Calculator'!$E$11-BU68)&gt;=0,$C$1*$BZ$66/12,IFERROR(-IPMT($BZ$66/12,(BT68-60),($F$1-5)*12,$BZ$65,0),0))</f>
        <v>0</v>
      </c>
      <c r="BX68" s="497">
        <f t="shared" si="8"/>
        <v>0</v>
      </c>
      <c r="BY68" s="497">
        <f t="shared" si="33"/>
        <v>1800000</v>
      </c>
      <c r="BZ68" s="493"/>
      <c r="CA68" s="493"/>
      <c r="CC68" s="492">
        <v>64</v>
      </c>
      <c r="CD68" s="492">
        <v>6</v>
      </c>
      <c r="CE68" s="497">
        <f>IF(('Comparison Calculator'!$E$11-CD68)&gt;=0,0,IFERROR(-PPMT($CI$66/12,(CC68-60),($F$1-5)*12,$CI$65),0))</f>
        <v>0</v>
      </c>
      <c r="CF68" s="497">
        <f>IF(('Comparison Calculator'!$E$11-CD68)&gt;=0,$C$1*$CI$66/12,IFERROR(-IPMT($CI$66/12,(CC68-60),($F$1-5)*12,$CI$65,0),0))</f>
        <v>0</v>
      </c>
      <c r="CG68" s="497">
        <f t="shared" si="9"/>
        <v>0</v>
      </c>
      <c r="CH68" s="497">
        <f t="shared" si="34"/>
        <v>1800000</v>
      </c>
      <c r="CI68" s="493"/>
      <c r="CJ68" s="493"/>
      <c r="CL68" s="492">
        <v>64</v>
      </c>
      <c r="CM68" s="492">
        <v>6</v>
      </c>
      <c r="CN68" s="497">
        <f>IF(('Comparison Calculator'!$E$11-CM68)&gt;=0,0,IFERROR(-PPMT($CR$66/12,(CL68-60),($F$1-5)*12,$CR$65),0))</f>
        <v>0</v>
      </c>
      <c r="CO68" s="497">
        <f>IF(('Comparison Calculator'!$E$11-CM68)&gt;=0,$C$1*$CI$66/12,IFERROR(-IPMT($CI$66/12,(CL68-60),($F$1-5)*12,$CI$65,0),0))</f>
        <v>0</v>
      </c>
      <c r="CP68" s="497">
        <f t="shared" si="10"/>
        <v>0</v>
      </c>
      <c r="CQ68" s="497">
        <f t="shared" si="35"/>
        <v>1800000</v>
      </c>
      <c r="CR68" s="493"/>
      <c r="CS68" s="493"/>
      <c r="CU68" s="492">
        <v>64</v>
      </c>
      <c r="CV68" s="492">
        <v>6</v>
      </c>
      <c r="CW68" s="497">
        <f>IF(('Comparison Calculator'!$E$11-CV68)&gt;=0,0,IFERROR(-PPMT($DA$66/12,(CU68-60),($F$1-5)*12,$DA$65),0))</f>
        <v>0</v>
      </c>
      <c r="CX68" s="497">
        <f>IF(('Comparison Calculator'!$E$11-CV68)&gt;=0,$C$1*$DA$66/12,IFERROR(-IPMT($DA$66/12,(CU68-60),($F$1-5)*12,$DA$65,0),0))</f>
        <v>0</v>
      </c>
      <c r="CY68" s="497">
        <f t="shared" si="11"/>
        <v>0</v>
      </c>
      <c r="CZ68" s="497">
        <f t="shared" si="36"/>
        <v>1800000</v>
      </c>
      <c r="DA68" s="493"/>
      <c r="DB68" s="493"/>
      <c r="DD68" s="492">
        <v>64</v>
      </c>
      <c r="DE68" s="492">
        <v>6</v>
      </c>
      <c r="DF68" s="497">
        <f>IF(('Comparison Calculator'!$E$11-DE68)&gt;=0,0,IFERROR(-PPMT($DJ$66/12,(DD68-60),($F$1-5)*12,$DJ$65),0))</f>
        <v>0</v>
      </c>
      <c r="DG68" s="497">
        <f>IF(('Comparison Calculator'!$E$11-DE68)&gt;=0,$C$1*$DJ$66/12,IFERROR(-IPMT($DJ$66/12,(DD68-60),($F$1-5)*12,$DJ$65,0),0))</f>
        <v>0</v>
      </c>
      <c r="DH68" s="497">
        <f t="shared" si="12"/>
        <v>0</v>
      </c>
      <c r="DI68" s="497">
        <f t="shared" si="37"/>
        <v>1800000</v>
      </c>
      <c r="DJ68" s="493"/>
      <c r="DK68" s="493"/>
    </row>
    <row r="69" spans="1:115">
      <c r="A69" s="492">
        <v>65</v>
      </c>
      <c r="B69" s="492">
        <v>6</v>
      </c>
      <c r="C69" s="497">
        <f>IF(('Comparison Calculator'!$E$11-B69)&gt;=0,0,IFERROR(-PPMT($G$66/12,(A69-60),($F$1-5)*12,$G$65),0))</f>
        <v>0</v>
      </c>
      <c r="D69" s="497">
        <f>IF(('Comparison Calculator'!$E$11-B69)&gt;=0,$C$1*$G$66/12,IFERROR(-IPMT($G$66/12,(A69-60),($F$1-5)*12,$G$65,0),0))</f>
        <v>0</v>
      </c>
      <c r="E69" s="497">
        <f t="shared" si="0"/>
        <v>0</v>
      </c>
      <c r="F69" s="497">
        <f t="shared" si="13"/>
        <v>1800000</v>
      </c>
      <c r="G69" s="493"/>
      <c r="H69" s="493"/>
      <c r="I69" s="489"/>
      <c r="J69" s="492">
        <v>65</v>
      </c>
      <c r="K69" s="492">
        <v>6</v>
      </c>
      <c r="L69" s="497">
        <f>IF(('Comparison Calculator'!$E$11-K69)&gt;=0,0,IFERROR(-PPMT($P$66/12,(J69-60),($F$1-5)*12,$P$65),0))</f>
        <v>0</v>
      </c>
      <c r="M69" s="497">
        <f>IF(('Comparison Calculator'!$E$11-K69)&gt;=0,$C$1*$P$66/12,IFERROR(-IPMT($P$66/12,(J69-60),($F$1-5)*12,$P$65,0),0))</f>
        <v>0</v>
      </c>
      <c r="N69" s="497">
        <f t="shared" si="1"/>
        <v>0</v>
      </c>
      <c r="O69" s="497">
        <f t="shared" si="26"/>
        <v>1800000</v>
      </c>
      <c r="P69" s="493"/>
      <c r="Q69" s="493"/>
      <c r="S69" s="492">
        <v>65</v>
      </c>
      <c r="T69" s="492">
        <v>6</v>
      </c>
      <c r="U69" s="497">
        <f>IF(('Comparison Calculator'!$E$11-T69)&gt;=0,0,IFERROR(-PPMT($Y$66/12,(S69-60),($F$1-5)*12,$Y$65),0))</f>
        <v>0</v>
      </c>
      <c r="V69" s="497">
        <f>IF(('Comparison Calculator'!$E$11-T69)&gt;=0,$C$1*$Y$66/12,IFERROR(-IPMT($Y$66/12,(S69-60),($F$1-5)*12,$Y$65,0),0))</f>
        <v>0</v>
      </c>
      <c r="W69" s="497">
        <f t="shared" si="2"/>
        <v>0</v>
      </c>
      <c r="X69" s="497">
        <f t="shared" si="27"/>
        <v>1800000</v>
      </c>
      <c r="Y69" s="493"/>
      <c r="Z69" s="493"/>
      <c r="AB69" s="492">
        <v>65</v>
      </c>
      <c r="AC69" s="492">
        <v>6</v>
      </c>
      <c r="AD69" s="497">
        <f>IF(('Comparison Calculator'!$E$11-AC69)&gt;=0,0,IFERROR(-PPMT($AH$66/12,(AB69-60),($F$1-5)*12,$AH$65),0))</f>
        <v>0</v>
      </c>
      <c r="AE69" s="497">
        <f>IF(('Comparison Calculator'!$E$11-AC69)&gt;=0,$C$1*$AH$66/12,IFERROR(-IPMT($AH$66/12,(AB69-60),($F$1-5)*12,$AH$65,0),0))</f>
        <v>0</v>
      </c>
      <c r="AF69" s="497">
        <f t="shared" si="3"/>
        <v>0</v>
      </c>
      <c r="AG69" s="497">
        <f t="shared" si="28"/>
        <v>1800000</v>
      </c>
      <c r="AH69" s="493"/>
      <c r="AI69" s="493"/>
      <c r="AK69" s="492">
        <v>65</v>
      </c>
      <c r="AL69" s="492">
        <v>6</v>
      </c>
      <c r="AM69" s="497">
        <f>IF(('Comparison Calculator'!$E$11-AL69)&gt;=0,0,IFERROR(-PPMT($AQ$66/12,(AK69-60),($F$1-5)*12,$AQ$65),0))</f>
        <v>0</v>
      </c>
      <c r="AN69" s="497">
        <f>IF(('Comparison Calculator'!$E$11-AL69)&gt;=0,$C$1*$AQ$66/12,IFERROR(-IPMT($AQ$66/12,(AK69-60),($F$1-5)*12,$AQ$65,0),0))</f>
        <v>0</v>
      </c>
      <c r="AO69" s="497">
        <f t="shared" si="4"/>
        <v>0</v>
      </c>
      <c r="AP69" s="497">
        <f t="shared" si="29"/>
        <v>1800000</v>
      </c>
      <c r="AQ69" s="493"/>
      <c r="AR69" s="493"/>
      <c r="AT69" s="492">
        <v>65</v>
      </c>
      <c r="AU69" s="492">
        <v>6</v>
      </c>
      <c r="AV69" s="497">
        <f>IF(('Comparison Calculator'!$E$11-AU69)&gt;=0,0,IFERROR(-PPMT($AZ$66/12,(AT69-60),($F$1-5)*12,$AZ$65),0))</f>
        <v>0</v>
      </c>
      <c r="AW69" s="497">
        <f>IF(('Comparison Calculator'!$E$11-AU69)&gt;=0,$C$1*$AZ$66/12,IFERROR(-IPMT($AZ$66/12,(AT69-60),($F$1-5)*12,$AZ$65,0),0))</f>
        <v>0</v>
      </c>
      <c r="AX69" s="497">
        <f t="shared" si="5"/>
        <v>0</v>
      </c>
      <c r="AY69" s="497">
        <f t="shared" si="30"/>
        <v>1800000</v>
      </c>
      <c r="AZ69" s="493"/>
      <c r="BA69" s="493"/>
      <c r="BC69" s="492">
        <v>65</v>
      </c>
      <c r="BD69" s="492">
        <v>6</v>
      </c>
      <c r="BE69" s="497">
        <f>IF(('Comparison Calculator'!$E$11-BD69)&gt;=0,0,IFERROR(-PPMT($BI$66/12,(BC69-60),($F$1-5)*12,$BI$65),0))</f>
        <v>0</v>
      </c>
      <c r="BF69" s="497">
        <f>IF(('Comparison Calculator'!$E$11-BD69)&gt;=0,$C$1*$BI$66/12,IFERROR(-IPMT($BI$66/12,(BC69-60),($F$1-5)*12,$BI$65,0),0))</f>
        <v>0</v>
      </c>
      <c r="BG69" s="497">
        <f t="shared" si="6"/>
        <v>0</v>
      </c>
      <c r="BH69" s="497">
        <f t="shared" si="31"/>
        <v>1800000</v>
      </c>
      <c r="BI69" s="493"/>
      <c r="BJ69" s="493"/>
      <c r="BK69" s="492">
        <v>65</v>
      </c>
      <c r="BL69" s="492">
        <v>6</v>
      </c>
      <c r="BM69" s="497">
        <f>IF(('Comparison Calculator'!$E$11-BL69)&gt;=0,0,IFERROR(-PPMT($BQ$66/12,(BK69-60),($F$1-5)*12,$BQ$65),0))</f>
        <v>0</v>
      </c>
      <c r="BN69" s="497">
        <f>IF(('Comparison Calculator'!$E$11-BL69)&gt;=0,$C$1*$BQ$66/12,IFERROR(-IPMT($BQ$66/12,(BK69-60),($F$1-5)*12,$BQ$65,0),0))</f>
        <v>0</v>
      </c>
      <c r="BO69" s="497">
        <f t="shared" si="7"/>
        <v>0</v>
      </c>
      <c r="BP69" s="497">
        <f t="shared" si="32"/>
        <v>1800000</v>
      </c>
      <c r="BQ69" s="493"/>
      <c r="BR69" s="493"/>
      <c r="BT69" s="492">
        <v>65</v>
      </c>
      <c r="BU69" s="492">
        <v>6</v>
      </c>
      <c r="BV69" s="497">
        <f>IF(('Comparison Calculator'!$E$11-BU69)&gt;=0,0,IFERROR(-PPMT($BZ$66/12,(BT69-60),($F$1-5)*12,$BZ$65),0))</f>
        <v>0</v>
      </c>
      <c r="BW69" s="497">
        <f>IF(('Comparison Calculator'!$E$11-BU69)&gt;=0,$C$1*$BZ$66/12,IFERROR(-IPMT($BZ$66/12,(BT69-60),($F$1-5)*12,$BZ$65,0),0))</f>
        <v>0</v>
      </c>
      <c r="BX69" s="497">
        <f t="shared" si="8"/>
        <v>0</v>
      </c>
      <c r="BY69" s="497">
        <f t="shared" si="33"/>
        <v>1800000</v>
      </c>
      <c r="BZ69" s="493"/>
      <c r="CA69" s="493"/>
      <c r="CC69" s="492">
        <v>65</v>
      </c>
      <c r="CD69" s="492">
        <v>6</v>
      </c>
      <c r="CE69" s="497">
        <f>IF(('Comparison Calculator'!$E$11-CD69)&gt;=0,0,IFERROR(-PPMT($CI$66/12,(CC69-60),($F$1-5)*12,$CI$65),0))</f>
        <v>0</v>
      </c>
      <c r="CF69" s="497">
        <f>IF(('Comparison Calculator'!$E$11-CD69)&gt;=0,$C$1*$CI$66/12,IFERROR(-IPMT($CI$66/12,(CC69-60),($F$1-5)*12,$CI$65,0),0))</f>
        <v>0</v>
      </c>
      <c r="CG69" s="497">
        <f t="shared" si="9"/>
        <v>0</v>
      </c>
      <c r="CH69" s="497">
        <f t="shared" si="34"/>
        <v>1800000</v>
      </c>
      <c r="CI69" s="493"/>
      <c r="CJ69" s="493"/>
      <c r="CL69" s="492">
        <v>65</v>
      </c>
      <c r="CM69" s="492">
        <v>6</v>
      </c>
      <c r="CN69" s="497">
        <f>IF(('Comparison Calculator'!$E$11-CM69)&gt;=0,0,IFERROR(-PPMT($CR$66/12,(CL69-60),($F$1-5)*12,$CR$65),0))</f>
        <v>0</v>
      </c>
      <c r="CO69" s="497">
        <f>IF(('Comparison Calculator'!$E$11-CM69)&gt;=0,$C$1*$CI$66/12,IFERROR(-IPMT($CI$66/12,(CL69-60),($F$1-5)*12,$CI$65,0),0))</f>
        <v>0</v>
      </c>
      <c r="CP69" s="497">
        <f t="shared" si="10"/>
        <v>0</v>
      </c>
      <c r="CQ69" s="497">
        <f t="shared" si="35"/>
        <v>1800000</v>
      </c>
      <c r="CR69" s="493"/>
      <c r="CS69" s="493"/>
      <c r="CU69" s="492">
        <v>65</v>
      </c>
      <c r="CV69" s="492">
        <v>6</v>
      </c>
      <c r="CW69" s="497">
        <f>IF(('Comparison Calculator'!$E$11-CV69)&gt;=0,0,IFERROR(-PPMT($DA$66/12,(CU69-60),($F$1-5)*12,$DA$65),0))</f>
        <v>0</v>
      </c>
      <c r="CX69" s="497">
        <f>IF(('Comparison Calculator'!$E$11-CV69)&gt;=0,$C$1*$DA$66/12,IFERROR(-IPMT($DA$66/12,(CU69-60),($F$1-5)*12,$DA$65,0),0))</f>
        <v>0</v>
      </c>
      <c r="CY69" s="497">
        <f t="shared" si="11"/>
        <v>0</v>
      </c>
      <c r="CZ69" s="497">
        <f t="shared" si="36"/>
        <v>1800000</v>
      </c>
      <c r="DA69" s="493"/>
      <c r="DB69" s="493"/>
      <c r="DD69" s="492">
        <v>65</v>
      </c>
      <c r="DE69" s="492">
        <v>6</v>
      </c>
      <c r="DF69" s="497">
        <f>IF(('Comparison Calculator'!$E$11-DE69)&gt;=0,0,IFERROR(-PPMT($DJ$66/12,(DD69-60),($F$1-5)*12,$DJ$65),0))</f>
        <v>0</v>
      </c>
      <c r="DG69" s="497">
        <f>IF(('Comparison Calculator'!$E$11-DE69)&gt;=0,$C$1*$DJ$66/12,IFERROR(-IPMT($DJ$66/12,(DD69-60),($F$1-5)*12,$DJ$65,0),0))</f>
        <v>0</v>
      </c>
      <c r="DH69" s="497">
        <f t="shared" si="12"/>
        <v>0</v>
      </c>
      <c r="DI69" s="497">
        <f t="shared" si="37"/>
        <v>1800000</v>
      </c>
      <c r="DJ69" s="493"/>
      <c r="DK69" s="493"/>
    </row>
    <row r="70" spans="1:115">
      <c r="A70" s="492">
        <v>66</v>
      </c>
      <c r="B70" s="492">
        <v>6</v>
      </c>
      <c r="C70" s="497">
        <f>IF(('Comparison Calculator'!$E$11-B70)&gt;=0,0,IFERROR(-PPMT($G$66/12,(A70-60),($F$1-5)*12,$G$65),0))</f>
        <v>0</v>
      </c>
      <c r="D70" s="497">
        <f>IF(('Comparison Calculator'!$E$11-B70)&gt;=0,$C$1*$G$66/12,IFERROR(-IPMT($G$66/12,(A70-60),($F$1-5)*12,$G$65,0),0))</f>
        <v>0</v>
      </c>
      <c r="E70" s="497">
        <f t="shared" ref="E70:E133" si="38">C70+D70</f>
        <v>0</v>
      </c>
      <c r="F70" s="497">
        <f t="shared" si="13"/>
        <v>1800000</v>
      </c>
      <c r="G70" s="493"/>
      <c r="H70" s="493"/>
      <c r="I70" s="489"/>
      <c r="J70" s="492">
        <v>66</v>
      </c>
      <c r="K70" s="492">
        <v>6</v>
      </c>
      <c r="L70" s="497">
        <f>IF(('Comparison Calculator'!$E$11-K70)&gt;=0,0,IFERROR(-PPMT($P$66/12,(J70-60),($F$1-5)*12,$P$65),0))</f>
        <v>0</v>
      </c>
      <c r="M70" s="497">
        <f>IF(('Comparison Calculator'!$E$11-K70)&gt;=0,$C$1*$P$66/12,IFERROR(-IPMT($P$66/12,(J70-60),($F$1-5)*12,$P$65,0),0))</f>
        <v>0</v>
      </c>
      <c r="N70" s="497">
        <f t="shared" ref="N70:N133" si="39">L70+M70</f>
        <v>0</v>
      </c>
      <c r="O70" s="497">
        <f t="shared" si="26"/>
        <v>1800000</v>
      </c>
      <c r="P70" s="493"/>
      <c r="Q70" s="493"/>
      <c r="S70" s="492">
        <v>66</v>
      </c>
      <c r="T70" s="492">
        <v>6</v>
      </c>
      <c r="U70" s="497">
        <f>IF(('Comparison Calculator'!$E$11-T70)&gt;=0,0,IFERROR(-PPMT($Y$66/12,(S70-60),($F$1-5)*12,$Y$65),0))</f>
        <v>0</v>
      </c>
      <c r="V70" s="497">
        <f>IF(('Comparison Calculator'!$E$11-T70)&gt;=0,$C$1*$Y$66/12,IFERROR(-IPMT($Y$66/12,(S70-60),($F$1-5)*12,$Y$65,0),0))</f>
        <v>0</v>
      </c>
      <c r="W70" s="497">
        <f t="shared" ref="W70:W133" si="40">U70+V70</f>
        <v>0</v>
      </c>
      <c r="X70" s="497">
        <f t="shared" si="27"/>
        <v>1800000</v>
      </c>
      <c r="Y70" s="493"/>
      <c r="Z70" s="493"/>
      <c r="AB70" s="492">
        <v>66</v>
      </c>
      <c r="AC70" s="492">
        <v>6</v>
      </c>
      <c r="AD70" s="497">
        <f>IF(('Comparison Calculator'!$E$11-AC70)&gt;=0,0,IFERROR(-PPMT($AH$66/12,(AB70-60),($F$1-5)*12,$AH$65),0))</f>
        <v>0</v>
      </c>
      <c r="AE70" s="497">
        <f>IF(('Comparison Calculator'!$E$11-AC70)&gt;=0,$C$1*$AH$66/12,IFERROR(-IPMT($AH$66/12,(AB70-60),($F$1-5)*12,$AH$65,0),0))</f>
        <v>0</v>
      </c>
      <c r="AF70" s="497">
        <f t="shared" ref="AF70:AF133" si="41">AD70+AE70</f>
        <v>0</v>
      </c>
      <c r="AG70" s="497">
        <f t="shared" si="28"/>
        <v>1800000</v>
      </c>
      <c r="AH70" s="493"/>
      <c r="AI70" s="493"/>
      <c r="AK70" s="492">
        <v>66</v>
      </c>
      <c r="AL70" s="492">
        <v>6</v>
      </c>
      <c r="AM70" s="497">
        <f>IF(('Comparison Calculator'!$E$11-AL70)&gt;=0,0,IFERROR(-PPMT($AQ$66/12,(AK70-60),($F$1-5)*12,$AQ$65),0))</f>
        <v>0</v>
      </c>
      <c r="AN70" s="497">
        <f>IF(('Comparison Calculator'!$E$11-AL70)&gt;=0,$C$1*$AQ$66/12,IFERROR(-IPMT($AQ$66/12,(AK70-60),($F$1-5)*12,$AQ$65,0),0))</f>
        <v>0</v>
      </c>
      <c r="AO70" s="497">
        <f t="shared" ref="AO70:AO133" si="42">AM70+AN70</f>
        <v>0</v>
      </c>
      <c r="AP70" s="497">
        <f t="shared" si="29"/>
        <v>1800000</v>
      </c>
      <c r="AQ70" s="493"/>
      <c r="AR70" s="493"/>
      <c r="AT70" s="492">
        <v>66</v>
      </c>
      <c r="AU70" s="492">
        <v>6</v>
      </c>
      <c r="AV70" s="497">
        <f>IF(('Comparison Calculator'!$E$11-AU70)&gt;=0,0,IFERROR(-PPMT($AZ$66/12,(AT70-60),($F$1-5)*12,$AZ$65),0))</f>
        <v>0</v>
      </c>
      <c r="AW70" s="497">
        <f>IF(('Comparison Calculator'!$E$11-AU70)&gt;=0,$C$1*$AZ$66/12,IFERROR(-IPMT($AZ$66/12,(AT70-60),($F$1-5)*12,$AZ$65,0),0))</f>
        <v>0</v>
      </c>
      <c r="AX70" s="497">
        <f t="shared" ref="AX70:AX133" si="43">AV70+AW70</f>
        <v>0</v>
      </c>
      <c r="AY70" s="497">
        <f t="shared" si="30"/>
        <v>1800000</v>
      </c>
      <c r="AZ70" s="493"/>
      <c r="BA70" s="493"/>
      <c r="BC70" s="492">
        <v>66</v>
      </c>
      <c r="BD70" s="492">
        <v>6</v>
      </c>
      <c r="BE70" s="497">
        <f>IF(('Comparison Calculator'!$E$11-BD70)&gt;=0,0,IFERROR(-PPMT($BI$66/12,(BC70-60),($F$1-5)*12,$BI$65),0))</f>
        <v>0</v>
      </c>
      <c r="BF70" s="497">
        <f>IF(('Comparison Calculator'!$E$11-BD70)&gt;=0,$C$1*$BI$66/12,IFERROR(-IPMT($BI$66/12,(BC70-60),($F$1-5)*12,$BI$65,0),0))</f>
        <v>0</v>
      </c>
      <c r="BG70" s="497">
        <f t="shared" ref="BG70:BG133" si="44">BE70+BF70</f>
        <v>0</v>
      </c>
      <c r="BH70" s="497">
        <f t="shared" si="31"/>
        <v>1800000</v>
      </c>
      <c r="BI70" s="493"/>
      <c r="BJ70" s="493"/>
      <c r="BK70" s="492">
        <v>66</v>
      </c>
      <c r="BL70" s="492">
        <v>6</v>
      </c>
      <c r="BM70" s="497">
        <f>IF(('Comparison Calculator'!$E$11-BL70)&gt;=0,0,IFERROR(-PPMT($BQ$66/12,(BK70-60),($F$1-5)*12,$BQ$65),0))</f>
        <v>0</v>
      </c>
      <c r="BN70" s="497">
        <f>IF(('Comparison Calculator'!$E$11-BL70)&gt;=0,$C$1*$BQ$66/12,IFERROR(-IPMT($BQ$66/12,(BK70-60),($F$1-5)*12,$BQ$65,0),0))</f>
        <v>0</v>
      </c>
      <c r="BO70" s="497">
        <f t="shared" ref="BO70:BO133" si="45">BM70+BN70</f>
        <v>0</v>
      </c>
      <c r="BP70" s="497">
        <f t="shared" si="32"/>
        <v>1800000</v>
      </c>
      <c r="BQ70" s="493"/>
      <c r="BR70" s="493"/>
      <c r="BT70" s="492">
        <v>66</v>
      </c>
      <c r="BU70" s="492">
        <v>6</v>
      </c>
      <c r="BV70" s="497">
        <f>IF(('Comparison Calculator'!$E$11-BU70)&gt;=0,0,IFERROR(-PPMT($BZ$66/12,(BT70-60),($F$1-5)*12,$BZ$65),0))</f>
        <v>0</v>
      </c>
      <c r="BW70" s="497">
        <f>IF(('Comparison Calculator'!$E$11-BU70)&gt;=0,$C$1*$BZ$66/12,IFERROR(-IPMT($BZ$66/12,(BT70-60),($F$1-5)*12,$BZ$65,0),0))</f>
        <v>0</v>
      </c>
      <c r="BX70" s="497">
        <f t="shared" ref="BX70:BX133" si="46">BV70+BW70</f>
        <v>0</v>
      </c>
      <c r="BY70" s="497">
        <f t="shared" si="33"/>
        <v>1800000</v>
      </c>
      <c r="BZ70" s="493"/>
      <c r="CA70" s="493"/>
      <c r="CC70" s="492">
        <v>66</v>
      </c>
      <c r="CD70" s="492">
        <v>6</v>
      </c>
      <c r="CE70" s="497">
        <f>IF(('Comparison Calculator'!$E$11-CD70)&gt;=0,0,IFERROR(-PPMT($CI$66/12,(CC70-60),($F$1-5)*12,$CI$65),0))</f>
        <v>0</v>
      </c>
      <c r="CF70" s="497">
        <f>IF(('Comparison Calculator'!$E$11-CD70)&gt;=0,$C$1*$CI$66/12,IFERROR(-IPMT($CI$66/12,(CC70-60),($F$1-5)*12,$CI$65,0),0))</f>
        <v>0</v>
      </c>
      <c r="CG70" s="497">
        <f t="shared" ref="CG70:CG133" si="47">CE70+CF70</f>
        <v>0</v>
      </c>
      <c r="CH70" s="497">
        <f t="shared" si="34"/>
        <v>1800000</v>
      </c>
      <c r="CI70" s="493"/>
      <c r="CJ70" s="493"/>
      <c r="CL70" s="492">
        <v>66</v>
      </c>
      <c r="CM70" s="492">
        <v>6</v>
      </c>
      <c r="CN70" s="497">
        <f>IF(('Comparison Calculator'!$E$11-CM70)&gt;=0,0,IFERROR(-PPMT($CR$66/12,(CL70-60),($F$1-5)*12,$CR$65),0))</f>
        <v>0</v>
      </c>
      <c r="CO70" s="497">
        <f>IF(('Comparison Calculator'!$E$11-CM70)&gt;=0,$C$1*$CI$66/12,IFERROR(-IPMT($CI$66/12,(CL70-60),($F$1-5)*12,$CI$65,0),0))</f>
        <v>0</v>
      </c>
      <c r="CP70" s="497">
        <f t="shared" ref="CP70:CP133" si="48">CN70+CO70</f>
        <v>0</v>
      </c>
      <c r="CQ70" s="497">
        <f t="shared" si="35"/>
        <v>1800000</v>
      </c>
      <c r="CR70" s="493"/>
      <c r="CS70" s="493"/>
      <c r="CU70" s="492">
        <v>66</v>
      </c>
      <c r="CV70" s="492">
        <v>6</v>
      </c>
      <c r="CW70" s="497">
        <f>IF(('Comparison Calculator'!$E$11-CV70)&gt;=0,0,IFERROR(-PPMT($DA$66/12,(CU70-60),($F$1-5)*12,$DA$65),0))</f>
        <v>0</v>
      </c>
      <c r="CX70" s="497">
        <f>IF(('Comparison Calculator'!$E$11-CV70)&gt;=0,$C$1*$DA$66/12,IFERROR(-IPMT($DA$66/12,(CU70-60),($F$1-5)*12,$DA$65,0),0))</f>
        <v>0</v>
      </c>
      <c r="CY70" s="497">
        <f t="shared" ref="CY70:CY133" si="49">CW70+CX70</f>
        <v>0</v>
      </c>
      <c r="CZ70" s="497">
        <f t="shared" si="36"/>
        <v>1800000</v>
      </c>
      <c r="DA70" s="493"/>
      <c r="DB70" s="493"/>
      <c r="DD70" s="492">
        <v>66</v>
      </c>
      <c r="DE70" s="492">
        <v>6</v>
      </c>
      <c r="DF70" s="497">
        <f>IF(('Comparison Calculator'!$E$11-DE70)&gt;=0,0,IFERROR(-PPMT($DJ$66/12,(DD70-60),($F$1-5)*12,$DJ$65),0))</f>
        <v>0</v>
      </c>
      <c r="DG70" s="497">
        <f>IF(('Comparison Calculator'!$E$11-DE70)&gt;=0,$C$1*$DJ$66/12,IFERROR(-IPMT($DJ$66/12,(DD70-60),($F$1-5)*12,$DJ$65,0),0))</f>
        <v>0</v>
      </c>
      <c r="DH70" s="497">
        <f t="shared" ref="DH70:DH133" si="50">DF70+DG70</f>
        <v>0</v>
      </c>
      <c r="DI70" s="497">
        <f t="shared" si="37"/>
        <v>1800000</v>
      </c>
      <c r="DJ70" s="493"/>
      <c r="DK70" s="493"/>
    </row>
    <row r="71" spans="1:115">
      <c r="A71" s="492">
        <v>67</v>
      </c>
      <c r="B71" s="492">
        <v>6</v>
      </c>
      <c r="C71" s="497">
        <f>IF(('Comparison Calculator'!$E$11-B71)&gt;=0,0,IFERROR(-PPMT($G$66/12,(A71-60),($F$1-5)*12,$G$65),0))</f>
        <v>0</v>
      </c>
      <c r="D71" s="497">
        <f>IF(('Comparison Calculator'!$E$11-B71)&gt;=0,$C$1*$G$66/12,IFERROR(-IPMT($G$66/12,(A71-60),($F$1-5)*12,$G$65,0),0))</f>
        <v>0</v>
      </c>
      <c r="E71" s="497">
        <f t="shared" si="38"/>
        <v>0</v>
      </c>
      <c r="F71" s="497">
        <f t="shared" ref="F71:F134" si="51">F70-C71</f>
        <v>1800000</v>
      </c>
      <c r="G71" s="493"/>
      <c r="H71" s="493"/>
      <c r="I71" s="489"/>
      <c r="J71" s="492">
        <v>67</v>
      </c>
      <c r="K71" s="492">
        <v>6</v>
      </c>
      <c r="L71" s="497">
        <f>IF(('Comparison Calculator'!$E$11-K71)&gt;=0,0,IFERROR(-PPMT($P$66/12,(J71-60),($F$1-5)*12,$P$65),0))</f>
        <v>0</v>
      </c>
      <c r="M71" s="497">
        <f>IF(('Comparison Calculator'!$E$11-K71)&gt;=0,$C$1*$P$66/12,IFERROR(-IPMT($P$66/12,(J71-60),($F$1-5)*12,$P$65,0),0))</f>
        <v>0</v>
      </c>
      <c r="N71" s="497">
        <f t="shared" si="39"/>
        <v>0</v>
      </c>
      <c r="O71" s="497">
        <f t="shared" si="26"/>
        <v>1800000</v>
      </c>
      <c r="P71" s="493"/>
      <c r="Q71" s="493"/>
      <c r="S71" s="492">
        <v>67</v>
      </c>
      <c r="T71" s="492">
        <v>6</v>
      </c>
      <c r="U71" s="497">
        <f>IF(('Comparison Calculator'!$E$11-T71)&gt;=0,0,IFERROR(-PPMT($Y$66/12,(S71-60),($F$1-5)*12,$Y$65),0))</f>
        <v>0</v>
      </c>
      <c r="V71" s="497">
        <f>IF(('Comparison Calculator'!$E$11-T71)&gt;=0,$C$1*$Y$66/12,IFERROR(-IPMT($Y$66/12,(S71-60),($F$1-5)*12,$Y$65,0),0))</f>
        <v>0</v>
      </c>
      <c r="W71" s="497">
        <f t="shared" si="40"/>
        <v>0</v>
      </c>
      <c r="X71" s="497">
        <f t="shared" si="27"/>
        <v>1800000</v>
      </c>
      <c r="Y71" s="493"/>
      <c r="Z71" s="493"/>
      <c r="AB71" s="492">
        <v>67</v>
      </c>
      <c r="AC71" s="492">
        <v>6</v>
      </c>
      <c r="AD71" s="497">
        <f>IF(('Comparison Calculator'!$E$11-AC71)&gt;=0,0,IFERROR(-PPMT($AH$66/12,(AB71-60),($F$1-5)*12,$AH$65),0))</f>
        <v>0</v>
      </c>
      <c r="AE71" s="497">
        <f>IF(('Comparison Calculator'!$E$11-AC71)&gt;=0,$C$1*$AH$66/12,IFERROR(-IPMT($AH$66/12,(AB71-60),($F$1-5)*12,$AH$65,0),0))</f>
        <v>0</v>
      </c>
      <c r="AF71" s="497">
        <f t="shared" si="41"/>
        <v>0</v>
      </c>
      <c r="AG71" s="497">
        <f t="shared" si="28"/>
        <v>1800000</v>
      </c>
      <c r="AH71" s="493"/>
      <c r="AI71" s="493"/>
      <c r="AK71" s="492">
        <v>67</v>
      </c>
      <c r="AL71" s="492">
        <v>6</v>
      </c>
      <c r="AM71" s="497">
        <f>IF(('Comparison Calculator'!$E$11-AL71)&gt;=0,0,IFERROR(-PPMT($AQ$66/12,(AK71-60),($F$1-5)*12,$AQ$65),0))</f>
        <v>0</v>
      </c>
      <c r="AN71" s="497">
        <f>IF(('Comparison Calculator'!$E$11-AL71)&gt;=0,$C$1*$AQ$66/12,IFERROR(-IPMT($AQ$66/12,(AK71-60),($F$1-5)*12,$AQ$65,0),0))</f>
        <v>0</v>
      </c>
      <c r="AO71" s="497">
        <f t="shared" si="42"/>
        <v>0</v>
      </c>
      <c r="AP71" s="497">
        <f t="shared" si="29"/>
        <v>1800000</v>
      </c>
      <c r="AQ71" s="493"/>
      <c r="AR71" s="493"/>
      <c r="AT71" s="492">
        <v>67</v>
      </c>
      <c r="AU71" s="492">
        <v>6</v>
      </c>
      <c r="AV71" s="497">
        <f>IF(('Comparison Calculator'!$E$11-AU71)&gt;=0,0,IFERROR(-PPMT($AZ$66/12,(AT71-60),($F$1-5)*12,$AZ$65),0))</f>
        <v>0</v>
      </c>
      <c r="AW71" s="497">
        <f>IF(('Comparison Calculator'!$E$11-AU71)&gt;=0,$C$1*$AZ$66/12,IFERROR(-IPMT($AZ$66/12,(AT71-60),($F$1-5)*12,$AZ$65,0),0))</f>
        <v>0</v>
      </c>
      <c r="AX71" s="497">
        <f t="shared" si="43"/>
        <v>0</v>
      </c>
      <c r="AY71" s="497">
        <f t="shared" si="30"/>
        <v>1800000</v>
      </c>
      <c r="AZ71" s="493"/>
      <c r="BA71" s="493"/>
      <c r="BC71" s="492">
        <v>67</v>
      </c>
      <c r="BD71" s="492">
        <v>6</v>
      </c>
      <c r="BE71" s="497">
        <f>IF(('Comparison Calculator'!$E$11-BD71)&gt;=0,0,IFERROR(-PPMT($BI$66/12,(BC71-60),($F$1-5)*12,$BI$65),0))</f>
        <v>0</v>
      </c>
      <c r="BF71" s="497">
        <f>IF(('Comparison Calculator'!$E$11-BD71)&gt;=0,$C$1*$BI$66/12,IFERROR(-IPMT($BI$66/12,(BC71-60),($F$1-5)*12,$BI$65,0),0))</f>
        <v>0</v>
      </c>
      <c r="BG71" s="497">
        <f t="shared" si="44"/>
        <v>0</v>
      </c>
      <c r="BH71" s="497">
        <f t="shared" si="31"/>
        <v>1800000</v>
      </c>
      <c r="BI71" s="493"/>
      <c r="BJ71" s="493"/>
      <c r="BK71" s="492">
        <v>67</v>
      </c>
      <c r="BL71" s="492">
        <v>6</v>
      </c>
      <c r="BM71" s="497">
        <f>IF(('Comparison Calculator'!$E$11-BL71)&gt;=0,0,IFERROR(-PPMT($BQ$66/12,(BK71-60),($F$1-5)*12,$BQ$65),0))</f>
        <v>0</v>
      </c>
      <c r="BN71" s="497">
        <f>IF(('Comparison Calculator'!$E$11-BL71)&gt;=0,$C$1*$BQ$66/12,IFERROR(-IPMT($BQ$66/12,(BK71-60),($F$1-5)*12,$BQ$65,0),0))</f>
        <v>0</v>
      </c>
      <c r="BO71" s="497">
        <f t="shared" si="45"/>
        <v>0</v>
      </c>
      <c r="BP71" s="497">
        <f t="shared" si="32"/>
        <v>1800000</v>
      </c>
      <c r="BQ71" s="493"/>
      <c r="BR71" s="493"/>
      <c r="BT71" s="492">
        <v>67</v>
      </c>
      <c r="BU71" s="492">
        <v>6</v>
      </c>
      <c r="BV71" s="497">
        <f>IF(('Comparison Calculator'!$E$11-BU71)&gt;=0,0,IFERROR(-PPMT($BZ$66/12,(BT71-60),($F$1-5)*12,$BZ$65),0))</f>
        <v>0</v>
      </c>
      <c r="BW71" s="497">
        <f>IF(('Comparison Calculator'!$E$11-BU71)&gt;=0,$C$1*$BZ$66/12,IFERROR(-IPMT($BZ$66/12,(BT71-60),($F$1-5)*12,$BZ$65,0),0))</f>
        <v>0</v>
      </c>
      <c r="BX71" s="497">
        <f t="shared" si="46"/>
        <v>0</v>
      </c>
      <c r="BY71" s="497">
        <f t="shared" si="33"/>
        <v>1800000</v>
      </c>
      <c r="BZ71" s="493"/>
      <c r="CA71" s="493"/>
      <c r="CC71" s="492">
        <v>67</v>
      </c>
      <c r="CD71" s="492">
        <v>6</v>
      </c>
      <c r="CE71" s="497">
        <f>IF(('Comparison Calculator'!$E$11-CD71)&gt;=0,0,IFERROR(-PPMT($CI$66/12,(CC71-60),($F$1-5)*12,$CI$65),0))</f>
        <v>0</v>
      </c>
      <c r="CF71" s="497">
        <f>IF(('Comparison Calculator'!$E$11-CD71)&gt;=0,$C$1*$CI$66/12,IFERROR(-IPMT($CI$66/12,(CC71-60),($F$1-5)*12,$CI$65,0),0))</f>
        <v>0</v>
      </c>
      <c r="CG71" s="497">
        <f t="shared" si="47"/>
        <v>0</v>
      </c>
      <c r="CH71" s="497">
        <f t="shared" si="34"/>
        <v>1800000</v>
      </c>
      <c r="CI71" s="493"/>
      <c r="CJ71" s="493"/>
      <c r="CL71" s="492">
        <v>67</v>
      </c>
      <c r="CM71" s="492">
        <v>6</v>
      </c>
      <c r="CN71" s="497">
        <f>IF(('Comparison Calculator'!$E$11-CM71)&gt;=0,0,IFERROR(-PPMT($CR$66/12,(CL71-60),($F$1-5)*12,$CR$65),0))</f>
        <v>0</v>
      </c>
      <c r="CO71" s="497">
        <f>IF(('Comparison Calculator'!$E$11-CM71)&gt;=0,$C$1*$CI$66/12,IFERROR(-IPMT($CI$66/12,(CL71-60),($F$1-5)*12,$CI$65,0),0))</f>
        <v>0</v>
      </c>
      <c r="CP71" s="497">
        <f t="shared" si="48"/>
        <v>0</v>
      </c>
      <c r="CQ71" s="497">
        <f t="shared" si="35"/>
        <v>1800000</v>
      </c>
      <c r="CR71" s="493"/>
      <c r="CS71" s="493"/>
      <c r="CU71" s="492">
        <v>67</v>
      </c>
      <c r="CV71" s="492">
        <v>6</v>
      </c>
      <c r="CW71" s="497">
        <f>IF(('Comparison Calculator'!$E$11-CV71)&gt;=0,0,IFERROR(-PPMT($DA$66/12,(CU71-60),($F$1-5)*12,$DA$65),0))</f>
        <v>0</v>
      </c>
      <c r="CX71" s="497">
        <f>IF(('Comparison Calculator'!$E$11-CV71)&gt;=0,$C$1*$DA$66/12,IFERROR(-IPMT($DA$66/12,(CU71-60),($F$1-5)*12,$DA$65,0),0))</f>
        <v>0</v>
      </c>
      <c r="CY71" s="497">
        <f t="shared" si="49"/>
        <v>0</v>
      </c>
      <c r="CZ71" s="497">
        <f t="shared" si="36"/>
        <v>1800000</v>
      </c>
      <c r="DA71" s="493"/>
      <c r="DB71" s="493"/>
      <c r="DD71" s="492">
        <v>67</v>
      </c>
      <c r="DE71" s="492">
        <v>6</v>
      </c>
      <c r="DF71" s="497">
        <f>IF(('Comparison Calculator'!$E$11-DE71)&gt;=0,0,IFERROR(-PPMT($DJ$66/12,(DD71-60),($F$1-5)*12,$DJ$65),0))</f>
        <v>0</v>
      </c>
      <c r="DG71" s="497">
        <f>IF(('Comparison Calculator'!$E$11-DE71)&gt;=0,$C$1*$DJ$66/12,IFERROR(-IPMT($DJ$66/12,(DD71-60),($F$1-5)*12,$DJ$65,0),0))</f>
        <v>0</v>
      </c>
      <c r="DH71" s="497">
        <f t="shared" si="50"/>
        <v>0</v>
      </c>
      <c r="DI71" s="497">
        <f t="shared" si="37"/>
        <v>1800000</v>
      </c>
      <c r="DJ71" s="493"/>
      <c r="DK71" s="493"/>
    </row>
    <row r="72" spans="1:115">
      <c r="A72" s="492">
        <v>68</v>
      </c>
      <c r="B72" s="492">
        <v>6</v>
      </c>
      <c r="C72" s="497">
        <f>IF(('Comparison Calculator'!$E$11-B72)&gt;=0,0,IFERROR(-PPMT($G$66/12,(A72-60),($F$1-5)*12,$G$65),0))</f>
        <v>0</v>
      </c>
      <c r="D72" s="497">
        <f>IF(('Comparison Calculator'!$E$11-B72)&gt;=0,$C$1*$G$66/12,IFERROR(-IPMT($G$66/12,(A72-60),($F$1-5)*12,$G$65,0),0))</f>
        <v>0</v>
      </c>
      <c r="E72" s="497">
        <f t="shared" si="38"/>
        <v>0</v>
      </c>
      <c r="F72" s="497">
        <f t="shared" si="51"/>
        <v>1800000</v>
      </c>
      <c r="G72" s="493"/>
      <c r="H72" s="493"/>
      <c r="I72" s="489"/>
      <c r="J72" s="492">
        <v>68</v>
      </c>
      <c r="K72" s="492">
        <v>6</v>
      </c>
      <c r="L72" s="497">
        <f>IF(('Comparison Calculator'!$E$11-K72)&gt;=0,0,IFERROR(-PPMT($P$66/12,(J72-60),($F$1-5)*12,$P$65),0))</f>
        <v>0</v>
      </c>
      <c r="M72" s="497">
        <f>IF(('Comparison Calculator'!$E$11-K72)&gt;=0,$C$1*$P$66/12,IFERROR(-IPMT($P$66/12,(J72-60),($F$1-5)*12,$P$65,0),0))</f>
        <v>0</v>
      </c>
      <c r="N72" s="497">
        <f t="shared" si="39"/>
        <v>0</v>
      </c>
      <c r="O72" s="497">
        <f t="shared" si="26"/>
        <v>1800000</v>
      </c>
      <c r="P72" s="493"/>
      <c r="Q72" s="493"/>
      <c r="S72" s="492">
        <v>68</v>
      </c>
      <c r="T72" s="492">
        <v>6</v>
      </c>
      <c r="U72" s="497">
        <f>IF(('Comparison Calculator'!$E$11-T72)&gt;=0,0,IFERROR(-PPMT($Y$66/12,(S72-60),($F$1-5)*12,$Y$65),0))</f>
        <v>0</v>
      </c>
      <c r="V72" s="497">
        <f>IF(('Comparison Calculator'!$E$11-T72)&gt;=0,$C$1*$Y$66/12,IFERROR(-IPMT($Y$66/12,(S72-60),($F$1-5)*12,$Y$65,0),0))</f>
        <v>0</v>
      </c>
      <c r="W72" s="497">
        <f t="shared" si="40"/>
        <v>0</v>
      </c>
      <c r="X72" s="497">
        <f t="shared" si="27"/>
        <v>1800000</v>
      </c>
      <c r="Y72" s="493"/>
      <c r="Z72" s="493"/>
      <c r="AB72" s="492">
        <v>68</v>
      </c>
      <c r="AC72" s="492">
        <v>6</v>
      </c>
      <c r="AD72" s="497">
        <f>IF(('Comparison Calculator'!$E$11-AC72)&gt;=0,0,IFERROR(-PPMT($AH$66/12,(AB72-60),($F$1-5)*12,$AH$65),0))</f>
        <v>0</v>
      </c>
      <c r="AE72" s="497">
        <f>IF(('Comparison Calculator'!$E$11-AC72)&gt;=0,$C$1*$AH$66/12,IFERROR(-IPMT($AH$66/12,(AB72-60),($F$1-5)*12,$AH$65,0),0))</f>
        <v>0</v>
      </c>
      <c r="AF72" s="497">
        <f t="shared" si="41"/>
        <v>0</v>
      </c>
      <c r="AG72" s="497">
        <f t="shared" si="28"/>
        <v>1800000</v>
      </c>
      <c r="AH72" s="493"/>
      <c r="AI72" s="493"/>
      <c r="AK72" s="492">
        <v>68</v>
      </c>
      <c r="AL72" s="492">
        <v>6</v>
      </c>
      <c r="AM72" s="497">
        <f>IF(('Comparison Calculator'!$E$11-AL72)&gt;=0,0,IFERROR(-PPMT($AQ$66/12,(AK72-60),($F$1-5)*12,$AQ$65),0))</f>
        <v>0</v>
      </c>
      <c r="AN72" s="497">
        <f>IF(('Comparison Calculator'!$E$11-AL72)&gt;=0,$C$1*$AQ$66/12,IFERROR(-IPMT($AQ$66/12,(AK72-60),($F$1-5)*12,$AQ$65,0),0))</f>
        <v>0</v>
      </c>
      <c r="AO72" s="497">
        <f t="shared" si="42"/>
        <v>0</v>
      </c>
      <c r="AP72" s="497">
        <f t="shared" si="29"/>
        <v>1800000</v>
      </c>
      <c r="AQ72" s="493"/>
      <c r="AR72" s="493"/>
      <c r="AT72" s="492">
        <v>68</v>
      </c>
      <c r="AU72" s="492">
        <v>6</v>
      </c>
      <c r="AV72" s="497">
        <f>IF(('Comparison Calculator'!$E$11-AU72)&gt;=0,0,IFERROR(-PPMT($AZ$66/12,(AT72-60),($F$1-5)*12,$AZ$65),0))</f>
        <v>0</v>
      </c>
      <c r="AW72" s="497">
        <f>IF(('Comparison Calculator'!$E$11-AU72)&gt;=0,$C$1*$AZ$66/12,IFERROR(-IPMT($AZ$66/12,(AT72-60),($F$1-5)*12,$AZ$65,0),0))</f>
        <v>0</v>
      </c>
      <c r="AX72" s="497">
        <f t="shared" si="43"/>
        <v>0</v>
      </c>
      <c r="AY72" s="497">
        <f t="shared" si="30"/>
        <v>1800000</v>
      </c>
      <c r="AZ72" s="493"/>
      <c r="BA72" s="493"/>
      <c r="BC72" s="492">
        <v>68</v>
      </c>
      <c r="BD72" s="492">
        <v>6</v>
      </c>
      <c r="BE72" s="497">
        <f>IF(('Comparison Calculator'!$E$11-BD72)&gt;=0,0,IFERROR(-PPMT($BI$66/12,(BC72-60),($F$1-5)*12,$BI$65),0))</f>
        <v>0</v>
      </c>
      <c r="BF72" s="497">
        <f>IF(('Comparison Calculator'!$E$11-BD72)&gt;=0,$C$1*$BI$66/12,IFERROR(-IPMT($BI$66/12,(BC72-60),($F$1-5)*12,$BI$65,0),0))</f>
        <v>0</v>
      </c>
      <c r="BG72" s="497">
        <f t="shared" si="44"/>
        <v>0</v>
      </c>
      <c r="BH72" s="497">
        <f t="shared" si="31"/>
        <v>1800000</v>
      </c>
      <c r="BI72" s="493"/>
      <c r="BJ72" s="493"/>
      <c r="BK72" s="492">
        <v>68</v>
      </c>
      <c r="BL72" s="492">
        <v>6</v>
      </c>
      <c r="BM72" s="497">
        <f>IF(('Comparison Calculator'!$E$11-BL72)&gt;=0,0,IFERROR(-PPMT($BQ$66/12,(BK72-60),($F$1-5)*12,$BQ$65),0))</f>
        <v>0</v>
      </c>
      <c r="BN72" s="497">
        <f>IF(('Comparison Calculator'!$E$11-BL72)&gt;=0,$C$1*$BQ$66/12,IFERROR(-IPMT($BQ$66/12,(BK72-60),($F$1-5)*12,$BQ$65,0),0))</f>
        <v>0</v>
      </c>
      <c r="BO72" s="497">
        <f t="shared" si="45"/>
        <v>0</v>
      </c>
      <c r="BP72" s="497">
        <f t="shared" si="32"/>
        <v>1800000</v>
      </c>
      <c r="BQ72" s="493"/>
      <c r="BR72" s="493"/>
      <c r="BT72" s="492">
        <v>68</v>
      </c>
      <c r="BU72" s="492">
        <v>6</v>
      </c>
      <c r="BV72" s="497">
        <f>IF(('Comparison Calculator'!$E$11-BU72)&gt;=0,0,IFERROR(-PPMT($BZ$66/12,(BT72-60),($F$1-5)*12,$BZ$65),0))</f>
        <v>0</v>
      </c>
      <c r="BW72" s="497">
        <f>IF(('Comparison Calculator'!$E$11-BU72)&gt;=0,$C$1*$BZ$66/12,IFERROR(-IPMT($BZ$66/12,(BT72-60),($F$1-5)*12,$BZ$65,0),0))</f>
        <v>0</v>
      </c>
      <c r="BX72" s="497">
        <f t="shared" si="46"/>
        <v>0</v>
      </c>
      <c r="BY72" s="497">
        <f t="shared" si="33"/>
        <v>1800000</v>
      </c>
      <c r="BZ72" s="493"/>
      <c r="CA72" s="493"/>
      <c r="CC72" s="492">
        <v>68</v>
      </c>
      <c r="CD72" s="492">
        <v>6</v>
      </c>
      <c r="CE72" s="497">
        <f>IF(('Comparison Calculator'!$E$11-CD72)&gt;=0,0,IFERROR(-PPMT($CI$66/12,(CC72-60),($F$1-5)*12,$CI$65),0))</f>
        <v>0</v>
      </c>
      <c r="CF72" s="497">
        <f>IF(('Comparison Calculator'!$E$11-CD72)&gt;=0,$C$1*$CI$66/12,IFERROR(-IPMT($CI$66/12,(CC72-60),($F$1-5)*12,$CI$65,0),0))</f>
        <v>0</v>
      </c>
      <c r="CG72" s="497">
        <f t="shared" si="47"/>
        <v>0</v>
      </c>
      <c r="CH72" s="497">
        <f t="shared" si="34"/>
        <v>1800000</v>
      </c>
      <c r="CI72" s="493"/>
      <c r="CJ72" s="493"/>
      <c r="CL72" s="492">
        <v>68</v>
      </c>
      <c r="CM72" s="492">
        <v>6</v>
      </c>
      <c r="CN72" s="497">
        <f>IF(('Comparison Calculator'!$E$11-CM72)&gt;=0,0,IFERROR(-PPMT($CR$66/12,(CL72-60),($F$1-5)*12,$CR$65),0))</f>
        <v>0</v>
      </c>
      <c r="CO72" s="497">
        <f>IF(('Comparison Calculator'!$E$11-CM72)&gt;=0,$C$1*$CI$66/12,IFERROR(-IPMT($CI$66/12,(CL72-60),($F$1-5)*12,$CI$65,0),0))</f>
        <v>0</v>
      </c>
      <c r="CP72" s="497">
        <f t="shared" si="48"/>
        <v>0</v>
      </c>
      <c r="CQ72" s="497">
        <f t="shared" si="35"/>
        <v>1800000</v>
      </c>
      <c r="CR72" s="493"/>
      <c r="CS72" s="493"/>
      <c r="CU72" s="492">
        <v>68</v>
      </c>
      <c r="CV72" s="492">
        <v>6</v>
      </c>
      <c r="CW72" s="497">
        <f>IF(('Comparison Calculator'!$E$11-CV72)&gt;=0,0,IFERROR(-PPMT($DA$66/12,(CU72-60),($F$1-5)*12,$DA$65),0))</f>
        <v>0</v>
      </c>
      <c r="CX72" s="497">
        <f>IF(('Comparison Calculator'!$E$11-CV72)&gt;=0,$C$1*$DA$66/12,IFERROR(-IPMT($DA$66/12,(CU72-60),($F$1-5)*12,$DA$65,0),0))</f>
        <v>0</v>
      </c>
      <c r="CY72" s="497">
        <f t="shared" si="49"/>
        <v>0</v>
      </c>
      <c r="CZ72" s="497">
        <f t="shared" si="36"/>
        <v>1800000</v>
      </c>
      <c r="DA72" s="493"/>
      <c r="DB72" s="493"/>
      <c r="DD72" s="492">
        <v>68</v>
      </c>
      <c r="DE72" s="492">
        <v>6</v>
      </c>
      <c r="DF72" s="497">
        <f>IF(('Comparison Calculator'!$E$11-DE72)&gt;=0,0,IFERROR(-PPMT($DJ$66/12,(DD72-60),($F$1-5)*12,$DJ$65),0))</f>
        <v>0</v>
      </c>
      <c r="DG72" s="497">
        <f>IF(('Comparison Calculator'!$E$11-DE72)&gt;=0,$C$1*$DJ$66/12,IFERROR(-IPMT($DJ$66/12,(DD72-60),($F$1-5)*12,$DJ$65,0),0))</f>
        <v>0</v>
      </c>
      <c r="DH72" s="497">
        <f t="shared" si="50"/>
        <v>0</v>
      </c>
      <c r="DI72" s="497">
        <f t="shared" si="37"/>
        <v>1800000</v>
      </c>
      <c r="DJ72" s="493"/>
      <c r="DK72" s="493"/>
    </row>
    <row r="73" spans="1:115">
      <c r="A73" s="492">
        <v>69</v>
      </c>
      <c r="B73" s="492">
        <v>6</v>
      </c>
      <c r="C73" s="497">
        <f>IF(('Comparison Calculator'!$E$11-B73)&gt;=0,0,IFERROR(-PPMT($G$66/12,(A73-60),($F$1-5)*12,$G$65),0))</f>
        <v>0</v>
      </c>
      <c r="D73" s="497">
        <f>IF(('Comparison Calculator'!$E$11-B73)&gt;=0,$C$1*$G$66/12,IFERROR(-IPMT($G$66/12,(A73-60),($F$1-5)*12,$G$65,0),0))</f>
        <v>0</v>
      </c>
      <c r="E73" s="497">
        <f t="shared" si="38"/>
        <v>0</v>
      </c>
      <c r="F73" s="497">
        <f t="shared" si="51"/>
        <v>1800000</v>
      </c>
      <c r="G73" s="493"/>
      <c r="H73" s="493"/>
      <c r="I73" s="489"/>
      <c r="J73" s="492">
        <v>69</v>
      </c>
      <c r="K73" s="492">
        <v>6</v>
      </c>
      <c r="L73" s="497">
        <f>IF(('Comparison Calculator'!$E$11-K73)&gt;=0,0,IFERROR(-PPMT($P$66/12,(J73-60),($F$1-5)*12,$P$65),0))</f>
        <v>0</v>
      </c>
      <c r="M73" s="497">
        <f>IF(('Comparison Calculator'!$E$11-K73)&gt;=0,$C$1*$P$66/12,IFERROR(-IPMT($P$66/12,(J73-60),($F$1-5)*12,$P$65,0),0))</f>
        <v>0</v>
      </c>
      <c r="N73" s="497">
        <f t="shared" si="39"/>
        <v>0</v>
      </c>
      <c r="O73" s="497">
        <f t="shared" si="26"/>
        <v>1800000</v>
      </c>
      <c r="P73" s="493"/>
      <c r="Q73" s="493"/>
      <c r="S73" s="492">
        <v>69</v>
      </c>
      <c r="T73" s="492">
        <v>6</v>
      </c>
      <c r="U73" s="497">
        <f>IF(('Comparison Calculator'!$E$11-T73)&gt;=0,0,IFERROR(-PPMT($Y$66/12,(S73-60),($F$1-5)*12,$Y$65),0))</f>
        <v>0</v>
      </c>
      <c r="V73" s="497">
        <f>IF(('Comparison Calculator'!$E$11-T73)&gt;=0,$C$1*$Y$66/12,IFERROR(-IPMT($Y$66/12,(S73-60),($F$1-5)*12,$Y$65,0),0))</f>
        <v>0</v>
      </c>
      <c r="W73" s="497">
        <f t="shared" si="40"/>
        <v>0</v>
      </c>
      <c r="X73" s="497">
        <f t="shared" si="27"/>
        <v>1800000</v>
      </c>
      <c r="Y73" s="493"/>
      <c r="Z73" s="493"/>
      <c r="AB73" s="492">
        <v>69</v>
      </c>
      <c r="AC73" s="492">
        <v>6</v>
      </c>
      <c r="AD73" s="497">
        <f>IF(('Comparison Calculator'!$E$11-AC73)&gt;=0,0,IFERROR(-PPMT($AH$66/12,(AB73-60),($F$1-5)*12,$AH$65),0))</f>
        <v>0</v>
      </c>
      <c r="AE73" s="497">
        <f>IF(('Comparison Calculator'!$E$11-AC73)&gt;=0,$C$1*$AH$66/12,IFERROR(-IPMT($AH$66/12,(AB73-60),($F$1-5)*12,$AH$65,0),0))</f>
        <v>0</v>
      </c>
      <c r="AF73" s="497">
        <f t="shared" si="41"/>
        <v>0</v>
      </c>
      <c r="AG73" s="497">
        <f t="shared" si="28"/>
        <v>1800000</v>
      </c>
      <c r="AH73" s="493"/>
      <c r="AI73" s="493"/>
      <c r="AK73" s="492">
        <v>69</v>
      </c>
      <c r="AL73" s="492">
        <v>6</v>
      </c>
      <c r="AM73" s="497">
        <f>IF(('Comparison Calculator'!$E$11-AL73)&gt;=0,0,IFERROR(-PPMT($AQ$66/12,(AK73-60),($F$1-5)*12,$AQ$65),0))</f>
        <v>0</v>
      </c>
      <c r="AN73" s="497">
        <f>IF(('Comparison Calculator'!$E$11-AL73)&gt;=0,$C$1*$AQ$66/12,IFERROR(-IPMT($AQ$66/12,(AK73-60),($F$1-5)*12,$AQ$65,0),0))</f>
        <v>0</v>
      </c>
      <c r="AO73" s="497">
        <f t="shared" si="42"/>
        <v>0</v>
      </c>
      <c r="AP73" s="497">
        <f t="shared" si="29"/>
        <v>1800000</v>
      </c>
      <c r="AQ73" s="493"/>
      <c r="AR73" s="493"/>
      <c r="AT73" s="492">
        <v>69</v>
      </c>
      <c r="AU73" s="492">
        <v>6</v>
      </c>
      <c r="AV73" s="497">
        <f>IF(('Comparison Calculator'!$E$11-AU73)&gt;=0,0,IFERROR(-PPMT($AZ$66/12,(AT73-60),($F$1-5)*12,$AZ$65),0))</f>
        <v>0</v>
      </c>
      <c r="AW73" s="497">
        <f>IF(('Comparison Calculator'!$E$11-AU73)&gt;=0,$C$1*$AZ$66/12,IFERROR(-IPMT($AZ$66/12,(AT73-60),($F$1-5)*12,$AZ$65,0),0))</f>
        <v>0</v>
      </c>
      <c r="AX73" s="497">
        <f t="shared" si="43"/>
        <v>0</v>
      </c>
      <c r="AY73" s="497">
        <f t="shared" si="30"/>
        <v>1800000</v>
      </c>
      <c r="AZ73" s="493"/>
      <c r="BA73" s="493"/>
      <c r="BC73" s="492">
        <v>69</v>
      </c>
      <c r="BD73" s="492">
        <v>6</v>
      </c>
      <c r="BE73" s="497">
        <f>IF(('Comparison Calculator'!$E$11-BD73)&gt;=0,0,IFERROR(-PPMT($BI$66/12,(BC73-60),($F$1-5)*12,$BI$65),0))</f>
        <v>0</v>
      </c>
      <c r="BF73" s="497">
        <f>IF(('Comparison Calculator'!$E$11-BD73)&gt;=0,$C$1*$BI$66/12,IFERROR(-IPMT($BI$66/12,(BC73-60),($F$1-5)*12,$BI$65,0),0))</f>
        <v>0</v>
      </c>
      <c r="BG73" s="497">
        <f t="shared" si="44"/>
        <v>0</v>
      </c>
      <c r="BH73" s="497">
        <f t="shared" si="31"/>
        <v>1800000</v>
      </c>
      <c r="BI73" s="493"/>
      <c r="BJ73" s="493"/>
      <c r="BK73" s="492">
        <v>69</v>
      </c>
      <c r="BL73" s="492">
        <v>6</v>
      </c>
      <c r="BM73" s="497">
        <f>IF(('Comparison Calculator'!$E$11-BL73)&gt;=0,0,IFERROR(-PPMT($BQ$66/12,(BK73-60),($F$1-5)*12,$BQ$65),0))</f>
        <v>0</v>
      </c>
      <c r="BN73" s="497">
        <f>IF(('Comparison Calculator'!$E$11-BL73)&gt;=0,$C$1*$BQ$66/12,IFERROR(-IPMT($BQ$66/12,(BK73-60),($F$1-5)*12,$BQ$65,0),0))</f>
        <v>0</v>
      </c>
      <c r="BO73" s="497">
        <f t="shared" si="45"/>
        <v>0</v>
      </c>
      <c r="BP73" s="497">
        <f t="shared" si="32"/>
        <v>1800000</v>
      </c>
      <c r="BQ73" s="493"/>
      <c r="BR73" s="493"/>
      <c r="BT73" s="492">
        <v>69</v>
      </c>
      <c r="BU73" s="492">
        <v>6</v>
      </c>
      <c r="BV73" s="497">
        <f>IF(('Comparison Calculator'!$E$11-BU73)&gt;=0,0,IFERROR(-PPMT($BZ$66/12,(BT73-60),($F$1-5)*12,$BZ$65),0))</f>
        <v>0</v>
      </c>
      <c r="BW73" s="497">
        <f>IF(('Comparison Calculator'!$E$11-BU73)&gt;=0,$C$1*$BZ$66/12,IFERROR(-IPMT($BZ$66/12,(BT73-60),($F$1-5)*12,$BZ$65,0),0))</f>
        <v>0</v>
      </c>
      <c r="BX73" s="497">
        <f t="shared" si="46"/>
        <v>0</v>
      </c>
      <c r="BY73" s="497">
        <f t="shared" si="33"/>
        <v>1800000</v>
      </c>
      <c r="BZ73" s="493"/>
      <c r="CA73" s="493"/>
      <c r="CC73" s="492">
        <v>69</v>
      </c>
      <c r="CD73" s="492">
        <v>6</v>
      </c>
      <c r="CE73" s="497">
        <f>IF(('Comparison Calculator'!$E$11-CD73)&gt;=0,0,IFERROR(-PPMT($CI$66/12,(CC73-60),($F$1-5)*12,$CI$65),0))</f>
        <v>0</v>
      </c>
      <c r="CF73" s="497">
        <f>IF(('Comparison Calculator'!$E$11-CD73)&gt;=0,$C$1*$CI$66/12,IFERROR(-IPMT($CI$66/12,(CC73-60),($F$1-5)*12,$CI$65,0),0))</f>
        <v>0</v>
      </c>
      <c r="CG73" s="497">
        <f t="shared" si="47"/>
        <v>0</v>
      </c>
      <c r="CH73" s="497">
        <f t="shared" si="34"/>
        <v>1800000</v>
      </c>
      <c r="CI73" s="493"/>
      <c r="CJ73" s="493"/>
      <c r="CL73" s="492">
        <v>69</v>
      </c>
      <c r="CM73" s="492">
        <v>6</v>
      </c>
      <c r="CN73" s="497">
        <f>IF(('Comparison Calculator'!$E$11-CM73)&gt;=0,0,IFERROR(-PPMT($CR$66/12,(CL73-60),($F$1-5)*12,$CR$65),0))</f>
        <v>0</v>
      </c>
      <c r="CO73" s="497">
        <f>IF(('Comparison Calculator'!$E$11-CM73)&gt;=0,$C$1*$CI$66/12,IFERROR(-IPMT($CI$66/12,(CL73-60),($F$1-5)*12,$CI$65,0),0))</f>
        <v>0</v>
      </c>
      <c r="CP73" s="497">
        <f t="shared" si="48"/>
        <v>0</v>
      </c>
      <c r="CQ73" s="497">
        <f t="shared" si="35"/>
        <v>1800000</v>
      </c>
      <c r="CR73" s="493"/>
      <c r="CS73" s="493"/>
      <c r="CU73" s="492">
        <v>69</v>
      </c>
      <c r="CV73" s="492">
        <v>6</v>
      </c>
      <c r="CW73" s="497">
        <f>IF(('Comparison Calculator'!$E$11-CV73)&gt;=0,0,IFERROR(-PPMT($DA$66/12,(CU73-60),($F$1-5)*12,$DA$65),0))</f>
        <v>0</v>
      </c>
      <c r="CX73" s="497">
        <f>IF(('Comparison Calculator'!$E$11-CV73)&gt;=0,$C$1*$DA$66/12,IFERROR(-IPMT($DA$66/12,(CU73-60),($F$1-5)*12,$DA$65,0),0))</f>
        <v>0</v>
      </c>
      <c r="CY73" s="497">
        <f t="shared" si="49"/>
        <v>0</v>
      </c>
      <c r="CZ73" s="497">
        <f t="shared" si="36"/>
        <v>1800000</v>
      </c>
      <c r="DA73" s="493"/>
      <c r="DB73" s="493"/>
      <c r="DD73" s="492">
        <v>69</v>
      </c>
      <c r="DE73" s="492">
        <v>6</v>
      </c>
      <c r="DF73" s="497">
        <f>IF(('Comparison Calculator'!$E$11-DE73)&gt;=0,0,IFERROR(-PPMT($DJ$66/12,(DD73-60),($F$1-5)*12,$DJ$65),0))</f>
        <v>0</v>
      </c>
      <c r="DG73" s="497">
        <f>IF(('Comparison Calculator'!$E$11-DE73)&gt;=0,$C$1*$DJ$66/12,IFERROR(-IPMT($DJ$66/12,(DD73-60),($F$1-5)*12,$DJ$65,0),0))</f>
        <v>0</v>
      </c>
      <c r="DH73" s="497">
        <f t="shared" si="50"/>
        <v>0</v>
      </c>
      <c r="DI73" s="497">
        <f t="shared" si="37"/>
        <v>1800000</v>
      </c>
      <c r="DJ73" s="493"/>
      <c r="DK73" s="493"/>
    </row>
    <row r="74" spans="1:115">
      <c r="A74" s="492">
        <v>70</v>
      </c>
      <c r="B74" s="492">
        <v>6</v>
      </c>
      <c r="C74" s="497">
        <f>IF(('Comparison Calculator'!$E$11-B74)&gt;=0,0,IFERROR(-PPMT($G$66/12,(A74-60),($F$1-5)*12,$G$65),0))</f>
        <v>0</v>
      </c>
      <c r="D74" s="497">
        <f>IF(('Comparison Calculator'!$E$11-B74)&gt;=0,$C$1*$G$66/12,IFERROR(-IPMT($G$66/12,(A74-60),($F$1-5)*12,$G$65,0),0))</f>
        <v>0</v>
      </c>
      <c r="E74" s="497">
        <f t="shared" si="38"/>
        <v>0</v>
      </c>
      <c r="F74" s="497">
        <f t="shared" si="51"/>
        <v>1800000</v>
      </c>
      <c r="G74" s="493"/>
      <c r="H74" s="493"/>
      <c r="I74" s="489"/>
      <c r="J74" s="492">
        <v>70</v>
      </c>
      <c r="K74" s="492">
        <v>6</v>
      </c>
      <c r="L74" s="497">
        <f>IF(('Comparison Calculator'!$E$11-K74)&gt;=0,0,IFERROR(-PPMT($P$66/12,(J74-60),($F$1-5)*12,$P$65),0))</f>
        <v>0</v>
      </c>
      <c r="M74" s="497">
        <f>IF(('Comparison Calculator'!$E$11-K74)&gt;=0,$C$1*$P$66/12,IFERROR(-IPMT($P$66/12,(J74-60),($F$1-5)*12,$P$65,0),0))</f>
        <v>0</v>
      </c>
      <c r="N74" s="497">
        <f t="shared" si="39"/>
        <v>0</v>
      </c>
      <c r="O74" s="497">
        <f t="shared" si="26"/>
        <v>1800000</v>
      </c>
      <c r="P74" s="493"/>
      <c r="Q74" s="493"/>
      <c r="S74" s="492">
        <v>70</v>
      </c>
      <c r="T74" s="492">
        <v>6</v>
      </c>
      <c r="U74" s="497">
        <f>IF(('Comparison Calculator'!$E$11-T74)&gt;=0,0,IFERROR(-PPMT($Y$66/12,(S74-60),($F$1-5)*12,$Y$65),0))</f>
        <v>0</v>
      </c>
      <c r="V74" s="497">
        <f>IF(('Comparison Calculator'!$E$11-T74)&gt;=0,$C$1*$Y$66/12,IFERROR(-IPMT($Y$66/12,(S74-60),($F$1-5)*12,$Y$65,0),0))</f>
        <v>0</v>
      </c>
      <c r="W74" s="497">
        <f t="shared" si="40"/>
        <v>0</v>
      </c>
      <c r="X74" s="497">
        <f t="shared" si="27"/>
        <v>1800000</v>
      </c>
      <c r="Y74" s="493"/>
      <c r="Z74" s="493"/>
      <c r="AB74" s="492">
        <v>70</v>
      </c>
      <c r="AC74" s="492">
        <v>6</v>
      </c>
      <c r="AD74" s="497">
        <f>IF(('Comparison Calculator'!$E$11-AC74)&gt;=0,0,IFERROR(-PPMT($AH$66/12,(AB74-60),($F$1-5)*12,$AH$65),0))</f>
        <v>0</v>
      </c>
      <c r="AE74" s="497">
        <f>IF(('Comparison Calculator'!$E$11-AC74)&gt;=0,$C$1*$AH$66/12,IFERROR(-IPMT($AH$66/12,(AB74-60),($F$1-5)*12,$AH$65,0),0))</f>
        <v>0</v>
      </c>
      <c r="AF74" s="497">
        <f t="shared" si="41"/>
        <v>0</v>
      </c>
      <c r="AG74" s="497">
        <f t="shared" si="28"/>
        <v>1800000</v>
      </c>
      <c r="AH74" s="493"/>
      <c r="AI74" s="493"/>
      <c r="AK74" s="492">
        <v>70</v>
      </c>
      <c r="AL74" s="492">
        <v>6</v>
      </c>
      <c r="AM74" s="497">
        <f>IF(('Comparison Calculator'!$E$11-AL74)&gt;=0,0,IFERROR(-PPMT($AQ$66/12,(AK74-60),($F$1-5)*12,$AQ$65),0))</f>
        <v>0</v>
      </c>
      <c r="AN74" s="497">
        <f>IF(('Comparison Calculator'!$E$11-AL74)&gt;=0,$C$1*$AQ$66/12,IFERROR(-IPMT($AQ$66/12,(AK74-60),($F$1-5)*12,$AQ$65,0),0))</f>
        <v>0</v>
      </c>
      <c r="AO74" s="497">
        <f t="shared" si="42"/>
        <v>0</v>
      </c>
      <c r="AP74" s="497">
        <f t="shared" si="29"/>
        <v>1800000</v>
      </c>
      <c r="AQ74" s="493"/>
      <c r="AR74" s="493"/>
      <c r="AT74" s="492">
        <v>70</v>
      </c>
      <c r="AU74" s="492">
        <v>6</v>
      </c>
      <c r="AV74" s="497">
        <f>IF(('Comparison Calculator'!$E$11-AU74)&gt;=0,0,IFERROR(-PPMT($AZ$66/12,(AT74-60),($F$1-5)*12,$AZ$65),0))</f>
        <v>0</v>
      </c>
      <c r="AW74" s="497">
        <f>IF(('Comparison Calculator'!$E$11-AU74)&gt;=0,$C$1*$AZ$66/12,IFERROR(-IPMT($AZ$66/12,(AT74-60),($F$1-5)*12,$AZ$65,0),0))</f>
        <v>0</v>
      </c>
      <c r="AX74" s="497">
        <f t="shared" si="43"/>
        <v>0</v>
      </c>
      <c r="AY74" s="497">
        <f t="shared" si="30"/>
        <v>1800000</v>
      </c>
      <c r="AZ74" s="493"/>
      <c r="BA74" s="493"/>
      <c r="BC74" s="492">
        <v>70</v>
      </c>
      <c r="BD74" s="492">
        <v>6</v>
      </c>
      <c r="BE74" s="497">
        <f>IF(('Comparison Calculator'!$E$11-BD74)&gt;=0,0,IFERROR(-PPMT($BI$66/12,(BC74-60),($F$1-5)*12,$BI$65),0))</f>
        <v>0</v>
      </c>
      <c r="BF74" s="497">
        <f>IF(('Comparison Calculator'!$E$11-BD74)&gt;=0,$C$1*$BI$66/12,IFERROR(-IPMT($BI$66/12,(BC74-60),($F$1-5)*12,$BI$65,0),0))</f>
        <v>0</v>
      </c>
      <c r="BG74" s="497">
        <f t="shared" si="44"/>
        <v>0</v>
      </c>
      <c r="BH74" s="497">
        <f t="shared" si="31"/>
        <v>1800000</v>
      </c>
      <c r="BI74" s="493"/>
      <c r="BJ74" s="493"/>
      <c r="BK74" s="492">
        <v>70</v>
      </c>
      <c r="BL74" s="492">
        <v>6</v>
      </c>
      <c r="BM74" s="497">
        <f>IF(('Comparison Calculator'!$E$11-BL74)&gt;=0,0,IFERROR(-PPMT($BQ$66/12,(BK74-60),($F$1-5)*12,$BQ$65),0))</f>
        <v>0</v>
      </c>
      <c r="BN74" s="497">
        <f>IF(('Comparison Calculator'!$E$11-BL74)&gt;=0,$C$1*$BQ$66/12,IFERROR(-IPMT($BQ$66/12,(BK74-60),($F$1-5)*12,$BQ$65,0),0))</f>
        <v>0</v>
      </c>
      <c r="BO74" s="497">
        <f t="shared" si="45"/>
        <v>0</v>
      </c>
      <c r="BP74" s="497">
        <f t="shared" si="32"/>
        <v>1800000</v>
      </c>
      <c r="BQ74" s="493"/>
      <c r="BR74" s="493"/>
      <c r="BT74" s="492">
        <v>70</v>
      </c>
      <c r="BU74" s="492">
        <v>6</v>
      </c>
      <c r="BV74" s="497">
        <f>IF(('Comparison Calculator'!$E$11-BU74)&gt;=0,0,IFERROR(-PPMT($BZ$66/12,(BT74-60),($F$1-5)*12,$BZ$65),0))</f>
        <v>0</v>
      </c>
      <c r="BW74" s="497">
        <f>IF(('Comparison Calculator'!$E$11-BU74)&gt;=0,$C$1*$BZ$66/12,IFERROR(-IPMT($BZ$66/12,(BT74-60),($F$1-5)*12,$BZ$65,0),0))</f>
        <v>0</v>
      </c>
      <c r="BX74" s="497">
        <f t="shared" si="46"/>
        <v>0</v>
      </c>
      <c r="BY74" s="497">
        <f t="shared" si="33"/>
        <v>1800000</v>
      </c>
      <c r="BZ74" s="493"/>
      <c r="CA74" s="493"/>
      <c r="CC74" s="492">
        <v>70</v>
      </c>
      <c r="CD74" s="492">
        <v>6</v>
      </c>
      <c r="CE74" s="497">
        <f>IF(('Comparison Calculator'!$E$11-CD74)&gt;=0,0,IFERROR(-PPMT($CI$66/12,(CC74-60),($F$1-5)*12,$CI$65),0))</f>
        <v>0</v>
      </c>
      <c r="CF74" s="497">
        <f>IF(('Comparison Calculator'!$E$11-CD74)&gt;=0,$C$1*$CI$66/12,IFERROR(-IPMT($CI$66/12,(CC74-60),($F$1-5)*12,$CI$65,0),0))</f>
        <v>0</v>
      </c>
      <c r="CG74" s="497">
        <f t="shared" si="47"/>
        <v>0</v>
      </c>
      <c r="CH74" s="497">
        <f t="shared" si="34"/>
        <v>1800000</v>
      </c>
      <c r="CI74" s="493"/>
      <c r="CJ74" s="493"/>
      <c r="CL74" s="492">
        <v>70</v>
      </c>
      <c r="CM74" s="492">
        <v>6</v>
      </c>
      <c r="CN74" s="497">
        <f>IF(('Comparison Calculator'!$E$11-CM74)&gt;=0,0,IFERROR(-PPMT($CR$66/12,(CL74-60),($F$1-5)*12,$CR$65),0))</f>
        <v>0</v>
      </c>
      <c r="CO74" s="497">
        <f>IF(('Comparison Calculator'!$E$11-CM74)&gt;=0,$C$1*$CI$66/12,IFERROR(-IPMT($CI$66/12,(CL74-60),($F$1-5)*12,$CI$65,0),0))</f>
        <v>0</v>
      </c>
      <c r="CP74" s="497">
        <f t="shared" si="48"/>
        <v>0</v>
      </c>
      <c r="CQ74" s="497">
        <f t="shared" si="35"/>
        <v>1800000</v>
      </c>
      <c r="CR74" s="493"/>
      <c r="CS74" s="493"/>
      <c r="CU74" s="492">
        <v>70</v>
      </c>
      <c r="CV74" s="492">
        <v>6</v>
      </c>
      <c r="CW74" s="497">
        <f>IF(('Comparison Calculator'!$E$11-CV74)&gt;=0,0,IFERROR(-PPMT($DA$66/12,(CU74-60),($F$1-5)*12,$DA$65),0))</f>
        <v>0</v>
      </c>
      <c r="CX74" s="497">
        <f>IF(('Comparison Calculator'!$E$11-CV74)&gt;=0,$C$1*$DA$66/12,IFERROR(-IPMT($DA$66/12,(CU74-60),($F$1-5)*12,$DA$65,0),0))</f>
        <v>0</v>
      </c>
      <c r="CY74" s="497">
        <f t="shared" si="49"/>
        <v>0</v>
      </c>
      <c r="CZ74" s="497">
        <f t="shared" si="36"/>
        <v>1800000</v>
      </c>
      <c r="DA74" s="493"/>
      <c r="DB74" s="493"/>
      <c r="DD74" s="492">
        <v>70</v>
      </c>
      <c r="DE74" s="492">
        <v>6</v>
      </c>
      <c r="DF74" s="497">
        <f>IF(('Comparison Calculator'!$E$11-DE74)&gt;=0,0,IFERROR(-PPMT($DJ$66/12,(DD74-60),($F$1-5)*12,$DJ$65),0))</f>
        <v>0</v>
      </c>
      <c r="DG74" s="497">
        <f>IF(('Comparison Calculator'!$E$11-DE74)&gt;=0,$C$1*$DJ$66/12,IFERROR(-IPMT($DJ$66/12,(DD74-60),($F$1-5)*12,$DJ$65,0),0))</f>
        <v>0</v>
      </c>
      <c r="DH74" s="497">
        <f t="shared" si="50"/>
        <v>0</v>
      </c>
      <c r="DI74" s="497">
        <f t="shared" si="37"/>
        <v>1800000</v>
      </c>
      <c r="DJ74" s="493"/>
      <c r="DK74" s="493"/>
    </row>
    <row r="75" spans="1:115">
      <c r="A75" s="492">
        <v>71</v>
      </c>
      <c r="B75" s="492">
        <v>6</v>
      </c>
      <c r="C75" s="497">
        <f>IF(('Comparison Calculator'!$E$11-B75)&gt;=0,0,IFERROR(-PPMT($G$66/12,(A75-60),($F$1-5)*12,$G$65),0))</f>
        <v>0</v>
      </c>
      <c r="D75" s="497">
        <f>IF(('Comparison Calculator'!$E$11-B75)&gt;=0,$C$1*$G$66/12,IFERROR(-IPMT($G$66/12,(A75-60),($F$1-5)*12,$G$65,0),0))</f>
        <v>0</v>
      </c>
      <c r="E75" s="497">
        <f t="shared" si="38"/>
        <v>0</v>
      </c>
      <c r="F75" s="497">
        <f t="shared" si="51"/>
        <v>1800000</v>
      </c>
      <c r="G75" s="493"/>
      <c r="H75" s="493"/>
      <c r="I75" s="489"/>
      <c r="J75" s="492">
        <v>71</v>
      </c>
      <c r="K75" s="492">
        <v>6</v>
      </c>
      <c r="L75" s="497">
        <f>IF(('Comparison Calculator'!$E$11-K75)&gt;=0,0,IFERROR(-PPMT($P$66/12,(J75-60),($F$1-5)*12,$P$65),0))</f>
        <v>0</v>
      </c>
      <c r="M75" s="497">
        <f>IF(('Comparison Calculator'!$E$11-K75)&gt;=0,$C$1*$P$66/12,IFERROR(-IPMT($P$66/12,(J75-60),($F$1-5)*12,$P$65,0),0))</f>
        <v>0</v>
      </c>
      <c r="N75" s="497">
        <f t="shared" si="39"/>
        <v>0</v>
      </c>
      <c r="O75" s="497">
        <f t="shared" si="26"/>
        <v>1800000</v>
      </c>
      <c r="P75" s="493"/>
      <c r="Q75" s="493"/>
      <c r="S75" s="492">
        <v>71</v>
      </c>
      <c r="T75" s="492">
        <v>6</v>
      </c>
      <c r="U75" s="497">
        <f>IF(('Comparison Calculator'!$E$11-T75)&gt;=0,0,IFERROR(-PPMT($Y$66/12,(S75-60),($F$1-5)*12,$Y$65),0))</f>
        <v>0</v>
      </c>
      <c r="V75" s="497">
        <f>IF(('Comparison Calculator'!$E$11-T75)&gt;=0,$C$1*$Y$66/12,IFERROR(-IPMT($Y$66/12,(S75-60),($F$1-5)*12,$Y$65,0),0))</f>
        <v>0</v>
      </c>
      <c r="W75" s="497">
        <f t="shared" si="40"/>
        <v>0</v>
      </c>
      <c r="X75" s="497">
        <f t="shared" si="27"/>
        <v>1800000</v>
      </c>
      <c r="Y75" s="493"/>
      <c r="Z75" s="493"/>
      <c r="AB75" s="492">
        <v>71</v>
      </c>
      <c r="AC75" s="492">
        <v>6</v>
      </c>
      <c r="AD75" s="497">
        <f>IF(('Comparison Calculator'!$E$11-AC75)&gt;=0,0,IFERROR(-PPMT($AH$66/12,(AB75-60),($F$1-5)*12,$AH$65),0))</f>
        <v>0</v>
      </c>
      <c r="AE75" s="497">
        <f>IF(('Comparison Calculator'!$E$11-AC75)&gt;=0,$C$1*$AH$66/12,IFERROR(-IPMT($AH$66/12,(AB75-60),($F$1-5)*12,$AH$65,0),0))</f>
        <v>0</v>
      </c>
      <c r="AF75" s="497">
        <f t="shared" si="41"/>
        <v>0</v>
      </c>
      <c r="AG75" s="497">
        <f t="shared" si="28"/>
        <v>1800000</v>
      </c>
      <c r="AH75" s="493"/>
      <c r="AI75" s="493"/>
      <c r="AK75" s="492">
        <v>71</v>
      </c>
      <c r="AL75" s="492">
        <v>6</v>
      </c>
      <c r="AM75" s="497">
        <f>IF(('Comparison Calculator'!$E$11-AL75)&gt;=0,0,IFERROR(-PPMT($AQ$66/12,(AK75-60),($F$1-5)*12,$AQ$65),0))</f>
        <v>0</v>
      </c>
      <c r="AN75" s="497">
        <f>IF(('Comparison Calculator'!$E$11-AL75)&gt;=0,$C$1*$AQ$66/12,IFERROR(-IPMT($AQ$66/12,(AK75-60),($F$1-5)*12,$AQ$65,0),0))</f>
        <v>0</v>
      </c>
      <c r="AO75" s="497">
        <f t="shared" si="42"/>
        <v>0</v>
      </c>
      <c r="AP75" s="497">
        <f t="shared" si="29"/>
        <v>1800000</v>
      </c>
      <c r="AQ75" s="493"/>
      <c r="AR75" s="493"/>
      <c r="AT75" s="492">
        <v>71</v>
      </c>
      <c r="AU75" s="492">
        <v>6</v>
      </c>
      <c r="AV75" s="497">
        <f>IF(('Comparison Calculator'!$E$11-AU75)&gt;=0,0,IFERROR(-PPMT($AZ$66/12,(AT75-60),($F$1-5)*12,$AZ$65),0))</f>
        <v>0</v>
      </c>
      <c r="AW75" s="497">
        <f>IF(('Comparison Calculator'!$E$11-AU75)&gt;=0,$C$1*$AZ$66/12,IFERROR(-IPMT($AZ$66/12,(AT75-60),($F$1-5)*12,$AZ$65,0),0))</f>
        <v>0</v>
      </c>
      <c r="AX75" s="497">
        <f t="shared" si="43"/>
        <v>0</v>
      </c>
      <c r="AY75" s="497">
        <f t="shared" si="30"/>
        <v>1800000</v>
      </c>
      <c r="AZ75" s="493"/>
      <c r="BA75" s="493"/>
      <c r="BC75" s="492">
        <v>71</v>
      </c>
      <c r="BD75" s="492">
        <v>6</v>
      </c>
      <c r="BE75" s="497">
        <f>IF(('Comparison Calculator'!$E$11-BD75)&gt;=0,0,IFERROR(-PPMT($BI$66/12,(BC75-60),($F$1-5)*12,$BI$65),0))</f>
        <v>0</v>
      </c>
      <c r="BF75" s="497">
        <f>IF(('Comparison Calculator'!$E$11-BD75)&gt;=0,$C$1*$BI$66/12,IFERROR(-IPMT($BI$66/12,(BC75-60),($F$1-5)*12,$BI$65,0),0))</f>
        <v>0</v>
      </c>
      <c r="BG75" s="497">
        <f t="shared" si="44"/>
        <v>0</v>
      </c>
      <c r="BH75" s="497">
        <f t="shared" si="31"/>
        <v>1800000</v>
      </c>
      <c r="BI75" s="493"/>
      <c r="BJ75" s="493"/>
      <c r="BK75" s="492">
        <v>71</v>
      </c>
      <c r="BL75" s="492">
        <v>6</v>
      </c>
      <c r="BM75" s="497">
        <f>IF(('Comparison Calculator'!$E$11-BL75)&gt;=0,0,IFERROR(-PPMT($BQ$66/12,(BK75-60),($F$1-5)*12,$BQ$65),0))</f>
        <v>0</v>
      </c>
      <c r="BN75" s="497">
        <f>IF(('Comparison Calculator'!$E$11-BL75)&gt;=0,$C$1*$BQ$66/12,IFERROR(-IPMT($BQ$66/12,(BK75-60),($F$1-5)*12,$BQ$65,0),0))</f>
        <v>0</v>
      </c>
      <c r="BO75" s="497">
        <f t="shared" si="45"/>
        <v>0</v>
      </c>
      <c r="BP75" s="497">
        <f t="shared" si="32"/>
        <v>1800000</v>
      </c>
      <c r="BQ75" s="493"/>
      <c r="BR75" s="493"/>
      <c r="BT75" s="492">
        <v>71</v>
      </c>
      <c r="BU75" s="492">
        <v>6</v>
      </c>
      <c r="BV75" s="497">
        <f>IF(('Comparison Calculator'!$E$11-BU75)&gt;=0,0,IFERROR(-PPMT($BZ$66/12,(BT75-60),($F$1-5)*12,$BZ$65),0))</f>
        <v>0</v>
      </c>
      <c r="BW75" s="497">
        <f>IF(('Comparison Calculator'!$E$11-BU75)&gt;=0,$C$1*$BZ$66/12,IFERROR(-IPMT($BZ$66/12,(BT75-60),($F$1-5)*12,$BZ$65,0),0))</f>
        <v>0</v>
      </c>
      <c r="BX75" s="497">
        <f t="shared" si="46"/>
        <v>0</v>
      </c>
      <c r="BY75" s="497">
        <f t="shared" si="33"/>
        <v>1800000</v>
      </c>
      <c r="BZ75" s="493"/>
      <c r="CA75" s="493"/>
      <c r="CC75" s="492">
        <v>71</v>
      </c>
      <c r="CD75" s="492">
        <v>6</v>
      </c>
      <c r="CE75" s="497">
        <f>IF(('Comparison Calculator'!$E$11-CD75)&gt;=0,0,IFERROR(-PPMT($CI$66/12,(CC75-60),($F$1-5)*12,$CI$65),0))</f>
        <v>0</v>
      </c>
      <c r="CF75" s="497">
        <f>IF(('Comparison Calculator'!$E$11-CD75)&gt;=0,$C$1*$CI$66/12,IFERROR(-IPMT($CI$66/12,(CC75-60),($F$1-5)*12,$CI$65,0),0))</f>
        <v>0</v>
      </c>
      <c r="CG75" s="497">
        <f t="shared" si="47"/>
        <v>0</v>
      </c>
      <c r="CH75" s="497">
        <f t="shared" si="34"/>
        <v>1800000</v>
      </c>
      <c r="CI75" s="493"/>
      <c r="CJ75" s="493"/>
      <c r="CL75" s="492">
        <v>71</v>
      </c>
      <c r="CM75" s="492">
        <v>6</v>
      </c>
      <c r="CN75" s="497">
        <f>IF(('Comparison Calculator'!$E$11-CM75)&gt;=0,0,IFERROR(-PPMT($CR$66/12,(CL75-60),($F$1-5)*12,$CR$65),0))</f>
        <v>0</v>
      </c>
      <c r="CO75" s="497">
        <f>IF(('Comparison Calculator'!$E$11-CM75)&gt;=0,$C$1*$CI$66/12,IFERROR(-IPMT($CI$66/12,(CL75-60),($F$1-5)*12,$CI$65,0),0))</f>
        <v>0</v>
      </c>
      <c r="CP75" s="497">
        <f t="shared" si="48"/>
        <v>0</v>
      </c>
      <c r="CQ75" s="497">
        <f t="shared" si="35"/>
        <v>1800000</v>
      </c>
      <c r="CR75" s="493"/>
      <c r="CS75" s="493"/>
      <c r="CU75" s="492">
        <v>71</v>
      </c>
      <c r="CV75" s="492">
        <v>6</v>
      </c>
      <c r="CW75" s="497">
        <f>IF(('Comparison Calculator'!$E$11-CV75)&gt;=0,0,IFERROR(-PPMT($DA$66/12,(CU75-60),($F$1-5)*12,$DA$65),0))</f>
        <v>0</v>
      </c>
      <c r="CX75" s="497">
        <f>IF(('Comparison Calculator'!$E$11-CV75)&gt;=0,$C$1*$DA$66/12,IFERROR(-IPMT($DA$66/12,(CU75-60),($F$1-5)*12,$DA$65,0),0))</f>
        <v>0</v>
      </c>
      <c r="CY75" s="497">
        <f t="shared" si="49"/>
        <v>0</v>
      </c>
      <c r="CZ75" s="497">
        <f t="shared" si="36"/>
        <v>1800000</v>
      </c>
      <c r="DA75" s="493"/>
      <c r="DB75" s="493"/>
      <c r="DD75" s="492">
        <v>71</v>
      </c>
      <c r="DE75" s="492">
        <v>6</v>
      </c>
      <c r="DF75" s="497">
        <f>IF(('Comparison Calculator'!$E$11-DE75)&gt;=0,0,IFERROR(-PPMT($DJ$66/12,(DD75-60),($F$1-5)*12,$DJ$65),0))</f>
        <v>0</v>
      </c>
      <c r="DG75" s="497">
        <f>IF(('Comparison Calculator'!$E$11-DE75)&gt;=0,$C$1*$DJ$66/12,IFERROR(-IPMT($DJ$66/12,(DD75-60),($F$1-5)*12,$DJ$65,0),0))</f>
        <v>0</v>
      </c>
      <c r="DH75" s="497">
        <f t="shared" si="50"/>
        <v>0</v>
      </c>
      <c r="DI75" s="497">
        <f t="shared" si="37"/>
        <v>1800000</v>
      </c>
      <c r="DJ75" s="493"/>
      <c r="DK75" s="493"/>
    </row>
    <row r="76" spans="1:115">
      <c r="A76" s="492">
        <v>72</v>
      </c>
      <c r="B76" s="492">
        <v>6</v>
      </c>
      <c r="C76" s="497">
        <f>IF(('Comparison Calculator'!$E$11-B76)&gt;=0,0,IFERROR(-PPMT($G$66/12,(A76-60),($F$1-5)*12,$G$65),0))</f>
        <v>0</v>
      </c>
      <c r="D76" s="497">
        <f>IF(('Comparison Calculator'!$E$11-B76)&gt;=0,$C$1*$G$66/12,IFERROR(-IPMT($G$66/12,(A76-60),($F$1-5)*12,$G$65,0),0))</f>
        <v>0</v>
      </c>
      <c r="E76" s="497">
        <f t="shared" si="38"/>
        <v>0</v>
      </c>
      <c r="F76" s="497">
        <f t="shared" si="51"/>
        <v>1800000</v>
      </c>
      <c r="G76" s="493"/>
      <c r="H76" s="493"/>
      <c r="I76" s="489"/>
      <c r="J76" s="492">
        <v>72</v>
      </c>
      <c r="K76" s="492">
        <v>6</v>
      </c>
      <c r="L76" s="497">
        <f>IF(('Comparison Calculator'!$E$11-K76)&gt;=0,0,IFERROR(-PPMT($P$66/12,(J76-60),($F$1-5)*12,$P$65),0))</f>
        <v>0</v>
      </c>
      <c r="M76" s="497">
        <f>IF(('Comparison Calculator'!$E$11-K76)&gt;=0,$C$1*$P$66/12,IFERROR(-IPMT($P$66/12,(J76-60),($F$1-5)*12,$P$65,0),0))</f>
        <v>0</v>
      </c>
      <c r="N76" s="497">
        <f t="shared" si="39"/>
        <v>0</v>
      </c>
      <c r="O76" s="497">
        <f t="shared" si="26"/>
        <v>1800000</v>
      </c>
      <c r="P76" s="493"/>
      <c r="Q76" s="493"/>
      <c r="S76" s="492">
        <v>72</v>
      </c>
      <c r="T76" s="492">
        <v>6</v>
      </c>
      <c r="U76" s="497">
        <f>IF(('Comparison Calculator'!$E$11-T76)&gt;=0,0,IFERROR(-PPMT($Y$66/12,(S76-60),($F$1-5)*12,$Y$65),0))</f>
        <v>0</v>
      </c>
      <c r="V76" s="497">
        <f>IF(('Comparison Calculator'!$E$11-T76)&gt;=0,$C$1*$Y$66/12,IFERROR(-IPMT($Y$66/12,(S76-60),($F$1-5)*12,$Y$65,0),0))</f>
        <v>0</v>
      </c>
      <c r="W76" s="497">
        <f t="shared" si="40"/>
        <v>0</v>
      </c>
      <c r="X76" s="497">
        <f t="shared" si="27"/>
        <v>1800000</v>
      </c>
      <c r="Y76" s="493"/>
      <c r="Z76" s="493"/>
      <c r="AB76" s="492">
        <v>72</v>
      </c>
      <c r="AC76" s="492">
        <v>6</v>
      </c>
      <c r="AD76" s="497">
        <f>IF(('Comparison Calculator'!$E$11-AC76)&gt;=0,0,IFERROR(-PPMT($AH$66/12,(AB76-60),($F$1-5)*12,$AH$65),0))</f>
        <v>0</v>
      </c>
      <c r="AE76" s="497">
        <f>IF(('Comparison Calculator'!$E$11-AC76)&gt;=0,$C$1*$AH$66/12,IFERROR(-IPMT($AH$66/12,(AB76-60),($F$1-5)*12,$AH$65,0),0))</f>
        <v>0</v>
      </c>
      <c r="AF76" s="497">
        <f t="shared" si="41"/>
        <v>0</v>
      </c>
      <c r="AG76" s="497">
        <f t="shared" si="28"/>
        <v>1800000</v>
      </c>
      <c r="AH76" s="493"/>
      <c r="AI76" s="493"/>
      <c r="AK76" s="492">
        <v>72</v>
      </c>
      <c r="AL76" s="492">
        <v>6</v>
      </c>
      <c r="AM76" s="497">
        <f>IF(('Comparison Calculator'!$E$11-AL76)&gt;=0,0,IFERROR(-PPMT($AQ$66/12,(AK76-60),($F$1-5)*12,$AQ$65),0))</f>
        <v>0</v>
      </c>
      <c r="AN76" s="497">
        <f>IF(('Comparison Calculator'!$E$11-AL76)&gt;=0,$C$1*$AQ$66/12,IFERROR(-IPMT($AQ$66/12,(AK76-60),($F$1-5)*12,$AQ$65,0),0))</f>
        <v>0</v>
      </c>
      <c r="AO76" s="497">
        <f t="shared" si="42"/>
        <v>0</v>
      </c>
      <c r="AP76" s="497">
        <f t="shared" si="29"/>
        <v>1800000</v>
      </c>
      <c r="AQ76" s="493"/>
      <c r="AR76" s="493"/>
      <c r="AT76" s="492">
        <v>72</v>
      </c>
      <c r="AU76" s="492">
        <v>6</v>
      </c>
      <c r="AV76" s="497">
        <f>IF(('Comparison Calculator'!$E$11-AU76)&gt;=0,0,IFERROR(-PPMT($AZ$66/12,(AT76-60),($F$1-5)*12,$AZ$65),0))</f>
        <v>0</v>
      </c>
      <c r="AW76" s="497">
        <f>IF(('Comparison Calculator'!$E$11-AU76)&gt;=0,$C$1*$AZ$66/12,IFERROR(-IPMT($AZ$66/12,(AT76-60),($F$1-5)*12,$AZ$65,0),0))</f>
        <v>0</v>
      </c>
      <c r="AX76" s="497">
        <f t="shared" si="43"/>
        <v>0</v>
      </c>
      <c r="AY76" s="497">
        <f t="shared" si="30"/>
        <v>1800000</v>
      </c>
      <c r="AZ76" s="493"/>
      <c r="BA76" s="493"/>
      <c r="BC76" s="492">
        <v>72</v>
      </c>
      <c r="BD76" s="492">
        <v>6</v>
      </c>
      <c r="BE76" s="497">
        <f>IF(('Comparison Calculator'!$E$11-BD76)&gt;=0,0,IFERROR(-PPMT($BI$66/12,(BC76-60),($F$1-5)*12,$BI$65),0))</f>
        <v>0</v>
      </c>
      <c r="BF76" s="497">
        <f>IF(('Comparison Calculator'!$E$11-BD76)&gt;=0,$C$1*$BI$66/12,IFERROR(-IPMT($BI$66/12,(BC76-60),($F$1-5)*12,$BI$65,0),0))</f>
        <v>0</v>
      </c>
      <c r="BG76" s="497">
        <f t="shared" si="44"/>
        <v>0</v>
      </c>
      <c r="BH76" s="497">
        <f t="shared" si="31"/>
        <v>1800000</v>
      </c>
      <c r="BI76" s="493"/>
      <c r="BJ76" s="493"/>
      <c r="BK76" s="492">
        <v>72</v>
      </c>
      <c r="BL76" s="492">
        <v>6</v>
      </c>
      <c r="BM76" s="497">
        <f>IF(('Comparison Calculator'!$E$11-BL76)&gt;=0,0,IFERROR(-PPMT($BQ$66/12,(BK76-60),($F$1-5)*12,$BQ$65),0))</f>
        <v>0</v>
      </c>
      <c r="BN76" s="497">
        <f>IF(('Comparison Calculator'!$E$11-BL76)&gt;=0,$C$1*$BQ$66/12,IFERROR(-IPMT($BQ$66/12,(BK76-60),($F$1-5)*12,$BQ$65,0),0))</f>
        <v>0</v>
      </c>
      <c r="BO76" s="497">
        <f t="shared" si="45"/>
        <v>0</v>
      </c>
      <c r="BP76" s="497">
        <f t="shared" si="32"/>
        <v>1800000</v>
      </c>
      <c r="BQ76" s="493"/>
      <c r="BR76" s="493"/>
      <c r="BT76" s="492">
        <v>72</v>
      </c>
      <c r="BU76" s="492">
        <v>6</v>
      </c>
      <c r="BV76" s="497">
        <f>IF(('Comparison Calculator'!$E$11-BU76)&gt;=0,0,IFERROR(-PPMT($BZ$66/12,(BT76-60),($F$1-5)*12,$BZ$65),0))</f>
        <v>0</v>
      </c>
      <c r="BW76" s="497">
        <f>IF(('Comparison Calculator'!$E$11-BU76)&gt;=0,$C$1*$BZ$66/12,IFERROR(-IPMT($BZ$66/12,(BT76-60),($F$1-5)*12,$BZ$65,0),0))</f>
        <v>0</v>
      </c>
      <c r="BX76" s="497">
        <f t="shared" si="46"/>
        <v>0</v>
      </c>
      <c r="BY76" s="497">
        <f t="shared" si="33"/>
        <v>1800000</v>
      </c>
      <c r="BZ76" s="493"/>
      <c r="CA76" s="493"/>
      <c r="CC76" s="492">
        <v>72</v>
      </c>
      <c r="CD76" s="492">
        <v>6</v>
      </c>
      <c r="CE76" s="497">
        <f>IF(('Comparison Calculator'!$E$11-CD76)&gt;=0,0,IFERROR(-PPMT($CI$66/12,(CC76-60),($F$1-5)*12,$CI$65),0))</f>
        <v>0</v>
      </c>
      <c r="CF76" s="497">
        <f>IF(('Comparison Calculator'!$E$11-CD76)&gt;=0,$C$1*$CI$66/12,IFERROR(-IPMT($CI$66/12,(CC76-60),($F$1-5)*12,$CI$65,0),0))</f>
        <v>0</v>
      </c>
      <c r="CG76" s="497">
        <f t="shared" si="47"/>
        <v>0</v>
      </c>
      <c r="CH76" s="497">
        <f t="shared" si="34"/>
        <v>1800000</v>
      </c>
      <c r="CI76" s="493"/>
      <c r="CJ76" s="493"/>
      <c r="CL76" s="492">
        <v>72</v>
      </c>
      <c r="CM76" s="492">
        <v>6</v>
      </c>
      <c r="CN76" s="497">
        <f>IF(('Comparison Calculator'!$E$11-CM76)&gt;=0,0,IFERROR(-PPMT($CR$66/12,(CL76-60),($F$1-5)*12,$CR$65),0))</f>
        <v>0</v>
      </c>
      <c r="CO76" s="497">
        <f>IF(('Comparison Calculator'!$E$11-CM76)&gt;=0,$C$1*$CI$66/12,IFERROR(-IPMT($CI$66/12,(CL76-60),($F$1-5)*12,$CI$65,0),0))</f>
        <v>0</v>
      </c>
      <c r="CP76" s="497">
        <f t="shared" si="48"/>
        <v>0</v>
      </c>
      <c r="CQ76" s="497">
        <f t="shared" si="35"/>
        <v>1800000</v>
      </c>
      <c r="CR76" s="493"/>
      <c r="CS76" s="493"/>
      <c r="CU76" s="492">
        <v>72</v>
      </c>
      <c r="CV76" s="492">
        <v>6</v>
      </c>
      <c r="CW76" s="497">
        <f>IF(('Comparison Calculator'!$E$11-CV76)&gt;=0,0,IFERROR(-PPMT($DA$66/12,(CU76-60),($F$1-5)*12,$DA$65),0))</f>
        <v>0</v>
      </c>
      <c r="CX76" s="497">
        <f>IF(('Comparison Calculator'!$E$11-CV76)&gt;=0,$C$1*$DA$66/12,IFERROR(-IPMT($DA$66/12,(CU76-60),($F$1-5)*12,$DA$65,0),0))</f>
        <v>0</v>
      </c>
      <c r="CY76" s="497">
        <f t="shared" si="49"/>
        <v>0</v>
      </c>
      <c r="CZ76" s="497">
        <f t="shared" si="36"/>
        <v>1800000</v>
      </c>
      <c r="DA76" s="493"/>
      <c r="DB76" s="493"/>
      <c r="DD76" s="492">
        <v>72</v>
      </c>
      <c r="DE76" s="492">
        <v>6</v>
      </c>
      <c r="DF76" s="497">
        <f>IF(('Comparison Calculator'!$E$11-DE76)&gt;=0,0,IFERROR(-PPMT($DJ$66/12,(DD76-60),($F$1-5)*12,$DJ$65),0))</f>
        <v>0</v>
      </c>
      <c r="DG76" s="497">
        <f>IF(('Comparison Calculator'!$E$11-DE76)&gt;=0,$C$1*$DJ$66/12,IFERROR(-IPMT($DJ$66/12,(DD76-60),($F$1-5)*12,$DJ$65,0),0))</f>
        <v>0</v>
      </c>
      <c r="DH76" s="497">
        <f t="shared" si="50"/>
        <v>0</v>
      </c>
      <c r="DI76" s="497">
        <f t="shared" si="37"/>
        <v>1800000</v>
      </c>
      <c r="DJ76" s="493"/>
      <c r="DK76" s="493"/>
    </row>
    <row r="77" spans="1:115">
      <c r="A77" s="492">
        <v>73</v>
      </c>
      <c r="B77" s="492">
        <v>7</v>
      </c>
      <c r="C77" s="497">
        <f>IF(('Comparison Calculator'!$E$11-B77)&gt;=0,0,IFERROR(-PPMT($G$66/12,(A77-60),($F$1-5)*12,$G$65),0))</f>
        <v>0</v>
      </c>
      <c r="D77" s="497">
        <f>IF(('Comparison Calculator'!$E$11-B77)&gt;=0,$C$1*$G$66/12,IFERROR(-IPMT($G$66/12,(A77-60),($F$1-5)*12,$G$65,0),0))</f>
        <v>0</v>
      </c>
      <c r="E77" s="497">
        <f t="shared" si="38"/>
        <v>0</v>
      </c>
      <c r="F77" s="497">
        <f t="shared" si="51"/>
        <v>1800000</v>
      </c>
      <c r="G77" s="499"/>
      <c r="H77" s="502"/>
      <c r="I77" s="503"/>
      <c r="J77" s="492">
        <v>73</v>
      </c>
      <c r="K77" s="492">
        <v>7</v>
      </c>
      <c r="L77" s="497">
        <f>IF(('Comparison Calculator'!$E$11-K77)&gt;=0,0,IFERROR(-PPMT($P$66/12,(J77-60),($F$1-5)*12,$P$65),0))</f>
        <v>0</v>
      </c>
      <c r="M77" s="497">
        <f>IF(('Comparison Calculator'!$E$11-K77)&gt;=0,$C$1*$P$66/12,IFERROR(-IPMT($P$66/12,(J77-60),($F$1-5)*12,$P$65,0),0))</f>
        <v>0</v>
      </c>
      <c r="N77" s="497">
        <f t="shared" si="39"/>
        <v>0</v>
      </c>
      <c r="O77" s="497">
        <f t="shared" si="26"/>
        <v>1800000</v>
      </c>
      <c r="P77" s="499"/>
      <c r="Q77" s="502"/>
      <c r="S77" s="492">
        <v>73</v>
      </c>
      <c r="T77" s="492">
        <v>7</v>
      </c>
      <c r="U77" s="497">
        <f>IF(('Comparison Calculator'!$E$11-T77)&gt;=0,0,IFERROR(-PPMT($Y$66/12,(S77-60),($F$1-5)*12,$Y$65),0))</f>
        <v>0</v>
      </c>
      <c r="V77" s="497">
        <f>IF(('Comparison Calculator'!$E$11-T77)&gt;=0,$C$1*$Y$66/12,IFERROR(-IPMT($Y$66/12,(S77-60),($F$1-5)*12,$Y$65,0),0))</f>
        <v>0</v>
      </c>
      <c r="W77" s="497">
        <f t="shared" si="40"/>
        <v>0</v>
      </c>
      <c r="X77" s="497">
        <f t="shared" si="27"/>
        <v>1800000</v>
      </c>
      <c r="Y77" s="499"/>
      <c r="Z77" s="502"/>
      <c r="AB77" s="492">
        <v>73</v>
      </c>
      <c r="AC77" s="492">
        <v>7</v>
      </c>
      <c r="AD77" s="497">
        <f>IF(('Comparison Calculator'!$E$11-AC77)&gt;=0,0,IFERROR(-PPMT($AH$66/12,(AB77-60),($F$1-5)*12,$AH$65),0))</f>
        <v>0</v>
      </c>
      <c r="AE77" s="497">
        <f>IF(('Comparison Calculator'!$E$11-AC77)&gt;=0,$C$1*$AH$66/12,IFERROR(-IPMT($AH$66/12,(AB77-60),($F$1-5)*12,$AH$65,0),0))</f>
        <v>0</v>
      </c>
      <c r="AF77" s="497">
        <f t="shared" si="41"/>
        <v>0</v>
      </c>
      <c r="AG77" s="497">
        <f t="shared" si="28"/>
        <v>1800000</v>
      </c>
      <c r="AH77" s="499"/>
      <c r="AI77" s="502"/>
      <c r="AK77" s="492">
        <v>73</v>
      </c>
      <c r="AL77" s="492">
        <v>7</v>
      </c>
      <c r="AM77" s="497">
        <f>IF(('Comparison Calculator'!$E$11-AL77)&gt;=0,0,IFERROR(-PPMT($AQ$66/12,(AK77-60),($F$1-5)*12,$AQ$65),0))</f>
        <v>0</v>
      </c>
      <c r="AN77" s="497">
        <f>IF(('Comparison Calculator'!$E$11-AL77)&gt;=0,$C$1*$AQ$66/12,IFERROR(-IPMT($AQ$66/12,(AK77-60),($F$1-5)*12,$AQ$65,0),0))</f>
        <v>0</v>
      </c>
      <c r="AO77" s="497">
        <f t="shared" si="42"/>
        <v>0</v>
      </c>
      <c r="AP77" s="497">
        <f t="shared" si="29"/>
        <v>1800000</v>
      </c>
      <c r="AQ77" s="499"/>
      <c r="AR77" s="502"/>
      <c r="AT77" s="492">
        <v>73</v>
      </c>
      <c r="AU77" s="492">
        <v>7</v>
      </c>
      <c r="AV77" s="497">
        <f>IF(('Comparison Calculator'!$E$11-AU77)&gt;=0,0,IFERROR(-PPMT($AZ$66/12,(AT77-60),($F$1-5)*12,$AZ$65),0))</f>
        <v>0</v>
      </c>
      <c r="AW77" s="497">
        <f>IF(('Comparison Calculator'!$E$11-AU77)&gt;=0,$C$1*$AZ$66/12,IFERROR(-IPMT($AZ$66/12,(AT77-60),($F$1-5)*12,$AZ$65,0),0))</f>
        <v>0</v>
      </c>
      <c r="AX77" s="497">
        <f t="shared" si="43"/>
        <v>0</v>
      </c>
      <c r="AY77" s="497">
        <f t="shared" si="30"/>
        <v>1800000</v>
      </c>
      <c r="AZ77" s="499"/>
      <c r="BA77" s="502"/>
      <c r="BC77" s="492">
        <v>73</v>
      </c>
      <c r="BD77" s="492">
        <v>7</v>
      </c>
      <c r="BE77" s="497">
        <f>IF(('Comparison Calculator'!$E$11-BD77)&gt;=0,0,IFERROR(-PPMT($BI$66/12,(BC77-60),($F$1-5)*12,$BI$65),0))</f>
        <v>0</v>
      </c>
      <c r="BF77" s="497">
        <f>IF(('Comparison Calculator'!$E$11-BD77)&gt;=0,$C$1*$BI$66/12,IFERROR(-IPMT($BI$66/12,(BC77-60),($F$1-5)*12,$BI$65,0),0))</f>
        <v>0</v>
      </c>
      <c r="BG77" s="497">
        <f t="shared" si="44"/>
        <v>0</v>
      </c>
      <c r="BH77" s="497">
        <f t="shared" si="31"/>
        <v>1800000</v>
      </c>
      <c r="BI77" s="499"/>
      <c r="BJ77" s="502"/>
      <c r="BK77" s="492">
        <v>73</v>
      </c>
      <c r="BL77" s="492">
        <v>7</v>
      </c>
      <c r="BM77" s="497">
        <f>IF(('Comparison Calculator'!$E$11-BL77)&gt;=0,0,IFERROR(-PPMT($BQ$66/12,(BK77-60),($F$1-5)*12,$BQ$65),0))</f>
        <v>0</v>
      </c>
      <c r="BN77" s="497">
        <f>IF(('Comparison Calculator'!$E$11-BL77)&gt;=0,$C$1*$BQ$66/12,IFERROR(-IPMT($BQ$66/12,(BK77-60),($F$1-5)*12,$BQ$65,0),0))</f>
        <v>0</v>
      </c>
      <c r="BO77" s="497">
        <f t="shared" si="45"/>
        <v>0</v>
      </c>
      <c r="BP77" s="497">
        <f t="shared" si="32"/>
        <v>1800000</v>
      </c>
      <c r="BQ77" s="499"/>
      <c r="BR77" s="502"/>
      <c r="BT77" s="492">
        <v>73</v>
      </c>
      <c r="BU77" s="492">
        <v>7</v>
      </c>
      <c r="BV77" s="497">
        <f>IF(('Comparison Calculator'!$E$11-BU77)&gt;=0,0,IFERROR(-PPMT($BZ$66/12,(BT77-60),($F$1-5)*12,$BZ$65),0))</f>
        <v>0</v>
      </c>
      <c r="BW77" s="497">
        <f>IF(('Comparison Calculator'!$E$11-BU77)&gt;=0,$C$1*$BZ$66/12,IFERROR(-IPMT($BZ$66/12,(BT77-60),($F$1-5)*12,$BZ$65,0),0))</f>
        <v>0</v>
      </c>
      <c r="BX77" s="497">
        <f t="shared" si="46"/>
        <v>0</v>
      </c>
      <c r="BY77" s="497">
        <f t="shared" si="33"/>
        <v>1800000</v>
      </c>
      <c r="BZ77" s="499"/>
      <c r="CA77" s="502"/>
      <c r="CC77" s="492">
        <v>73</v>
      </c>
      <c r="CD77" s="492">
        <v>7</v>
      </c>
      <c r="CE77" s="497">
        <f>IF(('Comparison Calculator'!$E$11-CD77)&gt;=0,0,IFERROR(-PPMT($CI$66/12,(CC77-60),($F$1-5)*12,$CI$65),0))</f>
        <v>0</v>
      </c>
      <c r="CF77" s="497">
        <f>IF(('Comparison Calculator'!$E$11-CD77)&gt;=0,$C$1*$CI$66/12,IFERROR(-IPMT($CI$66/12,(CC77-60),($F$1-5)*12,$CI$65,0),0))</f>
        <v>0</v>
      </c>
      <c r="CG77" s="497">
        <f t="shared" si="47"/>
        <v>0</v>
      </c>
      <c r="CH77" s="497">
        <f t="shared" si="34"/>
        <v>1800000</v>
      </c>
      <c r="CI77" s="499"/>
      <c r="CJ77" s="502"/>
      <c r="CL77" s="492">
        <v>73</v>
      </c>
      <c r="CM77" s="492">
        <v>7</v>
      </c>
      <c r="CN77" s="497">
        <f>IF(('Comparison Calculator'!$E$11-CM77)&gt;=0,0,IFERROR(-PPMT($CR$66/12,(CL77-60),($F$1-5)*12,$CR$65),0))</f>
        <v>0</v>
      </c>
      <c r="CO77" s="497">
        <f>IF(('Comparison Calculator'!$E$11-CM77)&gt;=0,$C$1*$CI$66/12,IFERROR(-IPMT($CI$66/12,(CL77-60),($F$1-5)*12,$CI$65,0),0))</f>
        <v>0</v>
      </c>
      <c r="CP77" s="497">
        <f t="shared" si="48"/>
        <v>0</v>
      </c>
      <c r="CQ77" s="497">
        <f t="shared" si="35"/>
        <v>1800000</v>
      </c>
      <c r="CR77" s="499"/>
      <c r="CS77" s="502"/>
      <c r="CU77" s="492">
        <v>73</v>
      </c>
      <c r="CV77" s="492">
        <v>7</v>
      </c>
      <c r="CW77" s="497">
        <f>IF(('Comparison Calculator'!$E$11-CV77)&gt;=0,0,IFERROR(-PPMT($DA$66/12,(CU77-60),($F$1-5)*12,$DA$65),0))</f>
        <v>0</v>
      </c>
      <c r="CX77" s="497">
        <f>IF(('Comparison Calculator'!$E$11-CV77)&gt;=0,$C$1*$DA$66/12,IFERROR(-IPMT($DA$66/12,(CU77-60),($F$1-5)*12,$DA$65,0),0))</f>
        <v>0</v>
      </c>
      <c r="CY77" s="497">
        <f t="shared" si="49"/>
        <v>0</v>
      </c>
      <c r="CZ77" s="497">
        <f t="shared" si="36"/>
        <v>1800000</v>
      </c>
      <c r="DA77" s="499"/>
      <c r="DB77" s="502"/>
      <c r="DD77" s="492">
        <v>73</v>
      </c>
      <c r="DE77" s="492">
        <v>7</v>
      </c>
      <c r="DF77" s="497">
        <f>IF(('Comparison Calculator'!$E$11-DE77)&gt;=0,0,IFERROR(-PPMT($DJ$66/12,(DD77-60),($F$1-5)*12,$DJ$65),0))</f>
        <v>0</v>
      </c>
      <c r="DG77" s="497">
        <f>IF(('Comparison Calculator'!$E$11-DE77)&gt;=0,$C$1*$DJ$66/12,IFERROR(-IPMT($DJ$66/12,(DD77-60),($F$1-5)*12,$DJ$65,0),0))</f>
        <v>0</v>
      </c>
      <c r="DH77" s="497">
        <f t="shared" si="50"/>
        <v>0</v>
      </c>
      <c r="DI77" s="497">
        <f t="shared" si="37"/>
        <v>1800000</v>
      </c>
      <c r="DJ77" s="499"/>
      <c r="DK77" s="502"/>
    </row>
    <row r="78" spans="1:115">
      <c r="A78" s="492">
        <v>74</v>
      </c>
      <c r="B78" s="492">
        <v>7</v>
      </c>
      <c r="C78" s="497">
        <f>IF(('Comparison Calculator'!$E$11-B78)&gt;=0,0,IFERROR(-PPMT($G$66/12,(A78-60),($F$1-5)*12,$G$65),0))</f>
        <v>0</v>
      </c>
      <c r="D78" s="497">
        <f>IF(('Comparison Calculator'!$E$11-B78)&gt;=0,$C$1*$G$66/12,IFERROR(-IPMT($G$66/12,(A78-60),($F$1-5)*12,$G$65,0),0))</f>
        <v>0</v>
      </c>
      <c r="E78" s="497">
        <f t="shared" si="38"/>
        <v>0</v>
      </c>
      <c r="F78" s="497">
        <f t="shared" si="51"/>
        <v>1800000</v>
      </c>
      <c r="G78" s="499"/>
      <c r="H78" s="493"/>
      <c r="I78" s="489"/>
      <c r="J78" s="492">
        <v>74</v>
      </c>
      <c r="K78" s="492">
        <v>7</v>
      </c>
      <c r="L78" s="497">
        <f>IF(('Comparison Calculator'!$E$11-K78)&gt;=0,0,IFERROR(-PPMT($P$66/12,(J78-60),($F$1-5)*12,$P$65),0))</f>
        <v>0</v>
      </c>
      <c r="M78" s="497">
        <f>IF(('Comparison Calculator'!$E$11-K78)&gt;=0,$C$1*$P$66/12,IFERROR(-IPMT($P$66/12,(J78-60),($F$1-5)*12,$P$65,0),0))</f>
        <v>0</v>
      </c>
      <c r="N78" s="497">
        <f t="shared" si="39"/>
        <v>0</v>
      </c>
      <c r="O78" s="497">
        <f t="shared" si="26"/>
        <v>1800000</v>
      </c>
      <c r="P78" s="499"/>
      <c r="Q78" s="493"/>
      <c r="S78" s="492">
        <v>74</v>
      </c>
      <c r="T78" s="492">
        <v>7</v>
      </c>
      <c r="U78" s="497">
        <f>IF(('Comparison Calculator'!$E$11-T78)&gt;=0,0,IFERROR(-PPMT($Y$66/12,(S78-60),($F$1-5)*12,$Y$65),0))</f>
        <v>0</v>
      </c>
      <c r="V78" s="497">
        <f>IF(('Comparison Calculator'!$E$11-T78)&gt;=0,$C$1*$Y$66/12,IFERROR(-IPMT($Y$66/12,(S78-60),($F$1-5)*12,$Y$65,0),0))</f>
        <v>0</v>
      </c>
      <c r="W78" s="497">
        <f t="shared" si="40"/>
        <v>0</v>
      </c>
      <c r="X78" s="497">
        <f t="shared" si="27"/>
        <v>1800000</v>
      </c>
      <c r="Y78" s="499"/>
      <c r="Z78" s="493"/>
      <c r="AB78" s="492">
        <v>74</v>
      </c>
      <c r="AC78" s="492">
        <v>7</v>
      </c>
      <c r="AD78" s="497">
        <f>IF(('Comparison Calculator'!$E$11-AC78)&gt;=0,0,IFERROR(-PPMT($AH$66/12,(AB78-60),($F$1-5)*12,$AH$65),0))</f>
        <v>0</v>
      </c>
      <c r="AE78" s="497">
        <f>IF(('Comparison Calculator'!$E$11-AC78)&gt;=0,$C$1*$AH$66/12,IFERROR(-IPMT($AH$66/12,(AB78-60),($F$1-5)*12,$AH$65,0),0))</f>
        <v>0</v>
      </c>
      <c r="AF78" s="497">
        <f t="shared" si="41"/>
        <v>0</v>
      </c>
      <c r="AG78" s="497">
        <f t="shared" si="28"/>
        <v>1800000</v>
      </c>
      <c r="AH78" s="499"/>
      <c r="AI78" s="493"/>
      <c r="AK78" s="492">
        <v>74</v>
      </c>
      <c r="AL78" s="492">
        <v>7</v>
      </c>
      <c r="AM78" s="497">
        <f>IF(('Comparison Calculator'!$E$11-AL78)&gt;=0,0,IFERROR(-PPMT($AQ$66/12,(AK78-60),($F$1-5)*12,$AQ$65),0))</f>
        <v>0</v>
      </c>
      <c r="AN78" s="497">
        <f>IF(('Comparison Calculator'!$E$11-AL78)&gt;=0,$C$1*$AQ$66/12,IFERROR(-IPMT($AQ$66/12,(AK78-60),($F$1-5)*12,$AQ$65,0),0))</f>
        <v>0</v>
      </c>
      <c r="AO78" s="497">
        <f t="shared" si="42"/>
        <v>0</v>
      </c>
      <c r="AP78" s="497">
        <f t="shared" si="29"/>
        <v>1800000</v>
      </c>
      <c r="AQ78" s="499"/>
      <c r="AR78" s="493"/>
      <c r="AT78" s="492">
        <v>74</v>
      </c>
      <c r="AU78" s="492">
        <v>7</v>
      </c>
      <c r="AV78" s="497">
        <f>IF(('Comparison Calculator'!$E$11-AU78)&gt;=0,0,IFERROR(-PPMT($AZ$66/12,(AT78-60),($F$1-5)*12,$AZ$65),0))</f>
        <v>0</v>
      </c>
      <c r="AW78" s="497">
        <f>IF(('Comparison Calculator'!$E$11-AU78)&gt;=0,$C$1*$AZ$66/12,IFERROR(-IPMT($AZ$66/12,(AT78-60),($F$1-5)*12,$AZ$65,0),0))</f>
        <v>0</v>
      </c>
      <c r="AX78" s="497">
        <f t="shared" si="43"/>
        <v>0</v>
      </c>
      <c r="AY78" s="497">
        <f t="shared" si="30"/>
        <v>1800000</v>
      </c>
      <c r="AZ78" s="499"/>
      <c r="BA78" s="493"/>
      <c r="BC78" s="492">
        <v>74</v>
      </c>
      <c r="BD78" s="492">
        <v>7</v>
      </c>
      <c r="BE78" s="497">
        <f>IF(('Comparison Calculator'!$E$11-BD78)&gt;=0,0,IFERROR(-PPMT($BI$66/12,(BC78-60),($F$1-5)*12,$BI$65),0))</f>
        <v>0</v>
      </c>
      <c r="BF78" s="497">
        <f>IF(('Comparison Calculator'!$E$11-BD78)&gt;=0,$C$1*$BI$66/12,IFERROR(-IPMT($BI$66/12,(BC78-60),($F$1-5)*12,$BI$65,0),0))</f>
        <v>0</v>
      </c>
      <c r="BG78" s="497">
        <f t="shared" si="44"/>
        <v>0</v>
      </c>
      <c r="BH78" s="497">
        <f t="shared" si="31"/>
        <v>1800000</v>
      </c>
      <c r="BI78" s="499"/>
      <c r="BJ78" s="493"/>
      <c r="BK78" s="492">
        <v>74</v>
      </c>
      <c r="BL78" s="492">
        <v>7</v>
      </c>
      <c r="BM78" s="497">
        <f>IF(('Comparison Calculator'!$E$11-BL78)&gt;=0,0,IFERROR(-PPMT($BQ$66/12,(BK78-60),($F$1-5)*12,$BQ$65),0))</f>
        <v>0</v>
      </c>
      <c r="BN78" s="497">
        <f>IF(('Comparison Calculator'!$E$11-BL78)&gt;=0,$C$1*$BQ$66/12,IFERROR(-IPMT($BQ$66/12,(BK78-60),($F$1-5)*12,$BQ$65,0),0))</f>
        <v>0</v>
      </c>
      <c r="BO78" s="497">
        <f t="shared" si="45"/>
        <v>0</v>
      </c>
      <c r="BP78" s="497">
        <f t="shared" si="32"/>
        <v>1800000</v>
      </c>
      <c r="BQ78" s="499"/>
      <c r="BR78" s="493"/>
      <c r="BT78" s="492">
        <v>74</v>
      </c>
      <c r="BU78" s="492">
        <v>7</v>
      </c>
      <c r="BV78" s="497">
        <f>IF(('Comparison Calculator'!$E$11-BU78)&gt;=0,0,IFERROR(-PPMT($BZ$66/12,(BT78-60),($F$1-5)*12,$BZ$65),0))</f>
        <v>0</v>
      </c>
      <c r="BW78" s="497">
        <f>IF(('Comparison Calculator'!$E$11-BU78)&gt;=0,$C$1*$BZ$66/12,IFERROR(-IPMT($BZ$66/12,(BT78-60),($F$1-5)*12,$BZ$65,0),0))</f>
        <v>0</v>
      </c>
      <c r="BX78" s="497">
        <f t="shared" si="46"/>
        <v>0</v>
      </c>
      <c r="BY78" s="497">
        <f t="shared" si="33"/>
        <v>1800000</v>
      </c>
      <c r="BZ78" s="499"/>
      <c r="CA78" s="493"/>
      <c r="CC78" s="492">
        <v>74</v>
      </c>
      <c r="CD78" s="492">
        <v>7</v>
      </c>
      <c r="CE78" s="497">
        <f>IF(('Comparison Calculator'!$E$11-CD78)&gt;=0,0,IFERROR(-PPMT($CI$66/12,(CC78-60),($F$1-5)*12,$CI$65),0))</f>
        <v>0</v>
      </c>
      <c r="CF78" s="497">
        <f>IF(('Comparison Calculator'!$E$11-CD78)&gt;=0,$C$1*$CI$66/12,IFERROR(-IPMT($CI$66/12,(CC78-60),($F$1-5)*12,$CI$65,0),0))</f>
        <v>0</v>
      </c>
      <c r="CG78" s="497">
        <f t="shared" si="47"/>
        <v>0</v>
      </c>
      <c r="CH78" s="497">
        <f t="shared" si="34"/>
        <v>1800000</v>
      </c>
      <c r="CI78" s="499"/>
      <c r="CJ78" s="493"/>
      <c r="CL78" s="492">
        <v>74</v>
      </c>
      <c r="CM78" s="492">
        <v>7</v>
      </c>
      <c r="CN78" s="497">
        <f>IF(('Comparison Calculator'!$E$11-CM78)&gt;=0,0,IFERROR(-PPMT($CR$66/12,(CL78-60),($F$1-5)*12,$CR$65),0))</f>
        <v>0</v>
      </c>
      <c r="CO78" s="497">
        <f>IF(('Comparison Calculator'!$E$11-CM78)&gt;=0,$C$1*$CI$66/12,IFERROR(-IPMT($CI$66/12,(CL78-60),($F$1-5)*12,$CI$65,0),0))</f>
        <v>0</v>
      </c>
      <c r="CP78" s="497">
        <f t="shared" si="48"/>
        <v>0</v>
      </c>
      <c r="CQ78" s="497">
        <f t="shared" si="35"/>
        <v>1800000</v>
      </c>
      <c r="CR78" s="499"/>
      <c r="CS78" s="493"/>
      <c r="CU78" s="492">
        <v>74</v>
      </c>
      <c r="CV78" s="492">
        <v>7</v>
      </c>
      <c r="CW78" s="497">
        <f>IF(('Comparison Calculator'!$E$11-CV78)&gt;=0,0,IFERROR(-PPMT($DA$66/12,(CU78-60),($F$1-5)*12,$DA$65),0))</f>
        <v>0</v>
      </c>
      <c r="CX78" s="497">
        <f>IF(('Comparison Calculator'!$E$11-CV78)&gt;=0,$C$1*$DA$66/12,IFERROR(-IPMT($DA$66/12,(CU78-60),($F$1-5)*12,$DA$65,0),0))</f>
        <v>0</v>
      </c>
      <c r="CY78" s="497">
        <f t="shared" si="49"/>
        <v>0</v>
      </c>
      <c r="CZ78" s="497">
        <f t="shared" si="36"/>
        <v>1800000</v>
      </c>
      <c r="DA78" s="499"/>
      <c r="DB78" s="493"/>
      <c r="DD78" s="492">
        <v>74</v>
      </c>
      <c r="DE78" s="492">
        <v>7</v>
      </c>
      <c r="DF78" s="497">
        <f>IF(('Comparison Calculator'!$E$11-DE78)&gt;=0,0,IFERROR(-PPMT($DJ$66/12,(DD78-60),($F$1-5)*12,$DJ$65),0))</f>
        <v>0</v>
      </c>
      <c r="DG78" s="497">
        <f>IF(('Comparison Calculator'!$E$11-DE78)&gt;=0,$C$1*$DJ$66/12,IFERROR(-IPMT($DJ$66/12,(DD78-60),($F$1-5)*12,$DJ$65,0),0))</f>
        <v>0</v>
      </c>
      <c r="DH78" s="497">
        <f t="shared" si="50"/>
        <v>0</v>
      </c>
      <c r="DI78" s="497">
        <f t="shared" si="37"/>
        <v>1800000</v>
      </c>
      <c r="DJ78" s="499"/>
      <c r="DK78" s="493"/>
    </row>
    <row r="79" spans="1:115">
      <c r="A79" s="492">
        <v>75</v>
      </c>
      <c r="B79" s="492">
        <v>7</v>
      </c>
      <c r="C79" s="497">
        <f>IF(('Comparison Calculator'!$E$11-B79)&gt;=0,0,IFERROR(-PPMT($G$66/12,(A79-60),($F$1-5)*12,$G$65),0))</f>
        <v>0</v>
      </c>
      <c r="D79" s="497">
        <f>IF(('Comparison Calculator'!$E$11-B79)&gt;=0,$C$1*$G$66/12,IFERROR(-IPMT($G$66/12,(A79-60),($F$1-5)*12,$G$65,0),0))</f>
        <v>0</v>
      </c>
      <c r="E79" s="497">
        <f t="shared" si="38"/>
        <v>0</v>
      </c>
      <c r="F79" s="497">
        <f t="shared" si="51"/>
        <v>1800000</v>
      </c>
      <c r="G79" s="493"/>
      <c r="H79" s="493"/>
      <c r="I79" s="489"/>
      <c r="J79" s="492">
        <v>75</v>
      </c>
      <c r="K79" s="492">
        <v>7</v>
      </c>
      <c r="L79" s="497">
        <f>IF(('Comparison Calculator'!$E$11-K79)&gt;=0,0,IFERROR(-PPMT($P$66/12,(J79-60),($F$1-5)*12,$P$65),0))</f>
        <v>0</v>
      </c>
      <c r="M79" s="497">
        <f>IF(('Comparison Calculator'!$E$11-K79)&gt;=0,$C$1*$P$66/12,IFERROR(-IPMT($P$66/12,(J79-60),($F$1-5)*12,$P$65,0),0))</f>
        <v>0</v>
      </c>
      <c r="N79" s="497">
        <f t="shared" si="39"/>
        <v>0</v>
      </c>
      <c r="O79" s="497">
        <f t="shared" si="26"/>
        <v>1800000</v>
      </c>
      <c r="P79" s="493"/>
      <c r="Q79" s="493"/>
      <c r="S79" s="492">
        <v>75</v>
      </c>
      <c r="T79" s="492">
        <v>7</v>
      </c>
      <c r="U79" s="497">
        <f>IF(('Comparison Calculator'!$E$11-T79)&gt;=0,0,IFERROR(-PPMT($Y$66/12,(S79-60),($F$1-5)*12,$Y$65),0))</f>
        <v>0</v>
      </c>
      <c r="V79" s="497">
        <f>IF(('Comparison Calculator'!$E$11-T79)&gt;=0,$C$1*$Y$66/12,IFERROR(-IPMT($Y$66/12,(S79-60),($F$1-5)*12,$Y$65,0),0))</f>
        <v>0</v>
      </c>
      <c r="W79" s="497">
        <f t="shared" si="40"/>
        <v>0</v>
      </c>
      <c r="X79" s="497">
        <f t="shared" si="27"/>
        <v>1800000</v>
      </c>
      <c r="Y79" s="493"/>
      <c r="Z79" s="493"/>
      <c r="AB79" s="492">
        <v>75</v>
      </c>
      <c r="AC79" s="492">
        <v>7</v>
      </c>
      <c r="AD79" s="497">
        <f>IF(('Comparison Calculator'!$E$11-AC79)&gt;=0,0,IFERROR(-PPMT($AH$66/12,(AB79-60),($F$1-5)*12,$AH$65),0))</f>
        <v>0</v>
      </c>
      <c r="AE79" s="497">
        <f>IF(('Comparison Calculator'!$E$11-AC79)&gt;=0,$C$1*$AH$66/12,IFERROR(-IPMT($AH$66/12,(AB79-60),($F$1-5)*12,$AH$65,0),0))</f>
        <v>0</v>
      </c>
      <c r="AF79" s="497">
        <f t="shared" si="41"/>
        <v>0</v>
      </c>
      <c r="AG79" s="497">
        <f t="shared" si="28"/>
        <v>1800000</v>
      </c>
      <c r="AH79" s="493"/>
      <c r="AI79" s="493"/>
      <c r="AK79" s="492">
        <v>75</v>
      </c>
      <c r="AL79" s="492">
        <v>7</v>
      </c>
      <c r="AM79" s="497">
        <f>IF(('Comparison Calculator'!$E$11-AL79)&gt;=0,0,IFERROR(-PPMT($AQ$66/12,(AK79-60),($F$1-5)*12,$AQ$65),0))</f>
        <v>0</v>
      </c>
      <c r="AN79" s="497">
        <f>IF(('Comparison Calculator'!$E$11-AL79)&gt;=0,$C$1*$AQ$66/12,IFERROR(-IPMT($AQ$66/12,(AK79-60),($F$1-5)*12,$AQ$65,0),0))</f>
        <v>0</v>
      </c>
      <c r="AO79" s="497">
        <f t="shared" si="42"/>
        <v>0</v>
      </c>
      <c r="AP79" s="497">
        <f t="shared" si="29"/>
        <v>1800000</v>
      </c>
      <c r="AQ79" s="493"/>
      <c r="AR79" s="493"/>
      <c r="AT79" s="492">
        <v>75</v>
      </c>
      <c r="AU79" s="492">
        <v>7</v>
      </c>
      <c r="AV79" s="497">
        <f>IF(('Comparison Calculator'!$E$11-AU79)&gt;=0,0,IFERROR(-PPMT($AZ$66/12,(AT79-60),($F$1-5)*12,$AZ$65),0))</f>
        <v>0</v>
      </c>
      <c r="AW79" s="497">
        <f>IF(('Comparison Calculator'!$E$11-AU79)&gt;=0,$C$1*$AZ$66/12,IFERROR(-IPMT($AZ$66/12,(AT79-60),($F$1-5)*12,$AZ$65,0),0))</f>
        <v>0</v>
      </c>
      <c r="AX79" s="497">
        <f t="shared" si="43"/>
        <v>0</v>
      </c>
      <c r="AY79" s="497">
        <f t="shared" si="30"/>
        <v>1800000</v>
      </c>
      <c r="AZ79" s="493"/>
      <c r="BA79" s="493"/>
      <c r="BC79" s="492">
        <v>75</v>
      </c>
      <c r="BD79" s="492">
        <v>7</v>
      </c>
      <c r="BE79" s="497">
        <f>IF(('Comparison Calculator'!$E$11-BD79)&gt;=0,0,IFERROR(-PPMT($BI$66/12,(BC79-60),($F$1-5)*12,$BI$65),0))</f>
        <v>0</v>
      </c>
      <c r="BF79" s="497">
        <f>IF(('Comparison Calculator'!$E$11-BD79)&gt;=0,$C$1*$BI$66/12,IFERROR(-IPMT($BI$66/12,(BC79-60),($F$1-5)*12,$BI$65,0),0))</f>
        <v>0</v>
      </c>
      <c r="BG79" s="497">
        <f t="shared" si="44"/>
        <v>0</v>
      </c>
      <c r="BH79" s="497">
        <f t="shared" si="31"/>
        <v>1800000</v>
      </c>
      <c r="BI79" s="493"/>
      <c r="BJ79" s="493"/>
      <c r="BK79" s="492">
        <v>75</v>
      </c>
      <c r="BL79" s="492">
        <v>7</v>
      </c>
      <c r="BM79" s="497">
        <f>IF(('Comparison Calculator'!$E$11-BL79)&gt;=0,0,IFERROR(-PPMT($BQ$66/12,(BK79-60),($F$1-5)*12,$BQ$65),0))</f>
        <v>0</v>
      </c>
      <c r="BN79" s="497">
        <f>IF(('Comparison Calculator'!$E$11-BL79)&gt;=0,$C$1*$BQ$66/12,IFERROR(-IPMT($BQ$66/12,(BK79-60),($F$1-5)*12,$BQ$65,0),0))</f>
        <v>0</v>
      </c>
      <c r="BO79" s="497">
        <f t="shared" si="45"/>
        <v>0</v>
      </c>
      <c r="BP79" s="497">
        <f t="shared" si="32"/>
        <v>1800000</v>
      </c>
      <c r="BQ79" s="493"/>
      <c r="BR79" s="493"/>
      <c r="BT79" s="492">
        <v>75</v>
      </c>
      <c r="BU79" s="492">
        <v>7</v>
      </c>
      <c r="BV79" s="497">
        <f>IF(('Comparison Calculator'!$E$11-BU79)&gt;=0,0,IFERROR(-PPMT($BZ$66/12,(BT79-60),($F$1-5)*12,$BZ$65),0))</f>
        <v>0</v>
      </c>
      <c r="BW79" s="497">
        <f>IF(('Comparison Calculator'!$E$11-BU79)&gt;=0,$C$1*$BZ$66/12,IFERROR(-IPMT($BZ$66/12,(BT79-60),($F$1-5)*12,$BZ$65,0),0))</f>
        <v>0</v>
      </c>
      <c r="BX79" s="497">
        <f t="shared" si="46"/>
        <v>0</v>
      </c>
      <c r="BY79" s="497">
        <f t="shared" si="33"/>
        <v>1800000</v>
      </c>
      <c r="BZ79" s="493"/>
      <c r="CA79" s="493"/>
      <c r="CC79" s="492">
        <v>75</v>
      </c>
      <c r="CD79" s="492">
        <v>7</v>
      </c>
      <c r="CE79" s="497">
        <f>IF(('Comparison Calculator'!$E$11-CD79)&gt;=0,0,IFERROR(-PPMT($CI$66/12,(CC79-60),($F$1-5)*12,$CI$65),0))</f>
        <v>0</v>
      </c>
      <c r="CF79" s="497">
        <f>IF(('Comparison Calculator'!$E$11-CD79)&gt;=0,$C$1*$CI$66/12,IFERROR(-IPMT($CI$66/12,(CC79-60),($F$1-5)*12,$CI$65,0),0))</f>
        <v>0</v>
      </c>
      <c r="CG79" s="497">
        <f t="shared" si="47"/>
        <v>0</v>
      </c>
      <c r="CH79" s="497">
        <f t="shared" si="34"/>
        <v>1800000</v>
      </c>
      <c r="CI79" s="493"/>
      <c r="CJ79" s="493"/>
      <c r="CL79" s="492">
        <v>75</v>
      </c>
      <c r="CM79" s="492">
        <v>7</v>
      </c>
      <c r="CN79" s="497">
        <f>IF(('Comparison Calculator'!$E$11-CM79)&gt;=0,0,IFERROR(-PPMT($CR$66/12,(CL79-60),($F$1-5)*12,$CR$65),0))</f>
        <v>0</v>
      </c>
      <c r="CO79" s="497">
        <f>IF(('Comparison Calculator'!$E$11-CM79)&gt;=0,$C$1*$CI$66/12,IFERROR(-IPMT($CI$66/12,(CL79-60),($F$1-5)*12,$CI$65,0),0))</f>
        <v>0</v>
      </c>
      <c r="CP79" s="497">
        <f t="shared" si="48"/>
        <v>0</v>
      </c>
      <c r="CQ79" s="497">
        <f t="shared" si="35"/>
        <v>1800000</v>
      </c>
      <c r="CR79" s="493"/>
      <c r="CS79" s="493"/>
      <c r="CU79" s="492">
        <v>75</v>
      </c>
      <c r="CV79" s="492">
        <v>7</v>
      </c>
      <c r="CW79" s="497">
        <f>IF(('Comparison Calculator'!$E$11-CV79)&gt;=0,0,IFERROR(-PPMT($DA$66/12,(CU79-60),($F$1-5)*12,$DA$65),0))</f>
        <v>0</v>
      </c>
      <c r="CX79" s="497">
        <f>IF(('Comparison Calculator'!$E$11-CV79)&gt;=0,$C$1*$DA$66/12,IFERROR(-IPMT($DA$66/12,(CU79-60),($F$1-5)*12,$DA$65,0),0))</f>
        <v>0</v>
      </c>
      <c r="CY79" s="497">
        <f t="shared" si="49"/>
        <v>0</v>
      </c>
      <c r="CZ79" s="497">
        <f t="shared" si="36"/>
        <v>1800000</v>
      </c>
      <c r="DA79" s="493"/>
      <c r="DB79" s="493"/>
      <c r="DD79" s="492">
        <v>75</v>
      </c>
      <c r="DE79" s="492">
        <v>7</v>
      </c>
      <c r="DF79" s="497">
        <f>IF(('Comparison Calculator'!$E$11-DE79)&gt;=0,0,IFERROR(-PPMT($DJ$66/12,(DD79-60),($F$1-5)*12,$DJ$65),0))</f>
        <v>0</v>
      </c>
      <c r="DG79" s="497">
        <f>IF(('Comparison Calculator'!$E$11-DE79)&gt;=0,$C$1*$DJ$66/12,IFERROR(-IPMT($DJ$66/12,(DD79-60),($F$1-5)*12,$DJ$65,0),0))</f>
        <v>0</v>
      </c>
      <c r="DH79" s="497">
        <f t="shared" si="50"/>
        <v>0</v>
      </c>
      <c r="DI79" s="497">
        <f t="shared" si="37"/>
        <v>1800000</v>
      </c>
      <c r="DJ79" s="493"/>
      <c r="DK79" s="493"/>
    </row>
    <row r="80" spans="1:115">
      <c r="A80" s="492">
        <v>76</v>
      </c>
      <c r="B80" s="492">
        <v>7</v>
      </c>
      <c r="C80" s="497">
        <f>IF(('Comparison Calculator'!$E$11-B80)&gt;=0,0,IFERROR(-PPMT($G$66/12,(A80-60),($F$1-5)*12,$G$65),0))</f>
        <v>0</v>
      </c>
      <c r="D80" s="497">
        <f>IF(('Comparison Calculator'!$E$11-B80)&gt;=0,$C$1*$G$66/12,IFERROR(-IPMT($G$66/12,(A80-60),($F$1-5)*12,$G$65,0),0))</f>
        <v>0</v>
      </c>
      <c r="E80" s="497">
        <f t="shared" si="38"/>
        <v>0</v>
      </c>
      <c r="F80" s="497">
        <f t="shared" si="51"/>
        <v>1800000</v>
      </c>
      <c r="G80" s="493"/>
      <c r="H80" s="493"/>
      <c r="I80" s="489"/>
      <c r="J80" s="492">
        <v>76</v>
      </c>
      <c r="K80" s="492">
        <v>7</v>
      </c>
      <c r="L80" s="497">
        <f>IF(('Comparison Calculator'!$E$11-K80)&gt;=0,0,IFERROR(-PPMT($P$66/12,(J80-60),($F$1-5)*12,$P$65),0))</f>
        <v>0</v>
      </c>
      <c r="M80" s="497">
        <f>IF(('Comparison Calculator'!$E$11-K80)&gt;=0,$C$1*$P$66/12,IFERROR(-IPMT($P$66/12,(J80-60),($F$1-5)*12,$P$65,0),0))</f>
        <v>0</v>
      </c>
      <c r="N80" s="497">
        <f t="shared" si="39"/>
        <v>0</v>
      </c>
      <c r="O80" s="497">
        <f t="shared" si="26"/>
        <v>1800000</v>
      </c>
      <c r="P80" s="493"/>
      <c r="Q80" s="493"/>
      <c r="S80" s="492">
        <v>76</v>
      </c>
      <c r="T80" s="492">
        <v>7</v>
      </c>
      <c r="U80" s="497">
        <f>IF(('Comparison Calculator'!$E$11-T80)&gt;=0,0,IFERROR(-PPMT($Y$66/12,(S80-60),($F$1-5)*12,$Y$65),0))</f>
        <v>0</v>
      </c>
      <c r="V80" s="497">
        <f>IF(('Comparison Calculator'!$E$11-T80)&gt;=0,$C$1*$Y$66/12,IFERROR(-IPMT($Y$66/12,(S80-60),($F$1-5)*12,$Y$65,0),0))</f>
        <v>0</v>
      </c>
      <c r="W80" s="497">
        <f t="shared" si="40"/>
        <v>0</v>
      </c>
      <c r="X80" s="497">
        <f t="shared" si="27"/>
        <v>1800000</v>
      </c>
      <c r="Y80" s="493"/>
      <c r="Z80" s="493"/>
      <c r="AB80" s="492">
        <v>76</v>
      </c>
      <c r="AC80" s="492">
        <v>7</v>
      </c>
      <c r="AD80" s="497">
        <f>IF(('Comparison Calculator'!$E$11-AC80)&gt;=0,0,IFERROR(-PPMT($AH$66/12,(AB80-60),($F$1-5)*12,$AH$65),0))</f>
        <v>0</v>
      </c>
      <c r="AE80" s="497">
        <f>IF(('Comparison Calculator'!$E$11-AC80)&gt;=0,$C$1*$AH$66/12,IFERROR(-IPMT($AH$66/12,(AB80-60),($F$1-5)*12,$AH$65,0),0))</f>
        <v>0</v>
      </c>
      <c r="AF80" s="497">
        <f t="shared" si="41"/>
        <v>0</v>
      </c>
      <c r="AG80" s="497">
        <f t="shared" si="28"/>
        <v>1800000</v>
      </c>
      <c r="AH80" s="493"/>
      <c r="AI80" s="493"/>
      <c r="AK80" s="492">
        <v>76</v>
      </c>
      <c r="AL80" s="492">
        <v>7</v>
      </c>
      <c r="AM80" s="497">
        <f>IF(('Comparison Calculator'!$E$11-AL80)&gt;=0,0,IFERROR(-PPMT($AQ$66/12,(AK80-60),($F$1-5)*12,$AQ$65),0))</f>
        <v>0</v>
      </c>
      <c r="AN80" s="497">
        <f>IF(('Comparison Calculator'!$E$11-AL80)&gt;=0,$C$1*$AQ$66/12,IFERROR(-IPMT($AQ$66/12,(AK80-60),($F$1-5)*12,$AQ$65,0),0))</f>
        <v>0</v>
      </c>
      <c r="AO80" s="497">
        <f t="shared" si="42"/>
        <v>0</v>
      </c>
      <c r="AP80" s="497">
        <f t="shared" si="29"/>
        <v>1800000</v>
      </c>
      <c r="AQ80" s="493"/>
      <c r="AR80" s="493"/>
      <c r="AT80" s="492">
        <v>76</v>
      </c>
      <c r="AU80" s="492">
        <v>7</v>
      </c>
      <c r="AV80" s="497">
        <f>IF(('Comparison Calculator'!$E$11-AU80)&gt;=0,0,IFERROR(-PPMT($AZ$66/12,(AT80-60),($F$1-5)*12,$AZ$65),0))</f>
        <v>0</v>
      </c>
      <c r="AW80" s="497">
        <f>IF(('Comparison Calculator'!$E$11-AU80)&gt;=0,$C$1*$AZ$66/12,IFERROR(-IPMT($AZ$66/12,(AT80-60),($F$1-5)*12,$AZ$65,0),0))</f>
        <v>0</v>
      </c>
      <c r="AX80" s="497">
        <f t="shared" si="43"/>
        <v>0</v>
      </c>
      <c r="AY80" s="497">
        <f t="shared" si="30"/>
        <v>1800000</v>
      </c>
      <c r="AZ80" s="493"/>
      <c r="BA80" s="493"/>
      <c r="BC80" s="492">
        <v>76</v>
      </c>
      <c r="BD80" s="492">
        <v>7</v>
      </c>
      <c r="BE80" s="497">
        <f>IF(('Comparison Calculator'!$E$11-BD80)&gt;=0,0,IFERROR(-PPMT($BI$66/12,(BC80-60),($F$1-5)*12,$BI$65),0))</f>
        <v>0</v>
      </c>
      <c r="BF80" s="497">
        <f>IF(('Comparison Calculator'!$E$11-BD80)&gt;=0,$C$1*$BI$66/12,IFERROR(-IPMT($BI$66/12,(BC80-60),($F$1-5)*12,$BI$65,0),0))</f>
        <v>0</v>
      </c>
      <c r="BG80" s="497">
        <f t="shared" si="44"/>
        <v>0</v>
      </c>
      <c r="BH80" s="497">
        <f t="shared" si="31"/>
        <v>1800000</v>
      </c>
      <c r="BI80" s="493"/>
      <c r="BJ80" s="493"/>
      <c r="BK80" s="492">
        <v>76</v>
      </c>
      <c r="BL80" s="492">
        <v>7</v>
      </c>
      <c r="BM80" s="497">
        <f>IF(('Comparison Calculator'!$E$11-BL80)&gt;=0,0,IFERROR(-PPMT($BQ$66/12,(BK80-60),($F$1-5)*12,$BQ$65),0))</f>
        <v>0</v>
      </c>
      <c r="BN80" s="497">
        <f>IF(('Comparison Calculator'!$E$11-BL80)&gt;=0,$C$1*$BQ$66/12,IFERROR(-IPMT($BQ$66/12,(BK80-60),($F$1-5)*12,$BQ$65,0),0))</f>
        <v>0</v>
      </c>
      <c r="BO80" s="497">
        <f t="shared" si="45"/>
        <v>0</v>
      </c>
      <c r="BP80" s="497">
        <f t="shared" si="32"/>
        <v>1800000</v>
      </c>
      <c r="BQ80" s="493"/>
      <c r="BR80" s="493"/>
      <c r="BT80" s="492">
        <v>76</v>
      </c>
      <c r="BU80" s="492">
        <v>7</v>
      </c>
      <c r="BV80" s="497">
        <f>IF(('Comparison Calculator'!$E$11-BU80)&gt;=0,0,IFERROR(-PPMT($BZ$66/12,(BT80-60),($F$1-5)*12,$BZ$65),0))</f>
        <v>0</v>
      </c>
      <c r="BW80" s="497">
        <f>IF(('Comparison Calculator'!$E$11-BU80)&gt;=0,$C$1*$BZ$66/12,IFERROR(-IPMT($BZ$66/12,(BT80-60),($F$1-5)*12,$BZ$65,0),0))</f>
        <v>0</v>
      </c>
      <c r="BX80" s="497">
        <f t="shared" si="46"/>
        <v>0</v>
      </c>
      <c r="BY80" s="497">
        <f t="shared" si="33"/>
        <v>1800000</v>
      </c>
      <c r="BZ80" s="493"/>
      <c r="CA80" s="493"/>
      <c r="CC80" s="492">
        <v>76</v>
      </c>
      <c r="CD80" s="492">
        <v>7</v>
      </c>
      <c r="CE80" s="497">
        <f>IF(('Comparison Calculator'!$E$11-CD80)&gt;=0,0,IFERROR(-PPMT($CI$66/12,(CC80-60),($F$1-5)*12,$CI$65),0))</f>
        <v>0</v>
      </c>
      <c r="CF80" s="497">
        <f>IF(('Comparison Calculator'!$E$11-CD80)&gt;=0,$C$1*$CI$66/12,IFERROR(-IPMT($CI$66/12,(CC80-60),($F$1-5)*12,$CI$65,0),0))</f>
        <v>0</v>
      </c>
      <c r="CG80" s="497">
        <f t="shared" si="47"/>
        <v>0</v>
      </c>
      <c r="CH80" s="497">
        <f t="shared" si="34"/>
        <v>1800000</v>
      </c>
      <c r="CI80" s="493"/>
      <c r="CJ80" s="493"/>
      <c r="CL80" s="492">
        <v>76</v>
      </c>
      <c r="CM80" s="492">
        <v>7</v>
      </c>
      <c r="CN80" s="497">
        <f>IF(('Comparison Calculator'!$E$11-CM80)&gt;=0,0,IFERROR(-PPMT($CR$66/12,(CL80-60),($F$1-5)*12,$CR$65),0))</f>
        <v>0</v>
      </c>
      <c r="CO80" s="497">
        <f>IF(('Comparison Calculator'!$E$11-CM80)&gt;=0,$C$1*$CI$66/12,IFERROR(-IPMT($CI$66/12,(CL80-60),($F$1-5)*12,$CI$65,0),0))</f>
        <v>0</v>
      </c>
      <c r="CP80" s="497">
        <f t="shared" si="48"/>
        <v>0</v>
      </c>
      <c r="CQ80" s="497">
        <f t="shared" si="35"/>
        <v>1800000</v>
      </c>
      <c r="CR80" s="493"/>
      <c r="CS80" s="493"/>
      <c r="CU80" s="492">
        <v>76</v>
      </c>
      <c r="CV80" s="492">
        <v>7</v>
      </c>
      <c r="CW80" s="497">
        <f>IF(('Comparison Calculator'!$E$11-CV80)&gt;=0,0,IFERROR(-PPMT($DA$66/12,(CU80-60),($F$1-5)*12,$DA$65),0))</f>
        <v>0</v>
      </c>
      <c r="CX80" s="497">
        <f>IF(('Comparison Calculator'!$E$11-CV80)&gt;=0,$C$1*$DA$66/12,IFERROR(-IPMT($DA$66/12,(CU80-60),($F$1-5)*12,$DA$65,0),0))</f>
        <v>0</v>
      </c>
      <c r="CY80" s="497">
        <f t="shared" si="49"/>
        <v>0</v>
      </c>
      <c r="CZ80" s="497">
        <f t="shared" si="36"/>
        <v>1800000</v>
      </c>
      <c r="DA80" s="493"/>
      <c r="DB80" s="493"/>
      <c r="DD80" s="492">
        <v>76</v>
      </c>
      <c r="DE80" s="492">
        <v>7</v>
      </c>
      <c r="DF80" s="497">
        <f>IF(('Comparison Calculator'!$E$11-DE80)&gt;=0,0,IFERROR(-PPMT($DJ$66/12,(DD80-60),($F$1-5)*12,$DJ$65),0))</f>
        <v>0</v>
      </c>
      <c r="DG80" s="497">
        <f>IF(('Comparison Calculator'!$E$11-DE80)&gt;=0,$C$1*$DJ$66/12,IFERROR(-IPMT($DJ$66/12,(DD80-60),($F$1-5)*12,$DJ$65,0),0))</f>
        <v>0</v>
      </c>
      <c r="DH80" s="497">
        <f t="shared" si="50"/>
        <v>0</v>
      </c>
      <c r="DI80" s="497">
        <f t="shared" si="37"/>
        <v>1800000</v>
      </c>
      <c r="DJ80" s="493"/>
      <c r="DK80" s="493"/>
    </row>
    <row r="81" spans="1:115">
      <c r="A81" s="492">
        <v>77</v>
      </c>
      <c r="B81" s="492">
        <v>7</v>
      </c>
      <c r="C81" s="497">
        <f>IF(('Comparison Calculator'!$E$11-B81)&gt;=0,0,IFERROR(-PPMT($G$66/12,(A81-60),($F$1-5)*12,$G$65),0))</f>
        <v>0</v>
      </c>
      <c r="D81" s="497">
        <f>IF(('Comparison Calculator'!$E$11-B81)&gt;=0,$C$1*$G$66/12,IFERROR(-IPMT($G$66/12,(A81-60),($F$1-5)*12,$G$65,0),0))</f>
        <v>0</v>
      </c>
      <c r="E81" s="497">
        <f t="shared" si="38"/>
        <v>0</v>
      </c>
      <c r="F81" s="497">
        <f t="shared" si="51"/>
        <v>1800000</v>
      </c>
      <c r="G81" s="493"/>
      <c r="H81" s="493"/>
      <c r="I81" s="489"/>
      <c r="J81" s="492">
        <v>77</v>
      </c>
      <c r="K81" s="492">
        <v>7</v>
      </c>
      <c r="L81" s="497">
        <f>IF(('Comparison Calculator'!$E$11-K81)&gt;=0,0,IFERROR(-PPMT($P$66/12,(J81-60),($F$1-5)*12,$P$65),0))</f>
        <v>0</v>
      </c>
      <c r="M81" s="497">
        <f>IF(('Comparison Calculator'!$E$11-K81)&gt;=0,$C$1*$P$66/12,IFERROR(-IPMT($P$66/12,(J81-60),($F$1-5)*12,$P$65,0),0))</f>
        <v>0</v>
      </c>
      <c r="N81" s="497">
        <f t="shared" si="39"/>
        <v>0</v>
      </c>
      <c r="O81" s="497">
        <f t="shared" si="26"/>
        <v>1800000</v>
      </c>
      <c r="P81" s="493"/>
      <c r="Q81" s="493"/>
      <c r="S81" s="492">
        <v>77</v>
      </c>
      <c r="T81" s="492">
        <v>7</v>
      </c>
      <c r="U81" s="497">
        <f>IF(('Comparison Calculator'!$E$11-T81)&gt;=0,0,IFERROR(-PPMT($Y$66/12,(S81-60),($F$1-5)*12,$Y$65),0))</f>
        <v>0</v>
      </c>
      <c r="V81" s="497">
        <f>IF(('Comparison Calculator'!$E$11-T81)&gt;=0,$C$1*$Y$66/12,IFERROR(-IPMT($Y$66/12,(S81-60),($F$1-5)*12,$Y$65,0),0))</f>
        <v>0</v>
      </c>
      <c r="W81" s="497">
        <f t="shared" si="40"/>
        <v>0</v>
      </c>
      <c r="X81" s="497">
        <f t="shared" si="27"/>
        <v>1800000</v>
      </c>
      <c r="Y81" s="493"/>
      <c r="Z81" s="493"/>
      <c r="AB81" s="492">
        <v>77</v>
      </c>
      <c r="AC81" s="492">
        <v>7</v>
      </c>
      <c r="AD81" s="497">
        <f>IF(('Comparison Calculator'!$E$11-AC81)&gt;=0,0,IFERROR(-PPMT($AH$66/12,(AB81-60),($F$1-5)*12,$AH$65),0))</f>
        <v>0</v>
      </c>
      <c r="AE81" s="497">
        <f>IF(('Comparison Calculator'!$E$11-AC81)&gt;=0,$C$1*$AH$66/12,IFERROR(-IPMT($AH$66/12,(AB81-60),($F$1-5)*12,$AH$65,0),0))</f>
        <v>0</v>
      </c>
      <c r="AF81" s="497">
        <f t="shared" si="41"/>
        <v>0</v>
      </c>
      <c r="AG81" s="497">
        <f t="shared" si="28"/>
        <v>1800000</v>
      </c>
      <c r="AH81" s="493"/>
      <c r="AI81" s="493"/>
      <c r="AK81" s="492">
        <v>77</v>
      </c>
      <c r="AL81" s="492">
        <v>7</v>
      </c>
      <c r="AM81" s="497">
        <f>IF(('Comparison Calculator'!$E$11-AL81)&gt;=0,0,IFERROR(-PPMT($AQ$66/12,(AK81-60),($F$1-5)*12,$AQ$65),0))</f>
        <v>0</v>
      </c>
      <c r="AN81" s="497">
        <f>IF(('Comparison Calculator'!$E$11-AL81)&gt;=0,$C$1*$AQ$66/12,IFERROR(-IPMT($AQ$66/12,(AK81-60),($F$1-5)*12,$AQ$65,0),0))</f>
        <v>0</v>
      </c>
      <c r="AO81" s="497">
        <f t="shared" si="42"/>
        <v>0</v>
      </c>
      <c r="AP81" s="497">
        <f t="shared" si="29"/>
        <v>1800000</v>
      </c>
      <c r="AQ81" s="493"/>
      <c r="AR81" s="493"/>
      <c r="AT81" s="492">
        <v>77</v>
      </c>
      <c r="AU81" s="492">
        <v>7</v>
      </c>
      <c r="AV81" s="497">
        <f>IF(('Comparison Calculator'!$E$11-AU81)&gt;=0,0,IFERROR(-PPMT($AZ$66/12,(AT81-60),($F$1-5)*12,$AZ$65),0))</f>
        <v>0</v>
      </c>
      <c r="AW81" s="497">
        <f>IF(('Comparison Calculator'!$E$11-AU81)&gt;=0,$C$1*$AZ$66/12,IFERROR(-IPMT($AZ$66/12,(AT81-60),($F$1-5)*12,$AZ$65,0),0))</f>
        <v>0</v>
      </c>
      <c r="AX81" s="497">
        <f t="shared" si="43"/>
        <v>0</v>
      </c>
      <c r="AY81" s="497">
        <f t="shared" si="30"/>
        <v>1800000</v>
      </c>
      <c r="AZ81" s="493"/>
      <c r="BA81" s="493"/>
      <c r="BC81" s="492">
        <v>77</v>
      </c>
      <c r="BD81" s="492">
        <v>7</v>
      </c>
      <c r="BE81" s="497">
        <f>IF(('Comparison Calculator'!$E$11-BD81)&gt;=0,0,IFERROR(-PPMT($BI$66/12,(BC81-60),($F$1-5)*12,$BI$65),0))</f>
        <v>0</v>
      </c>
      <c r="BF81" s="497">
        <f>IF(('Comparison Calculator'!$E$11-BD81)&gt;=0,$C$1*$BI$66/12,IFERROR(-IPMT($BI$66/12,(BC81-60),($F$1-5)*12,$BI$65,0),0))</f>
        <v>0</v>
      </c>
      <c r="BG81" s="497">
        <f t="shared" si="44"/>
        <v>0</v>
      </c>
      <c r="BH81" s="497">
        <f t="shared" si="31"/>
        <v>1800000</v>
      </c>
      <c r="BI81" s="493"/>
      <c r="BJ81" s="493"/>
      <c r="BK81" s="492">
        <v>77</v>
      </c>
      <c r="BL81" s="492">
        <v>7</v>
      </c>
      <c r="BM81" s="497">
        <f>IF(('Comparison Calculator'!$E$11-BL81)&gt;=0,0,IFERROR(-PPMT($BQ$66/12,(BK81-60),($F$1-5)*12,$BQ$65),0))</f>
        <v>0</v>
      </c>
      <c r="BN81" s="497">
        <f>IF(('Comparison Calculator'!$E$11-BL81)&gt;=0,$C$1*$BQ$66/12,IFERROR(-IPMT($BQ$66/12,(BK81-60),($F$1-5)*12,$BQ$65,0),0))</f>
        <v>0</v>
      </c>
      <c r="BO81" s="497">
        <f t="shared" si="45"/>
        <v>0</v>
      </c>
      <c r="BP81" s="497">
        <f t="shared" si="32"/>
        <v>1800000</v>
      </c>
      <c r="BQ81" s="493"/>
      <c r="BR81" s="493"/>
      <c r="BT81" s="492">
        <v>77</v>
      </c>
      <c r="BU81" s="492">
        <v>7</v>
      </c>
      <c r="BV81" s="497">
        <f>IF(('Comparison Calculator'!$E$11-BU81)&gt;=0,0,IFERROR(-PPMT($BZ$66/12,(BT81-60),($F$1-5)*12,$BZ$65),0))</f>
        <v>0</v>
      </c>
      <c r="BW81" s="497">
        <f>IF(('Comparison Calculator'!$E$11-BU81)&gt;=0,$C$1*$BZ$66/12,IFERROR(-IPMT($BZ$66/12,(BT81-60),($F$1-5)*12,$BZ$65,0),0))</f>
        <v>0</v>
      </c>
      <c r="BX81" s="497">
        <f t="shared" si="46"/>
        <v>0</v>
      </c>
      <c r="BY81" s="497">
        <f t="shared" si="33"/>
        <v>1800000</v>
      </c>
      <c r="BZ81" s="493"/>
      <c r="CA81" s="493"/>
      <c r="CC81" s="492">
        <v>77</v>
      </c>
      <c r="CD81" s="492">
        <v>7</v>
      </c>
      <c r="CE81" s="497">
        <f>IF(('Comparison Calculator'!$E$11-CD81)&gt;=0,0,IFERROR(-PPMT($CI$66/12,(CC81-60),($F$1-5)*12,$CI$65),0))</f>
        <v>0</v>
      </c>
      <c r="CF81" s="497">
        <f>IF(('Comparison Calculator'!$E$11-CD81)&gt;=0,$C$1*$CI$66/12,IFERROR(-IPMT($CI$66/12,(CC81-60),($F$1-5)*12,$CI$65,0),0))</f>
        <v>0</v>
      </c>
      <c r="CG81" s="497">
        <f t="shared" si="47"/>
        <v>0</v>
      </c>
      <c r="CH81" s="497">
        <f t="shared" si="34"/>
        <v>1800000</v>
      </c>
      <c r="CI81" s="493"/>
      <c r="CJ81" s="493"/>
      <c r="CL81" s="492">
        <v>77</v>
      </c>
      <c r="CM81" s="492">
        <v>7</v>
      </c>
      <c r="CN81" s="497">
        <f>IF(('Comparison Calculator'!$E$11-CM81)&gt;=0,0,IFERROR(-PPMT($CR$66/12,(CL81-60),($F$1-5)*12,$CR$65),0))</f>
        <v>0</v>
      </c>
      <c r="CO81" s="497">
        <f>IF(('Comparison Calculator'!$E$11-CM81)&gt;=0,$C$1*$CI$66/12,IFERROR(-IPMT($CI$66/12,(CL81-60),($F$1-5)*12,$CI$65,0),0))</f>
        <v>0</v>
      </c>
      <c r="CP81" s="497">
        <f t="shared" si="48"/>
        <v>0</v>
      </c>
      <c r="CQ81" s="497">
        <f t="shared" si="35"/>
        <v>1800000</v>
      </c>
      <c r="CR81" s="493"/>
      <c r="CS81" s="493"/>
      <c r="CU81" s="492">
        <v>77</v>
      </c>
      <c r="CV81" s="492">
        <v>7</v>
      </c>
      <c r="CW81" s="497">
        <f>IF(('Comparison Calculator'!$E$11-CV81)&gt;=0,0,IFERROR(-PPMT($DA$66/12,(CU81-60),($F$1-5)*12,$DA$65),0))</f>
        <v>0</v>
      </c>
      <c r="CX81" s="497">
        <f>IF(('Comparison Calculator'!$E$11-CV81)&gt;=0,$C$1*$DA$66/12,IFERROR(-IPMT($DA$66/12,(CU81-60),($F$1-5)*12,$DA$65,0),0))</f>
        <v>0</v>
      </c>
      <c r="CY81" s="497">
        <f t="shared" si="49"/>
        <v>0</v>
      </c>
      <c r="CZ81" s="497">
        <f t="shared" si="36"/>
        <v>1800000</v>
      </c>
      <c r="DA81" s="493"/>
      <c r="DB81" s="493"/>
      <c r="DD81" s="492">
        <v>77</v>
      </c>
      <c r="DE81" s="492">
        <v>7</v>
      </c>
      <c r="DF81" s="497">
        <f>IF(('Comparison Calculator'!$E$11-DE81)&gt;=0,0,IFERROR(-PPMT($DJ$66/12,(DD81-60),($F$1-5)*12,$DJ$65),0))</f>
        <v>0</v>
      </c>
      <c r="DG81" s="497">
        <f>IF(('Comparison Calculator'!$E$11-DE81)&gt;=0,$C$1*$DJ$66/12,IFERROR(-IPMT($DJ$66/12,(DD81-60),($F$1-5)*12,$DJ$65,0),0))</f>
        <v>0</v>
      </c>
      <c r="DH81" s="497">
        <f t="shared" si="50"/>
        <v>0</v>
      </c>
      <c r="DI81" s="497">
        <f t="shared" si="37"/>
        <v>1800000</v>
      </c>
      <c r="DJ81" s="493"/>
      <c r="DK81" s="493"/>
    </row>
    <row r="82" spans="1:115">
      <c r="A82" s="492">
        <v>78</v>
      </c>
      <c r="B82" s="492">
        <v>7</v>
      </c>
      <c r="C82" s="497">
        <f>IF(('Comparison Calculator'!$E$11-B82)&gt;=0,0,IFERROR(-PPMT($G$66/12,(A82-60),($F$1-5)*12,$G$65),0))</f>
        <v>0</v>
      </c>
      <c r="D82" s="497">
        <f>IF(('Comparison Calculator'!$E$11-B82)&gt;=0,$C$1*$G$66/12,IFERROR(-IPMT($G$66/12,(A82-60),($F$1-5)*12,$G$65,0),0))</f>
        <v>0</v>
      </c>
      <c r="E82" s="497">
        <f t="shared" si="38"/>
        <v>0</v>
      </c>
      <c r="F82" s="497">
        <f t="shared" si="51"/>
        <v>1800000</v>
      </c>
      <c r="G82" s="493"/>
      <c r="H82" s="493"/>
      <c r="I82" s="489"/>
      <c r="J82" s="492">
        <v>78</v>
      </c>
      <c r="K82" s="492">
        <v>7</v>
      </c>
      <c r="L82" s="497">
        <f>IF(('Comparison Calculator'!$E$11-K82)&gt;=0,0,IFERROR(-PPMT($P$66/12,(J82-60),($F$1-5)*12,$P$65),0))</f>
        <v>0</v>
      </c>
      <c r="M82" s="497">
        <f>IF(('Comparison Calculator'!$E$11-K82)&gt;=0,$C$1*$P$66/12,IFERROR(-IPMT($P$66/12,(J82-60),($F$1-5)*12,$P$65,0),0))</f>
        <v>0</v>
      </c>
      <c r="N82" s="497">
        <f t="shared" si="39"/>
        <v>0</v>
      </c>
      <c r="O82" s="497">
        <f t="shared" si="26"/>
        <v>1800000</v>
      </c>
      <c r="P82" s="493"/>
      <c r="Q82" s="493"/>
      <c r="S82" s="492">
        <v>78</v>
      </c>
      <c r="T82" s="492">
        <v>7</v>
      </c>
      <c r="U82" s="497">
        <f>IF(('Comparison Calculator'!$E$11-T82)&gt;=0,0,IFERROR(-PPMT($Y$66/12,(S82-60),($F$1-5)*12,$Y$65),0))</f>
        <v>0</v>
      </c>
      <c r="V82" s="497">
        <f>IF(('Comparison Calculator'!$E$11-T82)&gt;=0,$C$1*$Y$66/12,IFERROR(-IPMT($Y$66/12,(S82-60),($F$1-5)*12,$Y$65,0),0))</f>
        <v>0</v>
      </c>
      <c r="W82" s="497">
        <f t="shared" si="40"/>
        <v>0</v>
      </c>
      <c r="X82" s="497">
        <f t="shared" si="27"/>
        <v>1800000</v>
      </c>
      <c r="Y82" s="493"/>
      <c r="Z82" s="493"/>
      <c r="AB82" s="492">
        <v>78</v>
      </c>
      <c r="AC82" s="492">
        <v>7</v>
      </c>
      <c r="AD82" s="497">
        <f>IF(('Comparison Calculator'!$E$11-AC82)&gt;=0,0,IFERROR(-PPMT($AH$66/12,(AB82-60),($F$1-5)*12,$AH$65),0))</f>
        <v>0</v>
      </c>
      <c r="AE82" s="497">
        <f>IF(('Comparison Calculator'!$E$11-AC82)&gt;=0,$C$1*$AH$66/12,IFERROR(-IPMT($AH$66/12,(AB82-60),($F$1-5)*12,$AH$65,0),0))</f>
        <v>0</v>
      </c>
      <c r="AF82" s="497">
        <f t="shared" si="41"/>
        <v>0</v>
      </c>
      <c r="AG82" s="497">
        <f t="shared" si="28"/>
        <v>1800000</v>
      </c>
      <c r="AH82" s="493"/>
      <c r="AI82" s="493"/>
      <c r="AK82" s="492">
        <v>78</v>
      </c>
      <c r="AL82" s="492">
        <v>7</v>
      </c>
      <c r="AM82" s="497">
        <f>IF(('Comparison Calculator'!$E$11-AL82)&gt;=0,0,IFERROR(-PPMT($AQ$66/12,(AK82-60),($F$1-5)*12,$AQ$65),0))</f>
        <v>0</v>
      </c>
      <c r="AN82" s="497">
        <f>IF(('Comparison Calculator'!$E$11-AL82)&gt;=0,$C$1*$AQ$66/12,IFERROR(-IPMT($AQ$66/12,(AK82-60),($F$1-5)*12,$AQ$65,0),0))</f>
        <v>0</v>
      </c>
      <c r="AO82" s="497">
        <f t="shared" si="42"/>
        <v>0</v>
      </c>
      <c r="AP82" s="497">
        <f t="shared" si="29"/>
        <v>1800000</v>
      </c>
      <c r="AQ82" s="493"/>
      <c r="AR82" s="493"/>
      <c r="AT82" s="492">
        <v>78</v>
      </c>
      <c r="AU82" s="492">
        <v>7</v>
      </c>
      <c r="AV82" s="497">
        <f>IF(('Comparison Calculator'!$E$11-AU82)&gt;=0,0,IFERROR(-PPMT($AZ$66/12,(AT82-60),($F$1-5)*12,$AZ$65),0))</f>
        <v>0</v>
      </c>
      <c r="AW82" s="497">
        <f>IF(('Comparison Calculator'!$E$11-AU82)&gt;=0,$C$1*$AZ$66/12,IFERROR(-IPMT($AZ$66/12,(AT82-60),($F$1-5)*12,$AZ$65,0),0))</f>
        <v>0</v>
      </c>
      <c r="AX82" s="497">
        <f t="shared" si="43"/>
        <v>0</v>
      </c>
      <c r="AY82" s="497">
        <f t="shared" si="30"/>
        <v>1800000</v>
      </c>
      <c r="AZ82" s="493"/>
      <c r="BA82" s="493"/>
      <c r="BC82" s="492">
        <v>78</v>
      </c>
      <c r="BD82" s="492">
        <v>7</v>
      </c>
      <c r="BE82" s="497">
        <f>IF(('Comparison Calculator'!$E$11-BD82)&gt;=0,0,IFERROR(-PPMT($BI$66/12,(BC82-60),($F$1-5)*12,$BI$65),0))</f>
        <v>0</v>
      </c>
      <c r="BF82" s="497">
        <f>IF(('Comparison Calculator'!$E$11-BD82)&gt;=0,$C$1*$BI$66/12,IFERROR(-IPMT($BI$66/12,(BC82-60),($F$1-5)*12,$BI$65,0),0))</f>
        <v>0</v>
      </c>
      <c r="BG82" s="497">
        <f t="shared" si="44"/>
        <v>0</v>
      </c>
      <c r="BH82" s="497">
        <f t="shared" si="31"/>
        <v>1800000</v>
      </c>
      <c r="BI82" s="493"/>
      <c r="BJ82" s="493"/>
      <c r="BK82" s="492">
        <v>78</v>
      </c>
      <c r="BL82" s="492">
        <v>7</v>
      </c>
      <c r="BM82" s="497">
        <f>IF(('Comparison Calculator'!$E$11-BL82)&gt;=0,0,IFERROR(-PPMT($BQ$66/12,(BK82-60),($F$1-5)*12,$BQ$65),0))</f>
        <v>0</v>
      </c>
      <c r="BN82" s="497">
        <f>IF(('Comparison Calculator'!$E$11-BL82)&gt;=0,$C$1*$BQ$66/12,IFERROR(-IPMT($BQ$66/12,(BK82-60),($F$1-5)*12,$BQ$65,0),0))</f>
        <v>0</v>
      </c>
      <c r="BO82" s="497">
        <f t="shared" si="45"/>
        <v>0</v>
      </c>
      <c r="BP82" s="497">
        <f t="shared" si="32"/>
        <v>1800000</v>
      </c>
      <c r="BQ82" s="493"/>
      <c r="BR82" s="493"/>
      <c r="BT82" s="492">
        <v>78</v>
      </c>
      <c r="BU82" s="492">
        <v>7</v>
      </c>
      <c r="BV82" s="497">
        <f>IF(('Comparison Calculator'!$E$11-BU82)&gt;=0,0,IFERROR(-PPMT($BZ$66/12,(BT82-60),($F$1-5)*12,$BZ$65),0))</f>
        <v>0</v>
      </c>
      <c r="BW82" s="497">
        <f>IF(('Comparison Calculator'!$E$11-BU82)&gt;=0,$C$1*$BZ$66/12,IFERROR(-IPMT($BZ$66/12,(BT82-60),($F$1-5)*12,$BZ$65,0),0))</f>
        <v>0</v>
      </c>
      <c r="BX82" s="497">
        <f t="shared" si="46"/>
        <v>0</v>
      </c>
      <c r="BY82" s="497">
        <f t="shared" si="33"/>
        <v>1800000</v>
      </c>
      <c r="BZ82" s="493"/>
      <c r="CA82" s="493"/>
      <c r="CC82" s="492">
        <v>78</v>
      </c>
      <c r="CD82" s="492">
        <v>7</v>
      </c>
      <c r="CE82" s="497">
        <f>IF(('Comparison Calculator'!$E$11-CD82)&gt;=0,0,IFERROR(-PPMT($CI$66/12,(CC82-60),($F$1-5)*12,$CI$65),0))</f>
        <v>0</v>
      </c>
      <c r="CF82" s="497">
        <f>IF(('Comparison Calculator'!$E$11-CD82)&gt;=0,$C$1*$CI$66/12,IFERROR(-IPMT($CI$66/12,(CC82-60),($F$1-5)*12,$CI$65,0),0))</f>
        <v>0</v>
      </c>
      <c r="CG82" s="497">
        <f t="shared" si="47"/>
        <v>0</v>
      </c>
      <c r="CH82" s="497">
        <f t="shared" si="34"/>
        <v>1800000</v>
      </c>
      <c r="CI82" s="493"/>
      <c r="CJ82" s="493"/>
      <c r="CL82" s="492">
        <v>78</v>
      </c>
      <c r="CM82" s="492">
        <v>7</v>
      </c>
      <c r="CN82" s="497">
        <f>IF(('Comparison Calculator'!$E$11-CM82)&gt;=0,0,IFERROR(-PPMT($CR$66/12,(CL82-60),($F$1-5)*12,$CR$65),0))</f>
        <v>0</v>
      </c>
      <c r="CO82" s="497">
        <f>IF(('Comparison Calculator'!$E$11-CM82)&gt;=0,$C$1*$CI$66/12,IFERROR(-IPMT($CI$66/12,(CL82-60),($F$1-5)*12,$CI$65,0),0))</f>
        <v>0</v>
      </c>
      <c r="CP82" s="497">
        <f t="shared" si="48"/>
        <v>0</v>
      </c>
      <c r="CQ82" s="497">
        <f t="shared" si="35"/>
        <v>1800000</v>
      </c>
      <c r="CR82" s="493"/>
      <c r="CS82" s="493"/>
      <c r="CU82" s="492">
        <v>78</v>
      </c>
      <c r="CV82" s="492">
        <v>7</v>
      </c>
      <c r="CW82" s="497">
        <f>IF(('Comparison Calculator'!$E$11-CV82)&gt;=0,0,IFERROR(-PPMT($DA$66/12,(CU82-60),($F$1-5)*12,$DA$65),0))</f>
        <v>0</v>
      </c>
      <c r="CX82" s="497">
        <f>IF(('Comparison Calculator'!$E$11-CV82)&gt;=0,$C$1*$DA$66/12,IFERROR(-IPMT($DA$66/12,(CU82-60),($F$1-5)*12,$DA$65,0),0))</f>
        <v>0</v>
      </c>
      <c r="CY82" s="497">
        <f t="shared" si="49"/>
        <v>0</v>
      </c>
      <c r="CZ82" s="497">
        <f t="shared" si="36"/>
        <v>1800000</v>
      </c>
      <c r="DA82" s="493"/>
      <c r="DB82" s="493"/>
      <c r="DD82" s="492">
        <v>78</v>
      </c>
      <c r="DE82" s="492">
        <v>7</v>
      </c>
      <c r="DF82" s="497">
        <f>IF(('Comparison Calculator'!$E$11-DE82)&gt;=0,0,IFERROR(-PPMT($DJ$66/12,(DD82-60),($F$1-5)*12,$DJ$65),0))</f>
        <v>0</v>
      </c>
      <c r="DG82" s="497">
        <f>IF(('Comparison Calculator'!$E$11-DE82)&gt;=0,$C$1*$DJ$66/12,IFERROR(-IPMT($DJ$66/12,(DD82-60),($F$1-5)*12,$DJ$65,0),0))</f>
        <v>0</v>
      </c>
      <c r="DH82" s="497">
        <f t="shared" si="50"/>
        <v>0</v>
      </c>
      <c r="DI82" s="497">
        <f t="shared" si="37"/>
        <v>1800000</v>
      </c>
      <c r="DJ82" s="493"/>
      <c r="DK82" s="493"/>
    </row>
    <row r="83" spans="1:115">
      <c r="A83" s="492">
        <v>79</v>
      </c>
      <c r="B83" s="492">
        <v>7</v>
      </c>
      <c r="C83" s="497">
        <f>IF(('Comparison Calculator'!$E$11-B83)&gt;=0,0,IFERROR(-PPMT($G$66/12,(A83-60),($F$1-5)*12,$G$65),0))</f>
        <v>0</v>
      </c>
      <c r="D83" s="497">
        <f>IF(('Comparison Calculator'!$E$11-B83)&gt;=0,$C$1*$G$66/12,IFERROR(-IPMT($G$66/12,(A83-60),($F$1-5)*12,$G$65,0),0))</f>
        <v>0</v>
      </c>
      <c r="E83" s="497">
        <f t="shared" si="38"/>
        <v>0</v>
      </c>
      <c r="F83" s="497">
        <f t="shared" si="51"/>
        <v>1800000</v>
      </c>
      <c r="G83" s="493"/>
      <c r="H83" s="493"/>
      <c r="I83" s="489"/>
      <c r="J83" s="492">
        <v>79</v>
      </c>
      <c r="K83" s="492">
        <v>7</v>
      </c>
      <c r="L83" s="497">
        <f>IF(('Comparison Calculator'!$E$11-K83)&gt;=0,0,IFERROR(-PPMT($P$66/12,(J83-60),($F$1-5)*12,$P$65),0))</f>
        <v>0</v>
      </c>
      <c r="M83" s="497">
        <f>IF(('Comparison Calculator'!$E$11-K83)&gt;=0,$C$1*$P$66/12,IFERROR(-IPMT($P$66/12,(J83-60),($F$1-5)*12,$P$65,0),0))</f>
        <v>0</v>
      </c>
      <c r="N83" s="497">
        <f t="shared" si="39"/>
        <v>0</v>
      </c>
      <c r="O83" s="497">
        <f t="shared" si="26"/>
        <v>1800000</v>
      </c>
      <c r="P83" s="493"/>
      <c r="Q83" s="493"/>
      <c r="S83" s="492">
        <v>79</v>
      </c>
      <c r="T83" s="492">
        <v>7</v>
      </c>
      <c r="U83" s="497">
        <f>IF(('Comparison Calculator'!$E$11-T83)&gt;=0,0,IFERROR(-PPMT($Y$66/12,(S83-60),($F$1-5)*12,$Y$65),0))</f>
        <v>0</v>
      </c>
      <c r="V83" s="497">
        <f>IF(('Comparison Calculator'!$E$11-T83)&gt;=0,$C$1*$Y$66/12,IFERROR(-IPMT($Y$66/12,(S83-60),($F$1-5)*12,$Y$65,0),0))</f>
        <v>0</v>
      </c>
      <c r="W83" s="497">
        <f t="shared" si="40"/>
        <v>0</v>
      </c>
      <c r="X83" s="497">
        <f t="shared" si="27"/>
        <v>1800000</v>
      </c>
      <c r="Y83" s="493"/>
      <c r="Z83" s="493"/>
      <c r="AB83" s="492">
        <v>79</v>
      </c>
      <c r="AC83" s="492">
        <v>7</v>
      </c>
      <c r="AD83" s="497">
        <f>IF(('Comparison Calculator'!$E$11-AC83)&gt;=0,0,IFERROR(-PPMT($AH$66/12,(AB83-60),($F$1-5)*12,$AH$65),0))</f>
        <v>0</v>
      </c>
      <c r="AE83" s="497">
        <f>IF(('Comparison Calculator'!$E$11-AC83)&gt;=0,$C$1*$AH$66/12,IFERROR(-IPMT($AH$66/12,(AB83-60),($F$1-5)*12,$AH$65,0),0))</f>
        <v>0</v>
      </c>
      <c r="AF83" s="497">
        <f t="shared" si="41"/>
        <v>0</v>
      </c>
      <c r="AG83" s="497">
        <f t="shared" si="28"/>
        <v>1800000</v>
      </c>
      <c r="AH83" s="493"/>
      <c r="AI83" s="493"/>
      <c r="AK83" s="492">
        <v>79</v>
      </c>
      <c r="AL83" s="492">
        <v>7</v>
      </c>
      <c r="AM83" s="497">
        <f>IF(('Comparison Calculator'!$E$11-AL83)&gt;=0,0,IFERROR(-PPMT($AQ$66/12,(AK83-60),($F$1-5)*12,$AQ$65),0))</f>
        <v>0</v>
      </c>
      <c r="AN83" s="497">
        <f>IF(('Comparison Calculator'!$E$11-AL83)&gt;=0,$C$1*$AQ$66/12,IFERROR(-IPMT($AQ$66/12,(AK83-60),($F$1-5)*12,$AQ$65,0),0))</f>
        <v>0</v>
      </c>
      <c r="AO83" s="497">
        <f t="shared" si="42"/>
        <v>0</v>
      </c>
      <c r="AP83" s="497">
        <f t="shared" si="29"/>
        <v>1800000</v>
      </c>
      <c r="AQ83" s="493"/>
      <c r="AR83" s="493"/>
      <c r="AT83" s="492">
        <v>79</v>
      </c>
      <c r="AU83" s="492">
        <v>7</v>
      </c>
      <c r="AV83" s="497">
        <f>IF(('Comparison Calculator'!$E$11-AU83)&gt;=0,0,IFERROR(-PPMT($AZ$66/12,(AT83-60),($F$1-5)*12,$AZ$65),0))</f>
        <v>0</v>
      </c>
      <c r="AW83" s="497">
        <f>IF(('Comparison Calculator'!$E$11-AU83)&gt;=0,$C$1*$AZ$66/12,IFERROR(-IPMT($AZ$66/12,(AT83-60),($F$1-5)*12,$AZ$65,0),0))</f>
        <v>0</v>
      </c>
      <c r="AX83" s="497">
        <f t="shared" si="43"/>
        <v>0</v>
      </c>
      <c r="AY83" s="497">
        <f t="shared" si="30"/>
        <v>1800000</v>
      </c>
      <c r="AZ83" s="493"/>
      <c r="BA83" s="493"/>
      <c r="BC83" s="492">
        <v>79</v>
      </c>
      <c r="BD83" s="492">
        <v>7</v>
      </c>
      <c r="BE83" s="497">
        <f>IF(('Comparison Calculator'!$E$11-BD83)&gt;=0,0,IFERROR(-PPMT($BI$66/12,(BC83-60),($F$1-5)*12,$BI$65),0))</f>
        <v>0</v>
      </c>
      <c r="BF83" s="497">
        <f>IF(('Comparison Calculator'!$E$11-BD83)&gt;=0,$C$1*$BI$66/12,IFERROR(-IPMT($BI$66/12,(BC83-60),($F$1-5)*12,$BI$65,0),0))</f>
        <v>0</v>
      </c>
      <c r="BG83" s="497">
        <f t="shared" si="44"/>
        <v>0</v>
      </c>
      <c r="BH83" s="497">
        <f t="shared" si="31"/>
        <v>1800000</v>
      </c>
      <c r="BI83" s="493"/>
      <c r="BJ83" s="493"/>
      <c r="BK83" s="492">
        <v>79</v>
      </c>
      <c r="BL83" s="492">
        <v>7</v>
      </c>
      <c r="BM83" s="497">
        <f>IF(('Comparison Calculator'!$E$11-BL83)&gt;=0,0,IFERROR(-PPMT($BQ$66/12,(BK83-60),($F$1-5)*12,$BQ$65),0))</f>
        <v>0</v>
      </c>
      <c r="BN83" s="497">
        <f>IF(('Comparison Calculator'!$E$11-BL83)&gt;=0,$C$1*$BQ$66/12,IFERROR(-IPMT($BQ$66/12,(BK83-60),($F$1-5)*12,$BQ$65,0),0))</f>
        <v>0</v>
      </c>
      <c r="BO83" s="497">
        <f t="shared" si="45"/>
        <v>0</v>
      </c>
      <c r="BP83" s="497">
        <f t="shared" si="32"/>
        <v>1800000</v>
      </c>
      <c r="BQ83" s="493"/>
      <c r="BR83" s="493"/>
      <c r="BT83" s="492">
        <v>79</v>
      </c>
      <c r="BU83" s="492">
        <v>7</v>
      </c>
      <c r="BV83" s="497">
        <f>IF(('Comparison Calculator'!$E$11-BU83)&gt;=0,0,IFERROR(-PPMT($BZ$66/12,(BT83-60),($F$1-5)*12,$BZ$65),0))</f>
        <v>0</v>
      </c>
      <c r="BW83" s="497">
        <f>IF(('Comparison Calculator'!$E$11-BU83)&gt;=0,$C$1*$BZ$66/12,IFERROR(-IPMT($BZ$66/12,(BT83-60),($F$1-5)*12,$BZ$65,0),0))</f>
        <v>0</v>
      </c>
      <c r="BX83" s="497">
        <f t="shared" si="46"/>
        <v>0</v>
      </c>
      <c r="BY83" s="497">
        <f t="shared" si="33"/>
        <v>1800000</v>
      </c>
      <c r="BZ83" s="493"/>
      <c r="CA83" s="493"/>
      <c r="CC83" s="492">
        <v>79</v>
      </c>
      <c r="CD83" s="492">
        <v>7</v>
      </c>
      <c r="CE83" s="497">
        <f>IF(('Comparison Calculator'!$E$11-CD83)&gt;=0,0,IFERROR(-PPMT($CI$66/12,(CC83-60),($F$1-5)*12,$CI$65),0))</f>
        <v>0</v>
      </c>
      <c r="CF83" s="497">
        <f>IF(('Comparison Calculator'!$E$11-CD83)&gt;=0,$C$1*$CI$66/12,IFERROR(-IPMT($CI$66/12,(CC83-60),($F$1-5)*12,$CI$65,0),0))</f>
        <v>0</v>
      </c>
      <c r="CG83" s="497">
        <f t="shared" si="47"/>
        <v>0</v>
      </c>
      <c r="CH83" s="497">
        <f t="shared" si="34"/>
        <v>1800000</v>
      </c>
      <c r="CI83" s="493"/>
      <c r="CJ83" s="493"/>
      <c r="CL83" s="492">
        <v>79</v>
      </c>
      <c r="CM83" s="492">
        <v>7</v>
      </c>
      <c r="CN83" s="497">
        <f>IF(('Comparison Calculator'!$E$11-CM83)&gt;=0,0,IFERROR(-PPMT($CR$66/12,(CL83-60),($F$1-5)*12,$CR$65),0))</f>
        <v>0</v>
      </c>
      <c r="CO83" s="497">
        <f>IF(('Comparison Calculator'!$E$11-CM83)&gt;=0,$C$1*$CI$66/12,IFERROR(-IPMT($CI$66/12,(CL83-60),($F$1-5)*12,$CI$65,0),0))</f>
        <v>0</v>
      </c>
      <c r="CP83" s="497">
        <f t="shared" si="48"/>
        <v>0</v>
      </c>
      <c r="CQ83" s="497">
        <f t="shared" si="35"/>
        <v>1800000</v>
      </c>
      <c r="CR83" s="493"/>
      <c r="CS83" s="493"/>
      <c r="CU83" s="492">
        <v>79</v>
      </c>
      <c r="CV83" s="492">
        <v>7</v>
      </c>
      <c r="CW83" s="497">
        <f>IF(('Comparison Calculator'!$E$11-CV83)&gt;=0,0,IFERROR(-PPMT($DA$66/12,(CU83-60),($F$1-5)*12,$DA$65),0))</f>
        <v>0</v>
      </c>
      <c r="CX83" s="497">
        <f>IF(('Comparison Calculator'!$E$11-CV83)&gt;=0,$C$1*$DA$66/12,IFERROR(-IPMT($DA$66/12,(CU83-60),($F$1-5)*12,$DA$65,0),0))</f>
        <v>0</v>
      </c>
      <c r="CY83" s="497">
        <f t="shared" si="49"/>
        <v>0</v>
      </c>
      <c r="CZ83" s="497">
        <f t="shared" si="36"/>
        <v>1800000</v>
      </c>
      <c r="DA83" s="493"/>
      <c r="DB83" s="493"/>
      <c r="DD83" s="492">
        <v>79</v>
      </c>
      <c r="DE83" s="492">
        <v>7</v>
      </c>
      <c r="DF83" s="497">
        <f>IF(('Comparison Calculator'!$E$11-DE83)&gt;=0,0,IFERROR(-PPMT($DJ$66/12,(DD83-60),($F$1-5)*12,$DJ$65),0))</f>
        <v>0</v>
      </c>
      <c r="DG83" s="497">
        <f>IF(('Comparison Calculator'!$E$11-DE83)&gt;=0,$C$1*$DJ$66/12,IFERROR(-IPMT($DJ$66/12,(DD83-60),($F$1-5)*12,$DJ$65,0),0))</f>
        <v>0</v>
      </c>
      <c r="DH83" s="497">
        <f t="shared" si="50"/>
        <v>0</v>
      </c>
      <c r="DI83" s="497">
        <f t="shared" si="37"/>
        <v>1800000</v>
      </c>
      <c r="DJ83" s="493"/>
      <c r="DK83" s="493"/>
    </row>
    <row r="84" spans="1:115">
      <c r="A84" s="492">
        <v>80</v>
      </c>
      <c r="B84" s="492">
        <v>7</v>
      </c>
      <c r="C84" s="497">
        <f>IF(('Comparison Calculator'!$E$11-B84)&gt;=0,0,IFERROR(-PPMT($G$66/12,(A84-60),($F$1-5)*12,$G$65),0))</f>
        <v>0</v>
      </c>
      <c r="D84" s="497">
        <f>IF(('Comparison Calculator'!$E$11-B84)&gt;=0,$C$1*$G$66/12,IFERROR(-IPMT($G$66/12,(A84-60),($F$1-5)*12,$G$65,0),0))</f>
        <v>0</v>
      </c>
      <c r="E84" s="497">
        <f t="shared" si="38"/>
        <v>0</v>
      </c>
      <c r="F84" s="497">
        <f t="shared" si="51"/>
        <v>1800000</v>
      </c>
      <c r="G84" s="493"/>
      <c r="H84" s="493"/>
      <c r="I84" s="489"/>
      <c r="J84" s="492">
        <v>80</v>
      </c>
      <c r="K84" s="492">
        <v>7</v>
      </c>
      <c r="L84" s="497">
        <f>IF(('Comparison Calculator'!$E$11-K84)&gt;=0,0,IFERROR(-PPMT($P$66/12,(J84-60),($F$1-5)*12,$P$65),0))</f>
        <v>0</v>
      </c>
      <c r="M84" s="497">
        <f>IF(('Comparison Calculator'!$E$11-K84)&gt;=0,$C$1*$P$66/12,IFERROR(-IPMT($P$66/12,(J84-60),($F$1-5)*12,$P$65,0),0))</f>
        <v>0</v>
      </c>
      <c r="N84" s="497">
        <f t="shared" si="39"/>
        <v>0</v>
      </c>
      <c r="O84" s="497">
        <f t="shared" si="26"/>
        <v>1800000</v>
      </c>
      <c r="P84" s="493"/>
      <c r="Q84" s="493"/>
      <c r="S84" s="492">
        <v>80</v>
      </c>
      <c r="T84" s="492">
        <v>7</v>
      </c>
      <c r="U84" s="497">
        <f>IF(('Comparison Calculator'!$E$11-T84)&gt;=0,0,IFERROR(-PPMT($Y$66/12,(S84-60),($F$1-5)*12,$Y$65),0))</f>
        <v>0</v>
      </c>
      <c r="V84" s="497">
        <f>IF(('Comparison Calculator'!$E$11-T84)&gt;=0,$C$1*$Y$66/12,IFERROR(-IPMT($Y$66/12,(S84-60),($F$1-5)*12,$Y$65,0),0))</f>
        <v>0</v>
      </c>
      <c r="W84" s="497">
        <f t="shared" si="40"/>
        <v>0</v>
      </c>
      <c r="X84" s="497">
        <f t="shared" si="27"/>
        <v>1800000</v>
      </c>
      <c r="Y84" s="493"/>
      <c r="Z84" s="493"/>
      <c r="AB84" s="492">
        <v>80</v>
      </c>
      <c r="AC84" s="492">
        <v>7</v>
      </c>
      <c r="AD84" s="497">
        <f>IF(('Comparison Calculator'!$E$11-AC84)&gt;=0,0,IFERROR(-PPMT($AH$66/12,(AB84-60),($F$1-5)*12,$AH$65),0))</f>
        <v>0</v>
      </c>
      <c r="AE84" s="497">
        <f>IF(('Comparison Calculator'!$E$11-AC84)&gt;=0,$C$1*$AH$66/12,IFERROR(-IPMT($AH$66/12,(AB84-60),($F$1-5)*12,$AH$65,0),0))</f>
        <v>0</v>
      </c>
      <c r="AF84" s="497">
        <f t="shared" si="41"/>
        <v>0</v>
      </c>
      <c r="AG84" s="497">
        <f t="shared" si="28"/>
        <v>1800000</v>
      </c>
      <c r="AH84" s="493"/>
      <c r="AI84" s="493"/>
      <c r="AK84" s="492">
        <v>80</v>
      </c>
      <c r="AL84" s="492">
        <v>7</v>
      </c>
      <c r="AM84" s="497">
        <f>IF(('Comparison Calculator'!$E$11-AL84)&gt;=0,0,IFERROR(-PPMT($AQ$66/12,(AK84-60),($F$1-5)*12,$AQ$65),0))</f>
        <v>0</v>
      </c>
      <c r="AN84" s="497">
        <f>IF(('Comparison Calculator'!$E$11-AL84)&gt;=0,$C$1*$AQ$66/12,IFERROR(-IPMT($AQ$66/12,(AK84-60),($F$1-5)*12,$AQ$65,0),0))</f>
        <v>0</v>
      </c>
      <c r="AO84" s="497">
        <f t="shared" si="42"/>
        <v>0</v>
      </c>
      <c r="AP84" s="497">
        <f t="shared" si="29"/>
        <v>1800000</v>
      </c>
      <c r="AQ84" s="493"/>
      <c r="AR84" s="493"/>
      <c r="AT84" s="492">
        <v>80</v>
      </c>
      <c r="AU84" s="492">
        <v>7</v>
      </c>
      <c r="AV84" s="497">
        <f>IF(('Comparison Calculator'!$E$11-AU84)&gt;=0,0,IFERROR(-PPMT($AZ$66/12,(AT84-60),($F$1-5)*12,$AZ$65),0))</f>
        <v>0</v>
      </c>
      <c r="AW84" s="497">
        <f>IF(('Comparison Calculator'!$E$11-AU84)&gt;=0,$C$1*$AZ$66/12,IFERROR(-IPMT($AZ$66/12,(AT84-60),($F$1-5)*12,$AZ$65,0),0))</f>
        <v>0</v>
      </c>
      <c r="AX84" s="497">
        <f t="shared" si="43"/>
        <v>0</v>
      </c>
      <c r="AY84" s="497">
        <f t="shared" si="30"/>
        <v>1800000</v>
      </c>
      <c r="AZ84" s="493"/>
      <c r="BA84" s="493"/>
      <c r="BC84" s="492">
        <v>80</v>
      </c>
      <c r="BD84" s="492">
        <v>7</v>
      </c>
      <c r="BE84" s="497">
        <f>IF(('Comparison Calculator'!$E$11-BD84)&gt;=0,0,IFERROR(-PPMT($BI$66/12,(BC84-60),($F$1-5)*12,$BI$65),0))</f>
        <v>0</v>
      </c>
      <c r="BF84" s="497">
        <f>IF(('Comparison Calculator'!$E$11-BD84)&gt;=0,$C$1*$BI$66/12,IFERROR(-IPMT($BI$66/12,(BC84-60),($F$1-5)*12,$BI$65,0),0))</f>
        <v>0</v>
      </c>
      <c r="BG84" s="497">
        <f t="shared" si="44"/>
        <v>0</v>
      </c>
      <c r="BH84" s="497">
        <f t="shared" si="31"/>
        <v>1800000</v>
      </c>
      <c r="BI84" s="493"/>
      <c r="BJ84" s="493"/>
      <c r="BK84" s="492">
        <v>80</v>
      </c>
      <c r="BL84" s="492">
        <v>7</v>
      </c>
      <c r="BM84" s="497">
        <f>IF(('Comparison Calculator'!$E$11-BL84)&gt;=0,0,IFERROR(-PPMT($BQ$66/12,(BK84-60),($F$1-5)*12,$BQ$65),0))</f>
        <v>0</v>
      </c>
      <c r="BN84" s="497">
        <f>IF(('Comparison Calculator'!$E$11-BL84)&gt;=0,$C$1*$BQ$66/12,IFERROR(-IPMT($BQ$66/12,(BK84-60),($F$1-5)*12,$BQ$65,0),0))</f>
        <v>0</v>
      </c>
      <c r="BO84" s="497">
        <f t="shared" si="45"/>
        <v>0</v>
      </c>
      <c r="BP84" s="497">
        <f t="shared" si="32"/>
        <v>1800000</v>
      </c>
      <c r="BQ84" s="493"/>
      <c r="BR84" s="493"/>
      <c r="BT84" s="492">
        <v>80</v>
      </c>
      <c r="BU84" s="492">
        <v>7</v>
      </c>
      <c r="BV84" s="497">
        <f>IF(('Comparison Calculator'!$E$11-BU84)&gt;=0,0,IFERROR(-PPMT($BZ$66/12,(BT84-60),($F$1-5)*12,$BZ$65),0))</f>
        <v>0</v>
      </c>
      <c r="BW84" s="497">
        <f>IF(('Comparison Calculator'!$E$11-BU84)&gt;=0,$C$1*$BZ$66/12,IFERROR(-IPMT($BZ$66/12,(BT84-60),($F$1-5)*12,$BZ$65,0),0))</f>
        <v>0</v>
      </c>
      <c r="BX84" s="497">
        <f t="shared" si="46"/>
        <v>0</v>
      </c>
      <c r="BY84" s="497">
        <f t="shared" si="33"/>
        <v>1800000</v>
      </c>
      <c r="BZ84" s="493"/>
      <c r="CA84" s="493"/>
      <c r="CC84" s="492">
        <v>80</v>
      </c>
      <c r="CD84" s="492">
        <v>7</v>
      </c>
      <c r="CE84" s="497">
        <f>IF(('Comparison Calculator'!$E$11-CD84)&gt;=0,0,IFERROR(-PPMT($CI$66/12,(CC84-60),($F$1-5)*12,$CI$65),0))</f>
        <v>0</v>
      </c>
      <c r="CF84" s="497">
        <f>IF(('Comparison Calculator'!$E$11-CD84)&gt;=0,$C$1*$CI$66/12,IFERROR(-IPMT($CI$66/12,(CC84-60),($F$1-5)*12,$CI$65,0),0))</f>
        <v>0</v>
      </c>
      <c r="CG84" s="497">
        <f t="shared" si="47"/>
        <v>0</v>
      </c>
      <c r="CH84" s="497">
        <f t="shared" si="34"/>
        <v>1800000</v>
      </c>
      <c r="CI84" s="493"/>
      <c r="CJ84" s="493"/>
      <c r="CL84" s="492">
        <v>80</v>
      </c>
      <c r="CM84" s="492">
        <v>7</v>
      </c>
      <c r="CN84" s="497">
        <f>IF(('Comparison Calculator'!$E$11-CM84)&gt;=0,0,IFERROR(-PPMT($CR$66/12,(CL84-60),($F$1-5)*12,$CR$65),0))</f>
        <v>0</v>
      </c>
      <c r="CO84" s="497">
        <f>IF(('Comparison Calculator'!$E$11-CM84)&gt;=0,$C$1*$CI$66/12,IFERROR(-IPMT($CI$66/12,(CL84-60),($F$1-5)*12,$CI$65,0),0))</f>
        <v>0</v>
      </c>
      <c r="CP84" s="497">
        <f t="shared" si="48"/>
        <v>0</v>
      </c>
      <c r="CQ84" s="497">
        <f t="shared" si="35"/>
        <v>1800000</v>
      </c>
      <c r="CR84" s="493"/>
      <c r="CS84" s="493"/>
      <c r="CU84" s="492">
        <v>80</v>
      </c>
      <c r="CV84" s="492">
        <v>7</v>
      </c>
      <c r="CW84" s="497">
        <f>IF(('Comparison Calculator'!$E$11-CV84)&gt;=0,0,IFERROR(-PPMT($DA$66/12,(CU84-60),($F$1-5)*12,$DA$65),0))</f>
        <v>0</v>
      </c>
      <c r="CX84" s="497">
        <f>IF(('Comparison Calculator'!$E$11-CV84)&gt;=0,$C$1*$DA$66/12,IFERROR(-IPMT($DA$66/12,(CU84-60),($F$1-5)*12,$DA$65,0),0))</f>
        <v>0</v>
      </c>
      <c r="CY84" s="497">
        <f t="shared" si="49"/>
        <v>0</v>
      </c>
      <c r="CZ84" s="497">
        <f t="shared" si="36"/>
        <v>1800000</v>
      </c>
      <c r="DA84" s="493"/>
      <c r="DB84" s="493"/>
      <c r="DD84" s="492">
        <v>80</v>
      </c>
      <c r="DE84" s="492">
        <v>7</v>
      </c>
      <c r="DF84" s="497">
        <f>IF(('Comparison Calculator'!$E$11-DE84)&gt;=0,0,IFERROR(-PPMT($DJ$66/12,(DD84-60),($F$1-5)*12,$DJ$65),0))</f>
        <v>0</v>
      </c>
      <c r="DG84" s="497">
        <f>IF(('Comparison Calculator'!$E$11-DE84)&gt;=0,$C$1*$DJ$66/12,IFERROR(-IPMT($DJ$66/12,(DD84-60),($F$1-5)*12,$DJ$65,0),0))</f>
        <v>0</v>
      </c>
      <c r="DH84" s="497">
        <f t="shared" si="50"/>
        <v>0</v>
      </c>
      <c r="DI84" s="497">
        <f t="shared" si="37"/>
        <v>1800000</v>
      </c>
      <c r="DJ84" s="493"/>
      <c r="DK84" s="493"/>
    </row>
    <row r="85" spans="1:115">
      <c r="A85" s="492">
        <v>81</v>
      </c>
      <c r="B85" s="492">
        <v>7</v>
      </c>
      <c r="C85" s="497">
        <f>IF(('Comparison Calculator'!$E$11-B85)&gt;=0,0,IFERROR(-PPMT($G$66/12,(A85-60),($F$1-5)*12,$G$65),0))</f>
        <v>0</v>
      </c>
      <c r="D85" s="497">
        <f>IF(('Comparison Calculator'!$E$11-B85)&gt;=0,$C$1*$G$66/12,IFERROR(-IPMT($G$66/12,(A85-60),($F$1-5)*12,$G$65,0),0))</f>
        <v>0</v>
      </c>
      <c r="E85" s="497">
        <f t="shared" si="38"/>
        <v>0</v>
      </c>
      <c r="F85" s="497">
        <f t="shared" si="51"/>
        <v>1800000</v>
      </c>
      <c r="G85" s="493"/>
      <c r="H85" s="493"/>
      <c r="I85" s="489"/>
      <c r="J85" s="492">
        <v>81</v>
      </c>
      <c r="K85" s="492">
        <v>7</v>
      </c>
      <c r="L85" s="497">
        <f>IF(('Comparison Calculator'!$E$11-K85)&gt;=0,0,IFERROR(-PPMT($P$66/12,(J85-60),($F$1-5)*12,$P$65),0))</f>
        <v>0</v>
      </c>
      <c r="M85" s="497">
        <f>IF(('Comparison Calculator'!$E$11-K85)&gt;=0,$C$1*$P$66/12,IFERROR(-IPMT($P$66/12,(J85-60),($F$1-5)*12,$P$65,0),0))</f>
        <v>0</v>
      </c>
      <c r="N85" s="497">
        <f t="shared" si="39"/>
        <v>0</v>
      </c>
      <c r="O85" s="497">
        <f t="shared" si="26"/>
        <v>1800000</v>
      </c>
      <c r="P85" s="493"/>
      <c r="Q85" s="493"/>
      <c r="S85" s="492">
        <v>81</v>
      </c>
      <c r="T85" s="492">
        <v>7</v>
      </c>
      <c r="U85" s="497">
        <f>IF(('Comparison Calculator'!$E$11-T85)&gt;=0,0,IFERROR(-PPMT($Y$66/12,(S85-60),($F$1-5)*12,$Y$65),0))</f>
        <v>0</v>
      </c>
      <c r="V85" s="497">
        <f>IF(('Comparison Calculator'!$E$11-T85)&gt;=0,$C$1*$Y$66/12,IFERROR(-IPMT($Y$66/12,(S85-60),($F$1-5)*12,$Y$65,0),0))</f>
        <v>0</v>
      </c>
      <c r="W85" s="497">
        <f t="shared" si="40"/>
        <v>0</v>
      </c>
      <c r="X85" s="497">
        <f t="shared" si="27"/>
        <v>1800000</v>
      </c>
      <c r="Y85" s="493"/>
      <c r="Z85" s="493"/>
      <c r="AB85" s="492">
        <v>81</v>
      </c>
      <c r="AC85" s="492">
        <v>7</v>
      </c>
      <c r="AD85" s="497">
        <f>IF(('Comparison Calculator'!$E$11-AC85)&gt;=0,0,IFERROR(-PPMT($AH$66/12,(AB85-60),($F$1-5)*12,$AH$65),0))</f>
        <v>0</v>
      </c>
      <c r="AE85" s="497">
        <f>IF(('Comparison Calculator'!$E$11-AC85)&gt;=0,$C$1*$AH$66/12,IFERROR(-IPMT($AH$66/12,(AB85-60),($F$1-5)*12,$AH$65,0),0))</f>
        <v>0</v>
      </c>
      <c r="AF85" s="497">
        <f t="shared" si="41"/>
        <v>0</v>
      </c>
      <c r="AG85" s="497">
        <f t="shared" si="28"/>
        <v>1800000</v>
      </c>
      <c r="AH85" s="493"/>
      <c r="AI85" s="493"/>
      <c r="AK85" s="492">
        <v>81</v>
      </c>
      <c r="AL85" s="492">
        <v>7</v>
      </c>
      <c r="AM85" s="497">
        <f>IF(('Comparison Calculator'!$E$11-AL85)&gt;=0,0,IFERROR(-PPMT($AQ$66/12,(AK85-60),($F$1-5)*12,$AQ$65),0))</f>
        <v>0</v>
      </c>
      <c r="AN85" s="497">
        <f>IF(('Comparison Calculator'!$E$11-AL85)&gt;=0,$C$1*$AQ$66/12,IFERROR(-IPMT($AQ$66/12,(AK85-60),($F$1-5)*12,$AQ$65,0),0))</f>
        <v>0</v>
      </c>
      <c r="AO85" s="497">
        <f t="shared" si="42"/>
        <v>0</v>
      </c>
      <c r="AP85" s="497">
        <f t="shared" si="29"/>
        <v>1800000</v>
      </c>
      <c r="AQ85" s="493"/>
      <c r="AR85" s="493"/>
      <c r="AT85" s="492">
        <v>81</v>
      </c>
      <c r="AU85" s="492">
        <v>7</v>
      </c>
      <c r="AV85" s="497">
        <f>IF(('Comparison Calculator'!$E$11-AU85)&gt;=0,0,IFERROR(-PPMT($AZ$66/12,(AT85-60),($F$1-5)*12,$AZ$65),0))</f>
        <v>0</v>
      </c>
      <c r="AW85" s="497">
        <f>IF(('Comparison Calculator'!$E$11-AU85)&gt;=0,$C$1*$AZ$66/12,IFERROR(-IPMT($AZ$66/12,(AT85-60),($F$1-5)*12,$AZ$65,0),0))</f>
        <v>0</v>
      </c>
      <c r="AX85" s="497">
        <f t="shared" si="43"/>
        <v>0</v>
      </c>
      <c r="AY85" s="497">
        <f t="shared" si="30"/>
        <v>1800000</v>
      </c>
      <c r="AZ85" s="493"/>
      <c r="BA85" s="493"/>
      <c r="BC85" s="492">
        <v>81</v>
      </c>
      <c r="BD85" s="492">
        <v>7</v>
      </c>
      <c r="BE85" s="497">
        <f>IF(('Comparison Calculator'!$E$11-BD85)&gt;=0,0,IFERROR(-PPMT($BI$66/12,(BC85-60),($F$1-5)*12,$BI$65),0))</f>
        <v>0</v>
      </c>
      <c r="BF85" s="497">
        <f>IF(('Comparison Calculator'!$E$11-BD85)&gt;=0,$C$1*$BI$66/12,IFERROR(-IPMT($BI$66/12,(BC85-60),($F$1-5)*12,$BI$65,0),0))</f>
        <v>0</v>
      </c>
      <c r="BG85" s="497">
        <f t="shared" si="44"/>
        <v>0</v>
      </c>
      <c r="BH85" s="497">
        <f t="shared" si="31"/>
        <v>1800000</v>
      </c>
      <c r="BI85" s="493"/>
      <c r="BJ85" s="493"/>
      <c r="BK85" s="492">
        <v>81</v>
      </c>
      <c r="BL85" s="492">
        <v>7</v>
      </c>
      <c r="BM85" s="497">
        <f>IF(('Comparison Calculator'!$E$11-BL85)&gt;=0,0,IFERROR(-PPMT($BQ$66/12,(BK85-60),($F$1-5)*12,$BQ$65),0))</f>
        <v>0</v>
      </c>
      <c r="BN85" s="497">
        <f>IF(('Comparison Calculator'!$E$11-BL85)&gt;=0,$C$1*$BQ$66/12,IFERROR(-IPMT($BQ$66/12,(BK85-60),($F$1-5)*12,$BQ$65,0),0))</f>
        <v>0</v>
      </c>
      <c r="BO85" s="497">
        <f t="shared" si="45"/>
        <v>0</v>
      </c>
      <c r="BP85" s="497">
        <f t="shared" si="32"/>
        <v>1800000</v>
      </c>
      <c r="BQ85" s="493"/>
      <c r="BR85" s="493"/>
      <c r="BT85" s="492">
        <v>81</v>
      </c>
      <c r="BU85" s="492">
        <v>7</v>
      </c>
      <c r="BV85" s="497">
        <f>IF(('Comparison Calculator'!$E$11-BU85)&gt;=0,0,IFERROR(-PPMT($BZ$66/12,(BT85-60),($F$1-5)*12,$BZ$65),0))</f>
        <v>0</v>
      </c>
      <c r="BW85" s="497">
        <f>IF(('Comparison Calculator'!$E$11-BU85)&gt;=0,$C$1*$BZ$66/12,IFERROR(-IPMT($BZ$66/12,(BT85-60),($F$1-5)*12,$BZ$65,0),0))</f>
        <v>0</v>
      </c>
      <c r="BX85" s="497">
        <f t="shared" si="46"/>
        <v>0</v>
      </c>
      <c r="BY85" s="497">
        <f t="shared" si="33"/>
        <v>1800000</v>
      </c>
      <c r="BZ85" s="493"/>
      <c r="CA85" s="493"/>
      <c r="CC85" s="492">
        <v>81</v>
      </c>
      <c r="CD85" s="492">
        <v>7</v>
      </c>
      <c r="CE85" s="497">
        <f>IF(('Comparison Calculator'!$E$11-CD85)&gt;=0,0,IFERROR(-PPMT($CI$66/12,(CC85-60),($F$1-5)*12,$CI$65),0))</f>
        <v>0</v>
      </c>
      <c r="CF85" s="497">
        <f>IF(('Comparison Calculator'!$E$11-CD85)&gt;=0,$C$1*$CI$66/12,IFERROR(-IPMT($CI$66/12,(CC85-60),($F$1-5)*12,$CI$65,0),0))</f>
        <v>0</v>
      </c>
      <c r="CG85" s="497">
        <f t="shared" si="47"/>
        <v>0</v>
      </c>
      <c r="CH85" s="497">
        <f t="shared" si="34"/>
        <v>1800000</v>
      </c>
      <c r="CI85" s="493"/>
      <c r="CJ85" s="493"/>
      <c r="CL85" s="492">
        <v>81</v>
      </c>
      <c r="CM85" s="492">
        <v>7</v>
      </c>
      <c r="CN85" s="497">
        <f>IF(('Comparison Calculator'!$E$11-CM85)&gt;=0,0,IFERROR(-PPMT($CR$66/12,(CL85-60),($F$1-5)*12,$CR$65),0))</f>
        <v>0</v>
      </c>
      <c r="CO85" s="497">
        <f>IF(('Comparison Calculator'!$E$11-CM85)&gt;=0,$C$1*$CI$66/12,IFERROR(-IPMT($CI$66/12,(CL85-60),($F$1-5)*12,$CI$65,0),0))</f>
        <v>0</v>
      </c>
      <c r="CP85" s="497">
        <f t="shared" si="48"/>
        <v>0</v>
      </c>
      <c r="CQ85" s="497">
        <f t="shared" si="35"/>
        <v>1800000</v>
      </c>
      <c r="CR85" s="493"/>
      <c r="CS85" s="493"/>
      <c r="CU85" s="492">
        <v>81</v>
      </c>
      <c r="CV85" s="492">
        <v>7</v>
      </c>
      <c r="CW85" s="497">
        <f>IF(('Comparison Calculator'!$E$11-CV85)&gt;=0,0,IFERROR(-PPMT($DA$66/12,(CU85-60),($F$1-5)*12,$DA$65),0))</f>
        <v>0</v>
      </c>
      <c r="CX85" s="497">
        <f>IF(('Comparison Calculator'!$E$11-CV85)&gt;=0,$C$1*$DA$66/12,IFERROR(-IPMT($DA$66/12,(CU85-60),($F$1-5)*12,$DA$65,0),0))</f>
        <v>0</v>
      </c>
      <c r="CY85" s="497">
        <f t="shared" si="49"/>
        <v>0</v>
      </c>
      <c r="CZ85" s="497">
        <f t="shared" si="36"/>
        <v>1800000</v>
      </c>
      <c r="DA85" s="493"/>
      <c r="DB85" s="493"/>
      <c r="DD85" s="492">
        <v>81</v>
      </c>
      <c r="DE85" s="492">
        <v>7</v>
      </c>
      <c r="DF85" s="497">
        <f>IF(('Comparison Calculator'!$E$11-DE85)&gt;=0,0,IFERROR(-PPMT($DJ$66/12,(DD85-60),($F$1-5)*12,$DJ$65),0))</f>
        <v>0</v>
      </c>
      <c r="DG85" s="497">
        <f>IF(('Comparison Calculator'!$E$11-DE85)&gt;=0,$C$1*$DJ$66/12,IFERROR(-IPMT($DJ$66/12,(DD85-60),($F$1-5)*12,$DJ$65,0),0))</f>
        <v>0</v>
      </c>
      <c r="DH85" s="497">
        <f t="shared" si="50"/>
        <v>0</v>
      </c>
      <c r="DI85" s="497">
        <f t="shared" si="37"/>
        <v>1800000</v>
      </c>
      <c r="DJ85" s="493"/>
      <c r="DK85" s="493"/>
    </row>
    <row r="86" spans="1:115">
      <c r="A86" s="492">
        <v>82</v>
      </c>
      <c r="B86" s="492">
        <v>7</v>
      </c>
      <c r="C86" s="497">
        <f>IF(('Comparison Calculator'!$E$11-B86)&gt;=0,0,IFERROR(-PPMT($G$66/12,(A86-60),($F$1-5)*12,$G$65),0))</f>
        <v>0</v>
      </c>
      <c r="D86" s="497">
        <f>IF(('Comparison Calculator'!$E$11-B86)&gt;=0,$C$1*$G$66/12,IFERROR(-IPMT($G$66/12,(A86-60),($F$1-5)*12,$G$65,0),0))</f>
        <v>0</v>
      </c>
      <c r="E86" s="497">
        <f t="shared" si="38"/>
        <v>0</v>
      </c>
      <c r="F86" s="497">
        <f t="shared" si="51"/>
        <v>1800000</v>
      </c>
      <c r="G86" s="493"/>
      <c r="H86" s="493"/>
      <c r="I86" s="489"/>
      <c r="J86" s="492">
        <v>82</v>
      </c>
      <c r="K86" s="492">
        <v>7</v>
      </c>
      <c r="L86" s="497">
        <f>IF(('Comparison Calculator'!$E$11-K86)&gt;=0,0,IFERROR(-PPMT($P$66/12,(J86-60),($F$1-5)*12,$P$65),0))</f>
        <v>0</v>
      </c>
      <c r="M86" s="497">
        <f>IF(('Comparison Calculator'!$E$11-K86)&gt;=0,$C$1*$P$66/12,IFERROR(-IPMT($P$66/12,(J86-60),($F$1-5)*12,$P$65,0),0))</f>
        <v>0</v>
      </c>
      <c r="N86" s="497">
        <f t="shared" si="39"/>
        <v>0</v>
      </c>
      <c r="O86" s="497">
        <f t="shared" si="26"/>
        <v>1800000</v>
      </c>
      <c r="P86" s="493"/>
      <c r="Q86" s="493"/>
      <c r="S86" s="492">
        <v>82</v>
      </c>
      <c r="T86" s="492">
        <v>7</v>
      </c>
      <c r="U86" s="497">
        <f>IF(('Comparison Calculator'!$E$11-T86)&gt;=0,0,IFERROR(-PPMT($Y$66/12,(S86-60),($F$1-5)*12,$Y$65),0))</f>
        <v>0</v>
      </c>
      <c r="V86" s="497">
        <f>IF(('Comparison Calculator'!$E$11-T86)&gt;=0,$C$1*$Y$66/12,IFERROR(-IPMT($Y$66/12,(S86-60),($F$1-5)*12,$Y$65,0),0))</f>
        <v>0</v>
      </c>
      <c r="W86" s="497">
        <f t="shared" si="40"/>
        <v>0</v>
      </c>
      <c r="X86" s="497">
        <f t="shared" si="27"/>
        <v>1800000</v>
      </c>
      <c r="Y86" s="493"/>
      <c r="Z86" s="493"/>
      <c r="AB86" s="492">
        <v>82</v>
      </c>
      <c r="AC86" s="492">
        <v>7</v>
      </c>
      <c r="AD86" s="497">
        <f>IF(('Comparison Calculator'!$E$11-AC86)&gt;=0,0,IFERROR(-PPMT($AH$66/12,(AB86-60),($F$1-5)*12,$AH$65),0))</f>
        <v>0</v>
      </c>
      <c r="AE86" s="497">
        <f>IF(('Comparison Calculator'!$E$11-AC86)&gt;=0,$C$1*$AH$66/12,IFERROR(-IPMT($AH$66/12,(AB86-60),($F$1-5)*12,$AH$65,0),0))</f>
        <v>0</v>
      </c>
      <c r="AF86" s="497">
        <f t="shared" si="41"/>
        <v>0</v>
      </c>
      <c r="AG86" s="497">
        <f t="shared" si="28"/>
        <v>1800000</v>
      </c>
      <c r="AH86" s="493"/>
      <c r="AI86" s="493"/>
      <c r="AK86" s="492">
        <v>82</v>
      </c>
      <c r="AL86" s="492">
        <v>7</v>
      </c>
      <c r="AM86" s="497">
        <f>IF(('Comparison Calculator'!$E$11-AL86)&gt;=0,0,IFERROR(-PPMT($AQ$66/12,(AK86-60),($F$1-5)*12,$AQ$65),0))</f>
        <v>0</v>
      </c>
      <c r="AN86" s="497">
        <f>IF(('Comparison Calculator'!$E$11-AL86)&gt;=0,$C$1*$AQ$66/12,IFERROR(-IPMT($AQ$66/12,(AK86-60),($F$1-5)*12,$AQ$65,0),0))</f>
        <v>0</v>
      </c>
      <c r="AO86" s="497">
        <f t="shared" si="42"/>
        <v>0</v>
      </c>
      <c r="AP86" s="497">
        <f t="shared" si="29"/>
        <v>1800000</v>
      </c>
      <c r="AQ86" s="493"/>
      <c r="AR86" s="493"/>
      <c r="AT86" s="492">
        <v>82</v>
      </c>
      <c r="AU86" s="492">
        <v>7</v>
      </c>
      <c r="AV86" s="497">
        <f>IF(('Comparison Calculator'!$E$11-AU86)&gt;=0,0,IFERROR(-PPMT($AZ$66/12,(AT86-60),($F$1-5)*12,$AZ$65),0))</f>
        <v>0</v>
      </c>
      <c r="AW86" s="497">
        <f>IF(('Comparison Calculator'!$E$11-AU86)&gt;=0,$C$1*$AZ$66/12,IFERROR(-IPMT($AZ$66/12,(AT86-60),($F$1-5)*12,$AZ$65,0),0))</f>
        <v>0</v>
      </c>
      <c r="AX86" s="497">
        <f t="shared" si="43"/>
        <v>0</v>
      </c>
      <c r="AY86" s="497">
        <f t="shared" si="30"/>
        <v>1800000</v>
      </c>
      <c r="AZ86" s="493"/>
      <c r="BA86" s="493"/>
      <c r="BC86" s="492">
        <v>82</v>
      </c>
      <c r="BD86" s="492">
        <v>7</v>
      </c>
      <c r="BE86" s="497">
        <f>IF(('Comparison Calculator'!$E$11-BD86)&gt;=0,0,IFERROR(-PPMT($BI$66/12,(BC86-60),($F$1-5)*12,$BI$65),0))</f>
        <v>0</v>
      </c>
      <c r="BF86" s="497">
        <f>IF(('Comparison Calculator'!$E$11-BD86)&gt;=0,$C$1*$BI$66/12,IFERROR(-IPMT($BI$66/12,(BC86-60),($F$1-5)*12,$BI$65,0),0))</f>
        <v>0</v>
      </c>
      <c r="BG86" s="497">
        <f t="shared" si="44"/>
        <v>0</v>
      </c>
      <c r="BH86" s="497">
        <f t="shared" si="31"/>
        <v>1800000</v>
      </c>
      <c r="BI86" s="493"/>
      <c r="BJ86" s="493"/>
      <c r="BK86" s="492">
        <v>82</v>
      </c>
      <c r="BL86" s="492">
        <v>7</v>
      </c>
      <c r="BM86" s="497">
        <f>IF(('Comparison Calculator'!$E$11-BL86)&gt;=0,0,IFERROR(-PPMT($BQ$66/12,(BK86-60),($F$1-5)*12,$BQ$65),0))</f>
        <v>0</v>
      </c>
      <c r="BN86" s="497">
        <f>IF(('Comparison Calculator'!$E$11-BL86)&gt;=0,$C$1*$BQ$66/12,IFERROR(-IPMT($BQ$66/12,(BK86-60),($F$1-5)*12,$BQ$65,0),0))</f>
        <v>0</v>
      </c>
      <c r="BO86" s="497">
        <f t="shared" si="45"/>
        <v>0</v>
      </c>
      <c r="BP86" s="497">
        <f t="shared" si="32"/>
        <v>1800000</v>
      </c>
      <c r="BQ86" s="493"/>
      <c r="BR86" s="493"/>
      <c r="BT86" s="492">
        <v>82</v>
      </c>
      <c r="BU86" s="492">
        <v>7</v>
      </c>
      <c r="BV86" s="497">
        <f>IF(('Comparison Calculator'!$E$11-BU86)&gt;=0,0,IFERROR(-PPMT($BZ$66/12,(BT86-60),($F$1-5)*12,$BZ$65),0))</f>
        <v>0</v>
      </c>
      <c r="BW86" s="497">
        <f>IF(('Comparison Calculator'!$E$11-BU86)&gt;=0,$C$1*$BZ$66/12,IFERROR(-IPMT($BZ$66/12,(BT86-60),($F$1-5)*12,$BZ$65,0),0))</f>
        <v>0</v>
      </c>
      <c r="BX86" s="497">
        <f t="shared" si="46"/>
        <v>0</v>
      </c>
      <c r="BY86" s="497">
        <f t="shared" si="33"/>
        <v>1800000</v>
      </c>
      <c r="BZ86" s="493"/>
      <c r="CA86" s="493"/>
      <c r="CC86" s="492">
        <v>82</v>
      </c>
      <c r="CD86" s="492">
        <v>7</v>
      </c>
      <c r="CE86" s="497">
        <f>IF(('Comparison Calculator'!$E$11-CD86)&gt;=0,0,IFERROR(-PPMT($CI$66/12,(CC86-60),($F$1-5)*12,$CI$65),0))</f>
        <v>0</v>
      </c>
      <c r="CF86" s="497">
        <f>IF(('Comparison Calculator'!$E$11-CD86)&gt;=0,$C$1*$CI$66/12,IFERROR(-IPMT($CI$66/12,(CC86-60),($F$1-5)*12,$CI$65,0),0))</f>
        <v>0</v>
      </c>
      <c r="CG86" s="497">
        <f t="shared" si="47"/>
        <v>0</v>
      </c>
      <c r="CH86" s="497">
        <f t="shared" si="34"/>
        <v>1800000</v>
      </c>
      <c r="CI86" s="493"/>
      <c r="CJ86" s="493"/>
      <c r="CL86" s="492">
        <v>82</v>
      </c>
      <c r="CM86" s="492">
        <v>7</v>
      </c>
      <c r="CN86" s="497">
        <f>IF(('Comparison Calculator'!$E$11-CM86)&gt;=0,0,IFERROR(-PPMT($CR$66/12,(CL86-60),($F$1-5)*12,$CR$65),0))</f>
        <v>0</v>
      </c>
      <c r="CO86" s="497">
        <f>IF(('Comparison Calculator'!$E$11-CM86)&gt;=0,$C$1*$CI$66/12,IFERROR(-IPMT($CI$66/12,(CL86-60),($F$1-5)*12,$CI$65,0),0))</f>
        <v>0</v>
      </c>
      <c r="CP86" s="497">
        <f t="shared" si="48"/>
        <v>0</v>
      </c>
      <c r="CQ86" s="497">
        <f t="shared" si="35"/>
        <v>1800000</v>
      </c>
      <c r="CR86" s="493"/>
      <c r="CS86" s="493"/>
      <c r="CU86" s="492">
        <v>82</v>
      </c>
      <c r="CV86" s="492">
        <v>7</v>
      </c>
      <c r="CW86" s="497">
        <f>IF(('Comparison Calculator'!$E$11-CV86)&gt;=0,0,IFERROR(-PPMT($DA$66/12,(CU86-60),($F$1-5)*12,$DA$65),0))</f>
        <v>0</v>
      </c>
      <c r="CX86" s="497">
        <f>IF(('Comparison Calculator'!$E$11-CV86)&gt;=0,$C$1*$DA$66/12,IFERROR(-IPMT($DA$66/12,(CU86-60),($F$1-5)*12,$DA$65,0),0))</f>
        <v>0</v>
      </c>
      <c r="CY86" s="497">
        <f t="shared" si="49"/>
        <v>0</v>
      </c>
      <c r="CZ86" s="497">
        <f t="shared" si="36"/>
        <v>1800000</v>
      </c>
      <c r="DA86" s="493"/>
      <c r="DB86" s="493"/>
      <c r="DD86" s="492">
        <v>82</v>
      </c>
      <c r="DE86" s="492">
        <v>7</v>
      </c>
      <c r="DF86" s="497">
        <f>IF(('Comparison Calculator'!$E$11-DE86)&gt;=0,0,IFERROR(-PPMT($DJ$66/12,(DD86-60),($F$1-5)*12,$DJ$65),0))</f>
        <v>0</v>
      </c>
      <c r="DG86" s="497">
        <f>IF(('Comparison Calculator'!$E$11-DE86)&gt;=0,$C$1*$DJ$66/12,IFERROR(-IPMT($DJ$66/12,(DD86-60),($F$1-5)*12,$DJ$65,0),0))</f>
        <v>0</v>
      </c>
      <c r="DH86" s="497">
        <f t="shared" si="50"/>
        <v>0</v>
      </c>
      <c r="DI86" s="497">
        <f t="shared" si="37"/>
        <v>1800000</v>
      </c>
      <c r="DJ86" s="493"/>
      <c r="DK86" s="493"/>
    </row>
    <row r="87" spans="1:115">
      <c r="A87" s="492">
        <v>83</v>
      </c>
      <c r="B87" s="492">
        <v>7</v>
      </c>
      <c r="C87" s="497">
        <f>IF(('Comparison Calculator'!$E$11-B87)&gt;=0,0,IFERROR(-PPMT($G$66/12,(A87-60),($F$1-5)*12,$G$65),0))</f>
        <v>0</v>
      </c>
      <c r="D87" s="497">
        <f>IF(('Comparison Calculator'!$E$11-B87)&gt;=0,$C$1*$G$66/12,IFERROR(-IPMT($G$66/12,(A87-60),($F$1-5)*12,$G$65,0),0))</f>
        <v>0</v>
      </c>
      <c r="E87" s="497">
        <f t="shared" si="38"/>
        <v>0</v>
      </c>
      <c r="F87" s="497">
        <f t="shared" si="51"/>
        <v>1800000</v>
      </c>
      <c r="G87" s="493"/>
      <c r="H87" s="493"/>
      <c r="I87" s="489"/>
      <c r="J87" s="492">
        <v>83</v>
      </c>
      <c r="K87" s="492">
        <v>7</v>
      </c>
      <c r="L87" s="497">
        <f>IF(('Comparison Calculator'!$E$11-K87)&gt;=0,0,IFERROR(-PPMT($P$66/12,(J87-60),($F$1-5)*12,$P$65),0))</f>
        <v>0</v>
      </c>
      <c r="M87" s="497">
        <f>IF(('Comparison Calculator'!$E$11-K87)&gt;=0,$C$1*$P$66/12,IFERROR(-IPMT($P$66/12,(J87-60),($F$1-5)*12,$P$65,0),0))</f>
        <v>0</v>
      </c>
      <c r="N87" s="497">
        <f t="shared" si="39"/>
        <v>0</v>
      </c>
      <c r="O87" s="497">
        <f t="shared" si="26"/>
        <v>1800000</v>
      </c>
      <c r="P87" s="493"/>
      <c r="Q87" s="493"/>
      <c r="S87" s="492">
        <v>83</v>
      </c>
      <c r="T87" s="492">
        <v>7</v>
      </c>
      <c r="U87" s="497">
        <f>IF(('Comparison Calculator'!$E$11-T87)&gt;=0,0,IFERROR(-PPMT($Y$66/12,(S87-60),($F$1-5)*12,$Y$65),0))</f>
        <v>0</v>
      </c>
      <c r="V87" s="497">
        <f>IF(('Comparison Calculator'!$E$11-T87)&gt;=0,$C$1*$Y$66/12,IFERROR(-IPMT($Y$66/12,(S87-60),($F$1-5)*12,$Y$65,0),0))</f>
        <v>0</v>
      </c>
      <c r="W87" s="497">
        <f t="shared" si="40"/>
        <v>0</v>
      </c>
      <c r="X87" s="497">
        <f t="shared" si="27"/>
        <v>1800000</v>
      </c>
      <c r="Y87" s="493"/>
      <c r="Z87" s="493"/>
      <c r="AB87" s="492">
        <v>83</v>
      </c>
      <c r="AC87" s="492">
        <v>7</v>
      </c>
      <c r="AD87" s="497">
        <f>IF(('Comparison Calculator'!$E$11-AC87)&gt;=0,0,IFERROR(-PPMT($AH$66/12,(AB87-60),($F$1-5)*12,$AH$65),0))</f>
        <v>0</v>
      </c>
      <c r="AE87" s="497">
        <f>IF(('Comparison Calculator'!$E$11-AC87)&gt;=0,$C$1*$AH$66/12,IFERROR(-IPMT($AH$66/12,(AB87-60),($F$1-5)*12,$AH$65,0),0))</f>
        <v>0</v>
      </c>
      <c r="AF87" s="497">
        <f t="shared" si="41"/>
        <v>0</v>
      </c>
      <c r="AG87" s="497">
        <f t="shared" si="28"/>
        <v>1800000</v>
      </c>
      <c r="AH87" s="493"/>
      <c r="AI87" s="493"/>
      <c r="AK87" s="492">
        <v>83</v>
      </c>
      <c r="AL87" s="492">
        <v>7</v>
      </c>
      <c r="AM87" s="497">
        <f>IF(('Comparison Calculator'!$E$11-AL87)&gt;=0,0,IFERROR(-PPMT($AQ$66/12,(AK87-60),($F$1-5)*12,$AQ$65),0))</f>
        <v>0</v>
      </c>
      <c r="AN87" s="497">
        <f>IF(('Comparison Calculator'!$E$11-AL87)&gt;=0,$C$1*$AQ$66/12,IFERROR(-IPMT($AQ$66/12,(AK87-60),($F$1-5)*12,$AQ$65,0),0))</f>
        <v>0</v>
      </c>
      <c r="AO87" s="497">
        <f t="shared" si="42"/>
        <v>0</v>
      </c>
      <c r="AP87" s="497">
        <f t="shared" si="29"/>
        <v>1800000</v>
      </c>
      <c r="AQ87" s="493"/>
      <c r="AR87" s="493"/>
      <c r="AT87" s="492">
        <v>83</v>
      </c>
      <c r="AU87" s="492">
        <v>7</v>
      </c>
      <c r="AV87" s="497">
        <f>IF(('Comparison Calculator'!$E$11-AU87)&gt;=0,0,IFERROR(-PPMT($AZ$66/12,(AT87-60),($F$1-5)*12,$AZ$65),0))</f>
        <v>0</v>
      </c>
      <c r="AW87" s="497">
        <f>IF(('Comparison Calculator'!$E$11-AU87)&gt;=0,$C$1*$AZ$66/12,IFERROR(-IPMT($AZ$66/12,(AT87-60),($F$1-5)*12,$AZ$65,0),0))</f>
        <v>0</v>
      </c>
      <c r="AX87" s="497">
        <f t="shared" si="43"/>
        <v>0</v>
      </c>
      <c r="AY87" s="497">
        <f t="shared" si="30"/>
        <v>1800000</v>
      </c>
      <c r="AZ87" s="493"/>
      <c r="BA87" s="493"/>
      <c r="BC87" s="492">
        <v>83</v>
      </c>
      <c r="BD87" s="492">
        <v>7</v>
      </c>
      <c r="BE87" s="497">
        <f>IF(('Comparison Calculator'!$E$11-BD87)&gt;=0,0,IFERROR(-PPMT($BI$66/12,(BC87-60),($F$1-5)*12,$BI$65),0))</f>
        <v>0</v>
      </c>
      <c r="BF87" s="497">
        <f>IF(('Comparison Calculator'!$E$11-BD87)&gt;=0,$C$1*$BI$66/12,IFERROR(-IPMT($BI$66/12,(BC87-60),($F$1-5)*12,$BI$65,0),0))</f>
        <v>0</v>
      </c>
      <c r="BG87" s="497">
        <f t="shared" si="44"/>
        <v>0</v>
      </c>
      <c r="BH87" s="497">
        <f t="shared" si="31"/>
        <v>1800000</v>
      </c>
      <c r="BI87" s="493"/>
      <c r="BJ87" s="493"/>
      <c r="BK87" s="492">
        <v>83</v>
      </c>
      <c r="BL87" s="492">
        <v>7</v>
      </c>
      <c r="BM87" s="497">
        <f>IF(('Comparison Calculator'!$E$11-BL87)&gt;=0,0,IFERROR(-PPMT($BQ$66/12,(BK87-60),($F$1-5)*12,$BQ$65),0))</f>
        <v>0</v>
      </c>
      <c r="BN87" s="497">
        <f>IF(('Comparison Calculator'!$E$11-BL87)&gt;=0,$C$1*$BQ$66/12,IFERROR(-IPMT($BQ$66/12,(BK87-60),($F$1-5)*12,$BQ$65,0),0))</f>
        <v>0</v>
      </c>
      <c r="BO87" s="497">
        <f t="shared" si="45"/>
        <v>0</v>
      </c>
      <c r="BP87" s="497">
        <f t="shared" si="32"/>
        <v>1800000</v>
      </c>
      <c r="BQ87" s="493"/>
      <c r="BR87" s="493"/>
      <c r="BT87" s="492">
        <v>83</v>
      </c>
      <c r="BU87" s="492">
        <v>7</v>
      </c>
      <c r="BV87" s="497">
        <f>IF(('Comparison Calculator'!$E$11-BU87)&gt;=0,0,IFERROR(-PPMT($BZ$66/12,(BT87-60),($F$1-5)*12,$BZ$65),0))</f>
        <v>0</v>
      </c>
      <c r="BW87" s="497">
        <f>IF(('Comparison Calculator'!$E$11-BU87)&gt;=0,$C$1*$BZ$66/12,IFERROR(-IPMT($BZ$66/12,(BT87-60),($F$1-5)*12,$BZ$65,0),0))</f>
        <v>0</v>
      </c>
      <c r="BX87" s="497">
        <f t="shared" si="46"/>
        <v>0</v>
      </c>
      <c r="BY87" s="497">
        <f t="shared" si="33"/>
        <v>1800000</v>
      </c>
      <c r="BZ87" s="493"/>
      <c r="CA87" s="493"/>
      <c r="CC87" s="492">
        <v>83</v>
      </c>
      <c r="CD87" s="492">
        <v>7</v>
      </c>
      <c r="CE87" s="497">
        <f>IF(('Comparison Calculator'!$E$11-CD87)&gt;=0,0,IFERROR(-PPMT($CI$66/12,(CC87-60),($F$1-5)*12,$CI$65),0))</f>
        <v>0</v>
      </c>
      <c r="CF87" s="497">
        <f>IF(('Comparison Calculator'!$E$11-CD87)&gt;=0,$C$1*$CI$66/12,IFERROR(-IPMT($CI$66/12,(CC87-60),($F$1-5)*12,$CI$65,0),0))</f>
        <v>0</v>
      </c>
      <c r="CG87" s="497">
        <f t="shared" si="47"/>
        <v>0</v>
      </c>
      <c r="CH87" s="497">
        <f t="shared" si="34"/>
        <v>1800000</v>
      </c>
      <c r="CI87" s="493"/>
      <c r="CJ87" s="493"/>
      <c r="CL87" s="492">
        <v>83</v>
      </c>
      <c r="CM87" s="492">
        <v>7</v>
      </c>
      <c r="CN87" s="497">
        <f>IF(('Comparison Calculator'!$E$11-CM87)&gt;=0,0,IFERROR(-PPMT($CR$66/12,(CL87-60),($F$1-5)*12,$CR$65),0))</f>
        <v>0</v>
      </c>
      <c r="CO87" s="497">
        <f>IF(('Comparison Calculator'!$E$11-CM87)&gt;=0,$C$1*$CI$66/12,IFERROR(-IPMT($CI$66/12,(CL87-60),($F$1-5)*12,$CI$65,0),0))</f>
        <v>0</v>
      </c>
      <c r="CP87" s="497">
        <f t="shared" si="48"/>
        <v>0</v>
      </c>
      <c r="CQ87" s="497">
        <f t="shared" si="35"/>
        <v>1800000</v>
      </c>
      <c r="CR87" s="493"/>
      <c r="CS87" s="493"/>
      <c r="CU87" s="492">
        <v>83</v>
      </c>
      <c r="CV87" s="492">
        <v>7</v>
      </c>
      <c r="CW87" s="497">
        <f>IF(('Comparison Calculator'!$E$11-CV87)&gt;=0,0,IFERROR(-PPMT($DA$66/12,(CU87-60),($F$1-5)*12,$DA$65),0))</f>
        <v>0</v>
      </c>
      <c r="CX87" s="497">
        <f>IF(('Comparison Calculator'!$E$11-CV87)&gt;=0,$C$1*$DA$66/12,IFERROR(-IPMT($DA$66/12,(CU87-60),($F$1-5)*12,$DA$65,0),0))</f>
        <v>0</v>
      </c>
      <c r="CY87" s="497">
        <f t="shared" si="49"/>
        <v>0</v>
      </c>
      <c r="CZ87" s="497">
        <f t="shared" si="36"/>
        <v>1800000</v>
      </c>
      <c r="DA87" s="493"/>
      <c r="DB87" s="493"/>
      <c r="DD87" s="492">
        <v>83</v>
      </c>
      <c r="DE87" s="492">
        <v>7</v>
      </c>
      <c r="DF87" s="497">
        <f>IF(('Comparison Calculator'!$E$11-DE87)&gt;=0,0,IFERROR(-PPMT($DJ$66/12,(DD87-60),($F$1-5)*12,$DJ$65),0))</f>
        <v>0</v>
      </c>
      <c r="DG87" s="497">
        <f>IF(('Comparison Calculator'!$E$11-DE87)&gt;=0,$C$1*$DJ$66/12,IFERROR(-IPMT($DJ$66/12,(DD87-60),($F$1-5)*12,$DJ$65,0),0))</f>
        <v>0</v>
      </c>
      <c r="DH87" s="497">
        <f t="shared" si="50"/>
        <v>0</v>
      </c>
      <c r="DI87" s="497">
        <f t="shared" si="37"/>
        <v>1800000</v>
      </c>
      <c r="DJ87" s="493"/>
      <c r="DK87" s="493"/>
    </row>
    <row r="88" spans="1:115">
      <c r="A88" s="492">
        <v>84</v>
      </c>
      <c r="B88" s="492">
        <v>7</v>
      </c>
      <c r="C88" s="497">
        <f>IF(('Comparison Calculator'!$E$11-B88)&gt;=0,0,IFERROR(-PPMT($G$66/12,(A88-60),($F$1-5)*12,$G$65),0))</f>
        <v>0</v>
      </c>
      <c r="D88" s="497">
        <f>IF(('Comparison Calculator'!$E$11-B88)&gt;=0,$C$1*$G$66/12,IFERROR(-IPMT($G$66/12,(A88-60),($F$1-5)*12,$G$65,0),0))</f>
        <v>0</v>
      </c>
      <c r="E88" s="497">
        <f t="shared" si="38"/>
        <v>0</v>
      </c>
      <c r="F88" s="497">
        <f t="shared" si="51"/>
        <v>1800000</v>
      </c>
      <c r="G88" s="493"/>
      <c r="H88" s="493"/>
      <c r="I88" s="489"/>
      <c r="J88" s="492">
        <v>84</v>
      </c>
      <c r="K88" s="492">
        <v>7</v>
      </c>
      <c r="L88" s="497">
        <f>IF(('Comparison Calculator'!$E$11-K88)&gt;=0,0,IFERROR(-PPMT($P$66/12,(J88-60),($F$1-5)*12,$P$65),0))</f>
        <v>0</v>
      </c>
      <c r="M88" s="497">
        <f>IF(('Comparison Calculator'!$E$11-K88)&gt;=0,$C$1*$P$66/12,IFERROR(-IPMT($P$66/12,(J88-60),($F$1-5)*12,$P$65,0),0))</f>
        <v>0</v>
      </c>
      <c r="N88" s="497">
        <f t="shared" si="39"/>
        <v>0</v>
      </c>
      <c r="O88" s="497">
        <f t="shared" si="26"/>
        <v>1800000</v>
      </c>
      <c r="P88" s="493"/>
      <c r="Q88" s="493"/>
      <c r="S88" s="492">
        <v>84</v>
      </c>
      <c r="T88" s="492">
        <v>7</v>
      </c>
      <c r="U88" s="497">
        <f>IF(('Comparison Calculator'!$E$11-T88)&gt;=0,0,IFERROR(-PPMT($Y$66/12,(S88-60),($F$1-5)*12,$Y$65),0))</f>
        <v>0</v>
      </c>
      <c r="V88" s="497">
        <f>IF(('Comparison Calculator'!$E$11-T88)&gt;=0,$C$1*$Y$66/12,IFERROR(-IPMT($Y$66/12,(S88-60),($F$1-5)*12,$Y$65,0),0))</f>
        <v>0</v>
      </c>
      <c r="W88" s="497">
        <f t="shared" si="40"/>
        <v>0</v>
      </c>
      <c r="X88" s="497">
        <f t="shared" si="27"/>
        <v>1800000</v>
      </c>
      <c r="Y88" s="493"/>
      <c r="Z88" s="493"/>
      <c r="AB88" s="492">
        <v>84</v>
      </c>
      <c r="AC88" s="492">
        <v>7</v>
      </c>
      <c r="AD88" s="497">
        <f>IF(('Comparison Calculator'!$E$11-AC88)&gt;=0,0,IFERROR(-PPMT($AH$66/12,(AB88-60),($F$1-5)*12,$AH$65),0))</f>
        <v>0</v>
      </c>
      <c r="AE88" s="497">
        <f>IF(('Comparison Calculator'!$E$11-AC88)&gt;=0,$C$1*$AH$66/12,IFERROR(-IPMT($AH$66/12,(AB88-60),($F$1-5)*12,$AH$65,0),0))</f>
        <v>0</v>
      </c>
      <c r="AF88" s="497">
        <f t="shared" si="41"/>
        <v>0</v>
      </c>
      <c r="AG88" s="497">
        <f t="shared" si="28"/>
        <v>1800000</v>
      </c>
      <c r="AH88" s="493"/>
      <c r="AI88" s="493"/>
      <c r="AK88" s="492">
        <v>84</v>
      </c>
      <c r="AL88" s="492">
        <v>7</v>
      </c>
      <c r="AM88" s="497">
        <f>IF(('Comparison Calculator'!$E$11-AL88)&gt;=0,0,IFERROR(-PPMT($AQ$66/12,(AK88-60),($F$1-5)*12,$AQ$65),0))</f>
        <v>0</v>
      </c>
      <c r="AN88" s="497">
        <f>IF(('Comparison Calculator'!$E$11-AL88)&gt;=0,$C$1*$AQ$66/12,IFERROR(-IPMT($AQ$66/12,(AK88-60),($F$1-5)*12,$AQ$65,0),0))</f>
        <v>0</v>
      </c>
      <c r="AO88" s="497">
        <f t="shared" si="42"/>
        <v>0</v>
      </c>
      <c r="AP88" s="497">
        <f t="shared" si="29"/>
        <v>1800000</v>
      </c>
      <c r="AQ88" s="493"/>
      <c r="AR88" s="493"/>
      <c r="AT88" s="492">
        <v>84</v>
      </c>
      <c r="AU88" s="492">
        <v>7</v>
      </c>
      <c r="AV88" s="497">
        <f>IF(('Comparison Calculator'!$E$11-AU88)&gt;=0,0,IFERROR(-PPMT($AZ$66/12,(AT88-60),($F$1-5)*12,$AZ$65),0))</f>
        <v>0</v>
      </c>
      <c r="AW88" s="497">
        <f>IF(('Comparison Calculator'!$E$11-AU88)&gt;=0,$C$1*$AZ$66/12,IFERROR(-IPMT($AZ$66/12,(AT88-60),($F$1-5)*12,$AZ$65,0),0))</f>
        <v>0</v>
      </c>
      <c r="AX88" s="497">
        <f t="shared" si="43"/>
        <v>0</v>
      </c>
      <c r="AY88" s="497">
        <f t="shared" si="30"/>
        <v>1800000</v>
      </c>
      <c r="AZ88" s="493"/>
      <c r="BA88" s="493"/>
      <c r="BC88" s="492">
        <v>84</v>
      </c>
      <c r="BD88" s="492">
        <v>7</v>
      </c>
      <c r="BE88" s="497">
        <f>IF(('Comparison Calculator'!$E$11-BD88)&gt;=0,0,IFERROR(-PPMT($BI$66/12,(BC88-60),($F$1-5)*12,$BI$65),0))</f>
        <v>0</v>
      </c>
      <c r="BF88" s="497">
        <f>IF(('Comparison Calculator'!$E$11-BD88)&gt;=0,$C$1*$BI$66/12,IFERROR(-IPMT($BI$66/12,(BC88-60),($F$1-5)*12,$BI$65,0),0))</f>
        <v>0</v>
      </c>
      <c r="BG88" s="497">
        <f t="shared" si="44"/>
        <v>0</v>
      </c>
      <c r="BH88" s="497">
        <f t="shared" si="31"/>
        <v>1800000</v>
      </c>
      <c r="BI88" s="493"/>
      <c r="BJ88" s="493"/>
      <c r="BK88" s="492">
        <v>84</v>
      </c>
      <c r="BL88" s="492">
        <v>7</v>
      </c>
      <c r="BM88" s="497">
        <f>IF(('Comparison Calculator'!$E$11-BL88)&gt;=0,0,IFERROR(-PPMT($BQ$66/12,(BK88-60),($F$1-5)*12,$BQ$65),0))</f>
        <v>0</v>
      </c>
      <c r="BN88" s="497">
        <f>IF(('Comparison Calculator'!$E$11-BL88)&gt;=0,$C$1*$BQ$66/12,IFERROR(-IPMT($BQ$66/12,(BK88-60),($F$1-5)*12,$BQ$65,0),0))</f>
        <v>0</v>
      </c>
      <c r="BO88" s="497">
        <f t="shared" si="45"/>
        <v>0</v>
      </c>
      <c r="BP88" s="497">
        <f t="shared" si="32"/>
        <v>1800000</v>
      </c>
      <c r="BQ88" s="493"/>
      <c r="BR88" s="493"/>
      <c r="BT88" s="492">
        <v>84</v>
      </c>
      <c r="BU88" s="492">
        <v>7</v>
      </c>
      <c r="BV88" s="497">
        <f>IF(('Comparison Calculator'!$E$11-BU88)&gt;=0,0,IFERROR(-PPMT($BZ$66/12,(BT88-60),($F$1-5)*12,$BZ$65),0))</f>
        <v>0</v>
      </c>
      <c r="BW88" s="497">
        <f>IF(('Comparison Calculator'!$E$11-BU88)&gt;=0,$C$1*$BZ$66/12,IFERROR(-IPMT($BZ$66/12,(BT88-60),($F$1-5)*12,$BZ$65,0),0))</f>
        <v>0</v>
      </c>
      <c r="BX88" s="497">
        <f t="shared" si="46"/>
        <v>0</v>
      </c>
      <c r="BY88" s="497">
        <f t="shared" si="33"/>
        <v>1800000</v>
      </c>
      <c r="BZ88" s="493"/>
      <c r="CA88" s="493"/>
      <c r="CC88" s="492">
        <v>84</v>
      </c>
      <c r="CD88" s="492">
        <v>7</v>
      </c>
      <c r="CE88" s="497">
        <f>IF(('Comparison Calculator'!$E$11-CD88)&gt;=0,0,IFERROR(-PPMT($CI$66/12,(CC88-60),($F$1-5)*12,$CI$65),0))</f>
        <v>0</v>
      </c>
      <c r="CF88" s="497">
        <f>IF(('Comparison Calculator'!$E$11-CD88)&gt;=0,$C$1*$CI$66/12,IFERROR(-IPMT($CI$66/12,(CC88-60),($F$1-5)*12,$CI$65,0),0))</f>
        <v>0</v>
      </c>
      <c r="CG88" s="497">
        <f t="shared" si="47"/>
        <v>0</v>
      </c>
      <c r="CH88" s="497">
        <f t="shared" si="34"/>
        <v>1800000</v>
      </c>
      <c r="CI88" s="493"/>
      <c r="CJ88" s="493"/>
      <c r="CL88" s="492">
        <v>84</v>
      </c>
      <c r="CM88" s="492">
        <v>7</v>
      </c>
      <c r="CN88" s="497">
        <f>IF(('Comparison Calculator'!$E$11-CM88)&gt;=0,0,IFERROR(-PPMT($CR$66/12,(CL88-60),($F$1-5)*12,$CR$65),0))</f>
        <v>0</v>
      </c>
      <c r="CO88" s="497">
        <f>IF(('Comparison Calculator'!$E$11-CM88)&gt;=0,$C$1*$CI$66/12,IFERROR(-IPMT($CI$66/12,(CL88-60),($F$1-5)*12,$CI$65,0),0))</f>
        <v>0</v>
      </c>
      <c r="CP88" s="497">
        <f t="shared" si="48"/>
        <v>0</v>
      </c>
      <c r="CQ88" s="497">
        <f t="shared" si="35"/>
        <v>1800000</v>
      </c>
      <c r="CR88" s="493"/>
      <c r="CS88" s="493"/>
      <c r="CU88" s="492">
        <v>84</v>
      </c>
      <c r="CV88" s="492">
        <v>7</v>
      </c>
      <c r="CW88" s="497">
        <f>IF(('Comparison Calculator'!$E$11-CV88)&gt;=0,0,IFERROR(-PPMT($DA$66/12,(CU88-60),($F$1-5)*12,$DA$65),0))</f>
        <v>0</v>
      </c>
      <c r="CX88" s="497">
        <f>IF(('Comparison Calculator'!$E$11-CV88)&gt;=0,$C$1*$DA$66/12,IFERROR(-IPMT($DA$66/12,(CU88-60),($F$1-5)*12,$DA$65,0),0))</f>
        <v>0</v>
      </c>
      <c r="CY88" s="497">
        <f t="shared" si="49"/>
        <v>0</v>
      </c>
      <c r="CZ88" s="497">
        <f t="shared" si="36"/>
        <v>1800000</v>
      </c>
      <c r="DA88" s="493"/>
      <c r="DB88" s="493"/>
      <c r="DD88" s="492">
        <v>84</v>
      </c>
      <c r="DE88" s="492">
        <v>7</v>
      </c>
      <c r="DF88" s="497">
        <f>IF(('Comparison Calculator'!$E$11-DE88)&gt;=0,0,IFERROR(-PPMT($DJ$66/12,(DD88-60),($F$1-5)*12,$DJ$65),0))</f>
        <v>0</v>
      </c>
      <c r="DG88" s="497">
        <f>IF(('Comparison Calculator'!$E$11-DE88)&gt;=0,$C$1*$DJ$66/12,IFERROR(-IPMT($DJ$66/12,(DD88-60),($F$1-5)*12,$DJ$65,0),0))</f>
        <v>0</v>
      </c>
      <c r="DH88" s="497">
        <f t="shared" si="50"/>
        <v>0</v>
      </c>
      <c r="DI88" s="497">
        <f t="shared" si="37"/>
        <v>1800000</v>
      </c>
      <c r="DJ88" s="493"/>
      <c r="DK88" s="493"/>
    </row>
    <row r="89" spans="1:115">
      <c r="A89" s="492">
        <v>85</v>
      </c>
      <c r="B89" s="492">
        <v>8</v>
      </c>
      <c r="C89" s="497">
        <f>IF(('Comparison Calculator'!$E$11-B89)&gt;=0,0,IFERROR(-PPMT($G$66/12,(A89-60),($F$1-5)*12,$G$65),0))</f>
        <v>0</v>
      </c>
      <c r="D89" s="497">
        <f>IF(('Comparison Calculator'!$E$11-B89)&gt;=0,$C$1*$G$66/12,IFERROR(-IPMT($G$66/12,(A89-60),($F$1-5)*12,$G$65,0),0))</f>
        <v>0</v>
      </c>
      <c r="E89" s="497">
        <f t="shared" si="38"/>
        <v>0</v>
      </c>
      <c r="F89" s="497">
        <f t="shared" si="51"/>
        <v>1800000</v>
      </c>
      <c r="G89" s="493"/>
      <c r="H89" s="493"/>
      <c r="I89" s="489"/>
      <c r="J89" s="492">
        <v>85</v>
      </c>
      <c r="K89" s="492">
        <v>8</v>
      </c>
      <c r="L89" s="497">
        <f>IF(('Comparison Calculator'!$E$11-K89)&gt;=0,0,IFERROR(-PPMT($P$66/12,(J89-60),($F$1-5)*12,$P$65),0))</f>
        <v>0</v>
      </c>
      <c r="M89" s="497">
        <f>IF(('Comparison Calculator'!$E$11-K89)&gt;=0,$C$1*$P$66/12,IFERROR(-IPMT($P$66/12,(J89-60),($F$1-5)*12,$P$65,0),0))</f>
        <v>0</v>
      </c>
      <c r="N89" s="497">
        <f t="shared" si="39"/>
        <v>0</v>
      </c>
      <c r="O89" s="497">
        <f t="shared" ref="O89:O152" si="52">O88-L89</f>
        <v>1800000</v>
      </c>
      <c r="P89" s="493"/>
      <c r="Q89" s="493"/>
      <c r="S89" s="492">
        <v>85</v>
      </c>
      <c r="T89" s="492">
        <v>8</v>
      </c>
      <c r="U89" s="497">
        <f>IF(('Comparison Calculator'!$E$11-T89)&gt;=0,0,IFERROR(-PPMT($Y$66/12,(S89-60),($F$1-5)*12,$Y$65),0))</f>
        <v>0</v>
      </c>
      <c r="V89" s="497">
        <f>IF(('Comparison Calculator'!$E$11-T89)&gt;=0,$C$1*$Y$66/12,IFERROR(-IPMT($Y$66/12,(S89-60),($F$1-5)*12,$Y$65,0),0))</f>
        <v>0</v>
      </c>
      <c r="W89" s="497">
        <f t="shared" si="40"/>
        <v>0</v>
      </c>
      <c r="X89" s="497">
        <f t="shared" ref="X89:X152" si="53">X88-U89</f>
        <v>1800000</v>
      </c>
      <c r="Y89" s="493"/>
      <c r="Z89" s="493"/>
      <c r="AB89" s="492">
        <v>85</v>
      </c>
      <c r="AC89" s="492">
        <v>8</v>
      </c>
      <c r="AD89" s="497">
        <f>IF(('Comparison Calculator'!$E$11-AC89)&gt;=0,0,IFERROR(-PPMT($AH$66/12,(AB89-60),($F$1-5)*12,$AH$65),0))</f>
        <v>0</v>
      </c>
      <c r="AE89" s="497">
        <f>IF(('Comparison Calculator'!$E$11-AC89)&gt;=0,$C$1*$AH$66/12,IFERROR(-IPMT($AH$66/12,(AB89-60),($F$1-5)*12,$AH$65,0),0))</f>
        <v>0</v>
      </c>
      <c r="AF89" s="497">
        <f t="shared" si="41"/>
        <v>0</v>
      </c>
      <c r="AG89" s="497">
        <f t="shared" ref="AG89:AG152" si="54">AG88-AD89</f>
        <v>1800000</v>
      </c>
      <c r="AH89" s="493"/>
      <c r="AI89" s="493"/>
      <c r="AK89" s="492">
        <v>85</v>
      </c>
      <c r="AL89" s="492">
        <v>8</v>
      </c>
      <c r="AM89" s="497">
        <f>IF(('Comparison Calculator'!$E$11-AL89)&gt;=0,0,IFERROR(-PPMT($AQ$66/12,(AK89-60),($F$1-5)*12,$AQ$65),0))</f>
        <v>0</v>
      </c>
      <c r="AN89" s="497">
        <f>IF(('Comparison Calculator'!$E$11-AL89)&gt;=0,$C$1*$AQ$66/12,IFERROR(-IPMT($AQ$66/12,(AK89-60),($F$1-5)*12,$AQ$65,0),0))</f>
        <v>0</v>
      </c>
      <c r="AO89" s="497">
        <f t="shared" si="42"/>
        <v>0</v>
      </c>
      <c r="AP89" s="497">
        <f t="shared" ref="AP89:AP152" si="55">AP88-AM89</f>
        <v>1800000</v>
      </c>
      <c r="AQ89" s="493"/>
      <c r="AR89" s="493"/>
      <c r="AT89" s="492">
        <v>85</v>
      </c>
      <c r="AU89" s="492">
        <v>8</v>
      </c>
      <c r="AV89" s="497">
        <f>IF(('Comparison Calculator'!$E$11-AU89)&gt;=0,0,IFERROR(-PPMT($AZ$66/12,(AT89-60),($F$1-5)*12,$AZ$65),0))</f>
        <v>0</v>
      </c>
      <c r="AW89" s="497">
        <f>IF(('Comparison Calculator'!$E$11-AU89)&gt;=0,$C$1*$AZ$66/12,IFERROR(-IPMT($AZ$66/12,(AT89-60),($F$1-5)*12,$AZ$65,0),0))</f>
        <v>0</v>
      </c>
      <c r="AX89" s="497">
        <f t="shared" si="43"/>
        <v>0</v>
      </c>
      <c r="AY89" s="497">
        <f t="shared" ref="AY89:AY152" si="56">AY88-AV89</f>
        <v>1800000</v>
      </c>
      <c r="AZ89" s="493"/>
      <c r="BA89" s="493"/>
      <c r="BC89" s="492">
        <v>85</v>
      </c>
      <c r="BD89" s="492">
        <v>8</v>
      </c>
      <c r="BE89" s="497">
        <f>IF(('Comparison Calculator'!$E$11-BD89)&gt;=0,0,IFERROR(-PPMT($BI$66/12,(BC89-60),($F$1-5)*12,$BI$65),0))</f>
        <v>0</v>
      </c>
      <c r="BF89" s="497">
        <f>IF(('Comparison Calculator'!$E$11-BD89)&gt;=0,$C$1*$BI$66/12,IFERROR(-IPMT($BI$66/12,(BC89-60),($F$1-5)*12,$BI$65,0),0))</f>
        <v>0</v>
      </c>
      <c r="BG89" s="497">
        <f t="shared" si="44"/>
        <v>0</v>
      </c>
      <c r="BH89" s="497">
        <f t="shared" ref="BH89:BH152" si="57">BH88-BE89</f>
        <v>1800000</v>
      </c>
      <c r="BI89" s="493"/>
      <c r="BJ89" s="493"/>
      <c r="BK89" s="492">
        <v>85</v>
      </c>
      <c r="BL89" s="492">
        <v>8</v>
      </c>
      <c r="BM89" s="497">
        <f>IF(('Comparison Calculator'!$E$11-BL89)&gt;=0,0,IFERROR(-PPMT($BQ$66/12,(BK89-60),($F$1-5)*12,$BQ$65),0))</f>
        <v>0</v>
      </c>
      <c r="BN89" s="497">
        <f>IF(('Comparison Calculator'!$E$11-BL89)&gt;=0,$C$1*$BQ$66/12,IFERROR(-IPMT($BQ$66/12,(BK89-60),($F$1-5)*12,$BQ$65,0),0))</f>
        <v>0</v>
      </c>
      <c r="BO89" s="497">
        <f t="shared" si="45"/>
        <v>0</v>
      </c>
      <c r="BP89" s="497">
        <f t="shared" ref="BP89:BP152" si="58">BP88-BM89</f>
        <v>1800000</v>
      </c>
      <c r="BQ89" s="493"/>
      <c r="BR89" s="493"/>
      <c r="BT89" s="492">
        <v>85</v>
      </c>
      <c r="BU89" s="492">
        <v>8</v>
      </c>
      <c r="BV89" s="497">
        <f>IF(('Comparison Calculator'!$E$11-BU89)&gt;=0,0,IFERROR(-PPMT($BZ$66/12,(BT89-60),($F$1-5)*12,$BZ$65),0))</f>
        <v>0</v>
      </c>
      <c r="BW89" s="497">
        <f>IF(('Comparison Calculator'!$E$11-BU89)&gt;=0,$C$1*$BZ$66/12,IFERROR(-IPMT($BZ$66/12,(BT89-60),($F$1-5)*12,$BZ$65,0),0))</f>
        <v>0</v>
      </c>
      <c r="BX89" s="497">
        <f t="shared" si="46"/>
        <v>0</v>
      </c>
      <c r="BY89" s="497">
        <f t="shared" ref="BY89:BY152" si="59">BY88-BV89</f>
        <v>1800000</v>
      </c>
      <c r="BZ89" s="493"/>
      <c r="CA89" s="493"/>
      <c r="CC89" s="492">
        <v>85</v>
      </c>
      <c r="CD89" s="492">
        <v>8</v>
      </c>
      <c r="CE89" s="497">
        <f>IF(('Comparison Calculator'!$E$11-CD89)&gt;=0,0,IFERROR(-PPMT($CI$66/12,(CC89-60),($F$1-5)*12,$CI$65),0))</f>
        <v>0</v>
      </c>
      <c r="CF89" s="497">
        <f>IF(('Comparison Calculator'!$E$11-CD89)&gt;=0,$C$1*$CI$66/12,IFERROR(-IPMT($CI$66/12,(CC89-60),($F$1-5)*12,$CI$65,0),0))</f>
        <v>0</v>
      </c>
      <c r="CG89" s="497">
        <f t="shared" si="47"/>
        <v>0</v>
      </c>
      <c r="CH89" s="497">
        <f t="shared" ref="CH89:CH152" si="60">CH88-CE89</f>
        <v>1800000</v>
      </c>
      <c r="CI89" s="493"/>
      <c r="CJ89" s="493"/>
      <c r="CL89" s="492">
        <v>85</v>
      </c>
      <c r="CM89" s="492">
        <v>8</v>
      </c>
      <c r="CN89" s="497">
        <f>IF(('Comparison Calculator'!$E$11-CM89)&gt;=0,0,IFERROR(-PPMT($CR$66/12,(CL89-60),($F$1-5)*12,$CR$65),0))</f>
        <v>0</v>
      </c>
      <c r="CO89" s="497">
        <f>IF(('Comparison Calculator'!$E$11-CM89)&gt;=0,$C$1*$CI$66/12,IFERROR(-IPMT($CI$66/12,(CL89-60),($F$1-5)*12,$CI$65,0),0))</f>
        <v>0</v>
      </c>
      <c r="CP89" s="497">
        <f t="shared" si="48"/>
        <v>0</v>
      </c>
      <c r="CQ89" s="497">
        <f t="shared" ref="CQ89:CQ152" si="61">CQ88-CN89</f>
        <v>1800000</v>
      </c>
      <c r="CR89" s="493"/>
      <c r="CS89" s="493"/>
      <c r="CU89" s="492">
        <v>85</v>
      </c>
      <c r="CV89" s="492">
        <v>8</v>
      </c>
      <c r="CW89" s="497">
        <f>IF(('Comparison Calculator'!$E$11-CV89)&gt;=0,0,IFERROR(-PPMT($DA$66/12,(CU89-60),($F$1-5)*12,$DA$65),0))</f>
        <v>0</v>
      </c>
      <c r="CX89" s="497">
        <f>IF(('Comparison Calculator'!$E$11-CV89)&gt;=0,$C$1*$DA$66/12,IFERROR(-IPMT($DA$66/12,(CU89-60),($F$1-5)*12,$DA$65,0),0))</f>
        <v>0</v>
      </c>
      <c r="CY89" s="497">
        <f t="shared" si="49"/>
        <v>0</v>
      </c>
      <c r="CZ89" s="497">
        <f t="shared" ref="CZ89:CZ152" si="62">CZ88-CW89</f>
        <v>1800000</v>
      </c>
      <c r="DA89" s="493"/>
      <c r="DB89" s="493"/>
      <c r="DD89" s="492">
        <v>85</v>
      </c>
      <c r="DE89" s="492">
        <v>8</v>
      </c>
      <c r="DF89" s="497">
        <f>IF(('Comparison Calculator'!$E$11-DE89)&gt;=0,0,IFERROR(-PPMT($DJ$66/12,(DD89-60),($F$1-5)*12,$DJ$65),0))</f>
        <v>0</v>
      </c>
      <c r="DG89" s="497">
        <f>IF(('Comparison Calculator'!$E$11-DE89)&gt;=0,$C$1*$DJ$66/12,IFERROR(-IPMT($DJ$66/12,(DD89-60),($F$1-5)*12,$DJ$65,0),0))</f>
        <v>0</v>
      </c>
      <c r="DH89" s="497">
        <f t="shared" si="50"/>
        <v>0</v>
      </c>
      <c r="DI89" s="497">
        <f t="shared" ref="DI89:DI152" si="63">DI88-DF89</f>
        <v>1800000</v>
      </c>
      <c r="DJ89" s="493"/>
      <c r="DK89" s="493"/>
    </row>
    <row r="90" spans="1:115">
      <c r="A90" s="492">
        <v>86</v>
      </c>
      <c r="B90" s="492">
        <v>8</v>
      </c>
      <c r="C90" s="497">
        <f>IF(('Comparison Calculator'!$E$11-B90)&gt;=0,0,IFERROR(-PPMT($G$66/12,(A90-60),($F$1-5)*12,$G$65),0))</f>
        <v>0</v>
      </c>
      <c r="D90" s="497">
        <f>IF(('Comparison Calculator'!$E$11-B90)&gt;=0,$C$1*$G$66/12,IFERROR(-IPMT($G$66/12,(A90-60),($F$1-5)*12,$G$65,0),0))</f>
        <v>0</v>
      </c>
      <c r="E90" s="497">
        <f t="shared" si="38"/>
        <v>0</v>
      </c>
      <c r="F90" s="497">
        <f t="shared" si="51"/>
        <v>1800000</v>
      </c>
      <c r="G90" s="493"/>
      <c r="H90" s="493"/>
      <c r="I90" s="489"/>
      <c r="J90" s="492">
        <v>86</v>
      </c>
      <c r="K90" s="492">
        <v>8</v>
      </c>
      <c r="L90" s="497">
        <f>IF(('Comparison Calculator'!$E$11-K90)&gt;=0,0,IFERROR(-PPMT($P$66/12,(J90-60),($F$1-5)*12,$P$65),0))</f>
        <v>0</v>
      </c>
      <c r="M90" s="497">
        <f>IF(('Comparison Calculator'!$E$11-K90)&gt;=0,$C$1*$P$66/12,IFERROR(-IPMT($P$66/12,(J90-60),($F$1-5)*12,$P$65,0),0))</f>
        <v>0</v>
      </c>
      <c r="N90" s="497">
        <f t="shared" si="39"/>
        <v>0</v>
      </c>
      <c r="O90" s="497">
        <f t="shared" si="52"/>
        <v>1800000</v>
      </c>
      <c r="P90" s="493"/>
      <c r="Q90" s="493"/>
      <c r="S90" s="492">
        <v>86</v>
      </c>
      <c r="T90" s="492">
        <v>8</v>
      </c>
      <c r="U90" s="497">
        <f>IF(('Comparison Calculator'!$E$11-T90)&gt;=0,0,IFERROR(-PPMT($Y$66/12,(S90-60),($F$1-5)*12,$Y$65),0))</f>
        <v>0</v>
      </c>
      <c r="V90" s="497">
        <f>IF(('Comparison Calculator'!$E$11-T90)&gt;=0,$C$1*$Y$66/12,IFERROR(-IPMT($Y$66/12,(S90-60),($F$1-5)*12,$Y$65,0),0))</f>
        <v>0</v>
      </c>
      <c r="W90" s="497">
        <f t="shared" si="40"/>
        <v>0</v>
      </c>
      <c r="X90" s="497">
        <f t="shared" si="53"/>
        <v>1800000</v>
      </c>
      <c r="Y90" s="493"/>
      <c r="Z90" s="493"/>
      <c r="AB90" s="492">
        <v>86</v>
      </c>
      <c r="AC90" s="492">
        <v>8</v>
      </c>
      <c r="AD90" s="497">
        <f>IF(('Comparison Calculator'!$E$11-AC90)&gt;=0,0,IFERROR(-PPMT($AH$66/12,(AB90-60),($F$1-5)*12,$AH$65),0))</f>
        <v>0</v>
      </c>
      <c r="AE90" s="497">
        <f>IF(('Comparison Calculator'!$E$11-AC90)&gt;=0,$C$1*$AH$66/12,IFERROR(-IPMT($AH$66/12,(AB90-60),($F$1-5)*12,$AH$65,0),0))</f>
        <v>0</v>
      </c>
      <c r="AF90" s="497">
        <f t="shared" si="41"/>
        <v>0</v>
      </c>
      <c r="AG90" s="497">
        <f t="shared" si="54"/>
        <v>1800000</v>
      </c>
      <c r="AH90" s="493"/>
      <c r="AI90" s="493"/>
      <c r="AK90" s="492">
        <v>86</v>
      </c>
      <c r="AL90" s="492">
        <v>8</v>
      </c>
      <c r="AM90" s="497">
        <f>IF(('Comparison Calculator'!$E$11-AL90)&gt;=0,0,IFERROR(-PPMT($AQ$66/12,(AK90-60),($F$1-5)*12,$AQ$65),0))</f>
        <v>0</v>
      </c>
      <c r="AN90" s="497">
        <f>IF(('Comparison Calculator'!$E$11-AL90)&gt;=0,$C$1*$AQ$66/12,IFERROR(-IPMT($AQ$66/12,(AK90-60),($F$1-5)*12,$AQ$65,0),0))</f>
        <v>0</v>
      </c>
      <c r="AO90" s="497">
        <f t="shared" si="42"/>
        <v>0</v>
      </c>
      <c r="AP90" s="497">
        <f t="shared" si="55"/>
        <v>1800000</v>
      </c>
      <c r="AQ90" s="493"/>
      <c r="AR90" s="493"/>
      <c r="AT90" s="492">
        <v>86</v>
      </c>
      <c r="AU90" s="492">
        <v>8</v>
      </c>
      <c r="AV90" s="497">
        <f>IF(('Comparison Calculator'!$E$11-AU90)&gt;=0,0,IFERROR(-PPMT($AZ$66/12,(AT90-60),($F$1-5)*12,$AZ$65),0))</f>
        <v>0</v>
      </c>
      <c r="AW90" s="497">
        <f>IF(('Comparison Calculator'!$E$11-AU90)&gt;=0,$C$1*$AZ$66/12,IFERROR(-IPMT($AZ$66/12,(AT90-60),($F$1-5)*12,$AZ$65,0),0))</f>
        <v>0</v>
      </c>
      <c r="AX90" s="497">
        <f t="shared" si="43"/>
        <v>0</v>
      </c>
      <c r="AY90" s="497">
        <f t="shared" si="56"/>
        <v>1800000</v>
      </c>
      <c r="AZ90" s="493"/>
      <c r="BA90" s="493"/>
      <c r="BC90" s="492">
        <v>86</v>
      </c>
      <c r="BD90" s="492">
        <v>8</v>
      </c>
      <c r="BE90" s="497">
        <f>IF(('Comparison Calculator'!$E$11-BD90)&gt;=0,0,IFERROR(-PPMT($BI$66/12,(BC90-60),($F$1-5)*12,$BI$65),0))</f>
        <v>0</v>
      </c>
      <c r="BF90" s="497">
        <f>IF(('Comparison Calculator'!$E$11-BD90)&gt;=0,$C$1*$BI$66/12,IFERROR(-IPMT($BI$66/12,(BC90-60),($F$1-5)*12,$BI$65,0),0))</f>
        <v>0</v>
      </c>
      <c r="BG90" s="497">
        <f t="shared" si="44"/>
        <v>0</v>
      </c>
      <c r="BH90" s="497">
        <f t="shared" si="57"/>
        <v>1800000</v>
      </c>
      <c r="BI90" s="493"/>
      <c r="BJ90" s="493"/>
      <c r="BK90" s="492">
        <v>86</v>
      </c>
      <c r="BL90" s="492">
        <v>8</v>
      </c>
      <c r="BM90" s="497">
        <f>IF(('Comparison Calculator'!$E$11-BL90)&gt;=0,0,IFERROR(-PPMT($BQ$66/12,(BK90-60),($F$1-5)*12,$BQ$65),0))</f>
        <v>0</v>
      </c>
      <c r="BN90" s="497">
        <f>IF(('Comparison Calculator'!$E$11-BL90)&gt;=0,$C$1*$BQ$66/12,IFERROR(-IPMT($BQ$66/12,(BK90-60),($F$1-5)*12,$BQ$65,0),0))</f>
        <v>0</v>
      </c>
      <c r="BO90" s="497">
        <f t="shared" si="45"/>
        <v>0</v>
      </c>
      <c r="BP90" s="497">
        <f t="shared" si="58"/>
        <v>1800000</v>
      </c>
      <c r="BQ90" s="493"/>
      <c r="BR90" s="493"/>
      <c r="BT90" s="492">
        <v>86</v>
      </c>
      <c r="BU90" s="492">
        <v>8</v>
      </c>
      <c r="BV90" s="497">
        <f>IF(('Comparison Calculator'!$E$11-BU90)&gt;=0,0,IFERROR(-PPMT($BZ$66/12,(BT90-60),($F$1-5)*12,$BZ$65),0))</f>
        <v>0</v>
      </c>
      <c r="BW90" s="497">
        <f>IF(('Comparison Calculator'!$E$11-BU90)&gt;=0,$C$1*$BZ$66/12,IFERROR(-IPMT($BZ$66/12,(BT90-60),($F$1-5)*12,$BZ$65,0),0))</f>
        <v>0</v>
      </c>
      <c r="BX90" s="497">
        <f t="shared" si="46"/>
        <v>0</v>
      </c>
      <c r="BY90" s="497">
        <f t="shared" si="59"/>
        <v>1800000</v>
      </c>
      <c r="BZ90" s="493"/>
      <c r="CA90" s="493"/>
      <c r="CC90" s="492">
        <v>86</v>
      </c>
      <c r="CD90" s="492">
        <v>8</v>
      </c>
      <c r="CE90" s="497">
        <f>IF(('Comparison Calculator'!$E$11-CD90)&gt;=0,0,IFERROR(-PPMT($CI$66/12,(CC90-60),($F$1-5)*12,$CI$65),0))</f>
        <v>0</v>
      </c>
      <c r="CF90" s="497">
        <f>IF(('Comparison Calculator'!$E$11-CD90)&gt;=0,$C$1*$CI$66/12,IFERROR(-IPMT($CI$66/12,(CC90-60),($F$1-5)*12,$CI$65,0),0))</f>
        <v>0</v>
      </c>
      <c r="CG90" s="497">
        <f t="shared" si="47"/>
        <v>0</v>
      </c>
      <c r="CH90" s="497">
        <f t="shared" si="60"/>
        <v>1800000</v>
      </c>
      <c r="CI90" s="493"/>
      <c r="CJ90" s="493"/>
      <c r="CL90" s="492">
        <v>86</v>
      </c>
      <c r="CM90" s="492">
        <v>8</v>
      </c>
      <c r="CN90" s="497">
        <f>IF(('Comparison Calculator'!$E$11-CM90)&gt;=0,0,IFERROR(-PPMT($CR$66/12,(CL90-60),($F$1-5)*12,$CR$65),0))</f>
        <v>0</v>
      </c>
      <c r="CO90" s="497">
        <f>IF(('Comparison Calculator'!$E$11-CM90)&gt;=0,$C$1*$CI$66/12,IFERROR(-IPMT($CI$66/12,(CL90-60),($F$1-5)*12,$CI$65,0),0))</f>
        <v>0</v>
      </c>
      <c r="CP90" s="497">
        <f t="shared" si="48"/>
        <v>0</v>
      </c>
      <c r="CQ90" s="497">
        <f t="shared" si="61"/>
        <v>1800000</v>
      </c>
      <c r="CR90" s="493"/>
      <c r="CS90" s="493"/>
      <c r="CU90" s="492">
        <v>86</v>
      </c>
      <c r="CV90" s="492">
        <v>8</v>
      </c>
      <c r="CW90" s="497">
        <f>IF(('Comparison Calculator'!$E$11-CV90)&gt;=0,0,IFERROR(-PPMT($DA$66/12,(CU90-60),($F$1-5)*12,$DA$65),0))</f>
        <v>0</v>
      </c>
      <c r="CX90" s="497">
        <f>IF(('Comparison Calculator'!$E$11-CV90)&gt;=0,$C$1*$DA$66/12,IFERROR(-IPMT($DA$66/12,(CU90-60),($F$1-5)*12,$DA$65,0),0))</f>
        <v>0</v>
      </c>
      <c r="CY90" s="497">
        <f t="shared" si="49"/>
        <v>0</v>
      </c>
      <c r="CZ90" s="497">
        <f t="shared" si="62"/>
        <v>1800000</v>
      </c>
      <c r="DA90" s="493"/>
      <c r="DB90" s="493"/>
      <c r="DD90" s="492">
        <v>86</v>
      </c>
      <c r="DE90" s="492">
        <v>8</v>
      </c>
      <c r="DF90" s="497">
        <f>IF(('Comparison Calculator'!$E$11-DE90)&gt;=0,0,IFERROR(-PPMT($DJ$66/12,(DD90-60),($F$1-5)*12,$DJ$65),0))</f>
        <v>0</v>
      </c>
      <c r="DG90" s="497">
        <f>IF(('Comparison Calculator'!$E$11-DE90)&gt;=0,$C$1*$DJ$66/12,IFERROR(-IPMT($DJ$66/12,(DD90-60),($F$1-5)*12,$DJ$65,0),0))</f>
        <v>0</v>
      </c>
      <c r="DH90" s="497">
        <f t="shared" si="50"/>
        <v>0</v>
      </c>
      <c r="DI90" s="497">
        <f t="shared" si="63"/>
        <v>1800000</v>
      </c>
      <c r="DJ90" s="493"/>
      <c r="DK90" s="493"/>
    </row>
    <row r="91" spans="1:115">
      <c r="A91" s="492">
        <v>87</v>
      </c>
      <c r="B91" s="492">
        <v>8</v>
      </c>
      <c r="C91" s="497">
        <f>IF(('Comparison Calculator'!$E$11-B91)&gt;=0,0,IFERROR(-PPMT($G$66/12,(A91-60),($F$1-5)*12,$G$65),0))</f>
        <v>0</v>
      </c>
      <c r="D91" s="497">
        <f>IF(('Comparison Calculator'!$E$11-B91)&gt;=0,$C$1*$G$66/12,IFERROR(-IPMT($G$66/12,(A91-60),($F$1-5)*12,$G$65,0),0))</f>
        <v>0</v>
      </c>
      <c r="E91" s="497">
        <f t="shared" si="38"/>
        <v>0</v>
      </c>
      <c r="F91" s="497">
        <f t="shared" si="51"/>
        <v>1800000</v>
      </c>
      <c r="G91" s="493"/>
      <c r="H91" s="493"/>
      <c r="I91" s="489"/>
      <c r="J91" s="492">
        <v>87</v>
      </c>
      <c r="K91" s="492">
        <v>8</v>
      </c>
      <c r="L91" s="497">
        <f>IF(('Comparison Calculator'!$E$11-K91)&gt;=0,0,IFERROR(-PPMT($P$66/12,(J91-60),($F$1-5)*12,$P$65),0))</f>
        <v>0</v>
      </c>
      <c r="M91" s="497">
        <f>IF(('Comparison Calculator'!$E$11-K91)&gt;=0,$C$1*$P$66/12,IFERROR(-IPMT($P$66/12,(J91-60),($F$1-5)*12,$P$65,0),0))</f>
        <v>0</v>
      </c>
      <c r="N91" s="497">
        <f t="shared" si="39"/>
        <v>0</v>
      </c>
      <c r="O91" s="497">
        <f t="shared" si="52"/>
        <v>1800000</v>
      </c>
      <c r="P91" s="493"/>
      <c r="Q91" s="493"/>
      <c r="S91" s="492">
        <v>87</v>
      </c>
      <c r="T91" s="492">
        <v>8</v>
      </c>
      <c r="U91" s="497">
        <f>IF(('Comparison Calculator'!$E$11-T91)&gt;=0,0,IFERROR(-PPMT($Y$66/12,(S91-60),($F$1-5)*12,$Y$65),0))</f>
        <v>0</v>
      </c>
      <c r="V91" s="497">
        <f>IF(('Comparison Calculator'!$E$11-T91)&gt;=0,$C$1*$Y$66/12,IFERROR(-IPMT($Y$66/12,(S91-60),($F$1-5)*12,$Y$65,0),0))</f>
        <v>0</v>
      </c>
      <c r="W91" s="497">
        <f t="shared" si="40"/>
        <v>0</v>
      </c>
      <c r="X91" s="497">
        <f t="shared" si="53"/>
        <v>1800000</v>
      </c>
      <c r="Y91" s="493"/>
      <c r="Z91" s="493"/>
      <c r="AB91" s="492">
        <v>87</v>
      </c>
      <c r="AC91" s="492">
        <v>8</v>
      </c>
      <c r="AD91" s="497">
        <f>IF(('Comparison Calculator'!$E$11-AC91)&gt;=0,0,IFERROR(-PPMT($AH$66/12,(AB91-60),($F$1-5)*12,$AH$65),0))</f>
        <v>0</v>
      </c>
      <c r="AE91" s="497">
        <f>IF(('Comparison Calculator'!$E$11-AC91)&gt;=0,$C$1*$AH$66/12,IFERROR(-IPMT($AH$66/12,(AB91-60),($F$1-5)*12,$AH$65,0),0))</f>
        <v>0</v>
      </c>
      <c r="AF91" s="497">
        <f t="shared" si="41"/>
        <v>0</v>
      </c>
      <c r="AG91" s="497">
        <f t="shared" si="54"/>
        <v>1800000</v>
      </c>
      <c r="AH91" s="493"/>
      <c r="AI91" s="493"/>
      <c r="AK91" s="492">
        <v>87</v>
      </c>
      <c r="AL91" s="492">
        <v>8</v>
      </c>
      <c r="AM91" s="497">
        <f>IF(('Comparison Calculator'!$E$11-AL91)&gt;=0,0,IFERROR(-PPMT($AQ$66/12,(AK91-60),($F$1-5)*12,$AQ$65),0))</f>
        <v>0</v>
      </c>
      <c r="AN91" s="497">
        <f>IF(('Comparison Calculator'!$E$11-AL91)&gt;=0,$C$1*$AQ$66/12,IFERROR(-IPMT($AQ$66/12,(AK91-60),($F$1-5)*12,$AQ$65,0),0))</f>
        <v>0</v>
      </c>
      <c r="AO91" s="497">
        <f t="shared" si="42"/>
        <v>0</v>
      </c>
      <c r="AP91" s="497">
        <f t="shared" si="55"/>
        <v>1800000</v>
      </c>
      <c r="AQ91" s="493"/>
      <c r="AR91" s="493"/>
      <c r="AT91" s="492">
        <v>87</v>
      </c>
      <c r="AU91" s="492">
        <v>8</v>
      </c>
      <c r="AV91" s="497">
        <f>IF(('Comparison Calculator'!$E$11-AU91)&gt;=0,0,IFERROR(-PPMT($AZ$66/12,(AT91-60),($F$1-5)*12,$AZ$65),0))</f>
        <v>0</v>
      </c>
      <c r="AW91" s="497">
        <f>IF(('Comparison Calculator'!$E$11-AU91)&gt;=0,$C$1*$AZ$66/12,IFERROR(-IPMT($AZ$66/12,(AT91-60),($F$1-5)*12,$AZ$65,0),0))</f>
        <v>0</v>
      </c>
      <c r="AX91" s="497">
        <f t="shared" si="43"/>
        <v>0</v>
      </c>
      <c r="AY91" s="497">
        <f t="shared" si="56"/>
        <v>1800000</v>
      </c>
      <c r="AZ91" s="493"/>
      <c r="BA91" s="493"/>
      <c r="BC91" s="492">
        <v>87</v>
      </c>
      <c r="BD91" s="492">
        <v>8</v>
      </c>
      <c r="BE91" s="497">
        <f>IF(('Comparison Calculator'!$E$11-BD91)&gt;=0,0,IFERROR(-PPMT($BI$66/12,(BC91-60),($F$1-5)*12,$BI$65),0))</f>
        <v>0</v>
      </c>
      <c r="BF91" s="497">
        <f>IF(('Comparison Calculator'!$E$11-BD91)&gt;=0,$C$1*$BI$66/12,IFERROR(-IPMT($BI$66/12,(BC91-60),($F$1-5)*12,$BI$65,0),0))</f>
        <v>0</v>
      </c>
      <c r="BG91" s="497">
        <f t="shared" si="44"/>
        <v>0</v>
      </c>
      <c r="BH91" s="497">
        <f t="shared" si="57"/>
        <v>1800000</v>
      </c>
      <c r="BI91" s="493"/>
      <c r="BJ91" s="493"/>
      <c r="BK91" s="492">
        <v>87</v>
      </c>
      <c r="BL91" s="492">
        <v>8</v>
      </c>
      <c r="BM91" s="497">
        <f>IF(('Comparison Calculator'!$E$11-BL91)&gt;=0,0,IFERROR(-PPMT($BQ$66/12,(BK91-60),($F$1-5)*12,$BQ$65),0))</f>
        <v>0</v>
      </c>
      <c r="BN91" s="497">
        <f>IF(('Comparison Calculator'!$E$11-BL91)&gt;=0,$C$1*$BQ$66/12,IFERROR(-IPMT($BQ$66/12,(BK91-60),($F$1-5)*12,$BQ$65,0),0))</f>
        <v>0</v>
      </c>
      <c r="BO91" s="497">
        <f t="shared" si="45"/>
        <v>0</v>
      </c>
      <c r="BP91" s="497">
        <f t="shared" si="58"/>
        <v>1800000</v>
      </c>
      <c r="BQ91" s="493"/>
      <c r="BR91" s="493"/>
      <c r="BT91" s="492">
        <v>87</v>
      </c>
      <c r="BU91" s="492">
        <v>8</v>
      </c>
      <c r="BV91" s="497">
        <f>IF(('Comparison Calculator'!$E$11-BU91)&gt;=0,0,IFERROR(-PPMT($BZ$66/12,(BT91-60),($F$1-5)*12,$BZ$65),0))</f>
        <v>0</v>
      </c>
      <c r="BW91" s="497">
        <f>IF(('Comparison Calculator'!$E$11-BU91)&gt;=0,$C$1*$BZ$66/12,IFERROR(-IPMT($BZ$66/12,(BT91-60),($F$1-5)*12,$BZ$65,0),0))</f>
        <v>0</v>
      </c>
      <c r="BX91" s="497">
        <f t="shared" si="46"/>
        <v>0</v>
      </c>
      <c r="BY91" s="497">
        <f t="shared" si="59"/>
        <v>1800000</v>
      </c>
      <c r="BZ91" s="493"/>
      <c r="CA91" s="493"/>
      <c r="CC91" s="492">
        <v>87</v>
      </c>
      <c r="CD91" s="492">
        <v>8</v>
      </c>
      <c r="CE91" s="497">
        <f>IF(('Comparison Calculator'!$E$11-CD91)&gt;=0,0,IFERROR(-PPMT($CI$66/12,(CC91-60),($F$1-5)*12,$CI$65),0))</f>
        <v>0</v>
      </c>
      <c r="CF91" s="497">
        <f>IF(('Comparison Calculator'!$E$11-CD91)&gt;=0,$C$1*$CI$66/12,IFERROR(-IPMT($CI$66/12,(CC91-60),($F$1-5)*12,$CI$65,0),0))</f>
        <v>0</v>
      </c>
      <c r="CG91" s="497">
        <f t="shared" si="47"/>
        <v>0</v>
      </c>
      <c r="CH91" s="497">
        <f t="shared" si="60"/>
        <v>1800000</v>
      </c>
      <c r="CI91" s="493"/>
      <c r="CJ91" s="493"/>
      <c r="CL91" s="492">
        <v>87</v>
      </c>
      <c r="CM91" s="492">
        <v>8</v>
      </c>
      <c r="CN91" s="497">
        <f>IF(('Comparison Calculator'!$E$11-CM91)&gt;=0,0,IFERROR(-PPMT($CR$66/12,(CL91-60),($F$1-5)*12,$CR$65),0))</f>
        <v>0</v>
      </c>
      <c r="CO91" s="497">
        <f>IF(('Comparison Calculator'!$E$11-CM91)&gt;=0,$C$1*$CI$66/12,IFERROR(-IPMT($CI$66/12,(CL91-60),($F$1-5)*12,$CI$65,0),0))</f>
        <v>0</v>
      </c>
      <c r="CP91" s="497">
        <f t="shared" si="48"/>
        <v>0</v>
      </c>
      <c r="CQ91" s="497">
        <f t="shared" si="61"/>
        <v>1800000</v>
      </c>
      <c r="CR91" s="493"/>
      <c r="CS91" s="493"/>
      <c r="CU91" s="492">
        <v>87</v>
      </c>
      <c r="CV91" s="492">
        <v>8</v>
      </c>
      <c r="CW91" s="497">
        <f>IF(('Comparison Calculator'!$E$11-CV91)&gt;=0,0,IFERROR(-PPMT($DA$66/12,(CU91-60),($F$1-5)*12,$DA$65),0))</f>
        <v>0</v>
      </c>
      <c r="CX91" s="497">
        <f>IF(('Comparison Calculator'!$E$11-CV91)&gt;=0,$C$1*$DA$66/12,IFERROR(-IPMT($DA$66/12,(CU91-60),($F$1-5)*12,$DA$65,0),0))</f>
        <v>0</v>
      </c>
      <c r="CY91" s="497">
        <f t="shared" si="49"/>
        <v>0</v>
      </c>
      <c r="CZ91" s="497">
        <f t="shared" si="62"/>
        <v>1800000</v>
      </c>
      <c r="DA91" s="493"/>
      <c r="DB91" s="493"/>
      <c r="DD91" s="492">
        <v>87</v>
      </c>
      <c r="DE91" s="492">
        <v>8</v>
      </c>
      <c r="DF91" s="497">
        <f>IF(('Comparison Calculator'!$E$11-DE91)&gt;=0,0,IFERROR(-PPMT($DJ$66/12,(DD91-60),($F$1-5)*12,$DJ$65),0))</f>
        <v>0</v>
      </c>
      <c r="DG91" s="497">
        <f>IF(('Comparison Calculator'!$E$11-DE91)&gt;=0,$C$1*$DJ$66/12,IFERROR(-IPMT($DJ$66/12,(DD91-60),($F$1-5)*12,$DJ$65,0),0))</f>
        <v>0</v>
      </c>
      <c r="DH91" s="497">
        <f t="shared" si="50"/>
        <v>0</v>
      </c>
      <c r="DI91" s="497">
        <f t="shared" si="63"/>
        <v>1800000</v>
      </c>
      <c r="DJ91" s="493"/>
      <c r="DK91" s="493"/>
    </row>
    <row r="92" spans="1:115">
      <c r="A92" s="492">
        <v>88</v>
      </c>
      <c r="B92" s="492">
        <v>8</v>
      </c>
      <c r="C92" s="497">
        <f>IF(('Comparison Calculator'!$E$11-B92)&gt;=0,0,IFERROR(-PPMT($G$66/12,(A92-60),($F$1-5)*12,$G$65),0))</f>
        <v>0</v>
      </c>
      <c r="D92" s="497">
        <f>IF(('Comparison Calculator'!$E$11-B92)&gt;=0,$C$1*$G$66/12,IFERROR(-IPMT($G$66/12,(A92-60),($F$1-5)*12,$G$65,0),0))</f>
        <v>0</v>
      </c>
      <c r="E92" s="497">
        <f t="shared" si="38"/>
        <v>0</v>
      </c>
      <c r="F92" s="497">
        <f t="shared" si="51"/>
        <v>1800000</v>
      </c>
      <c r="G92" s="493"/>
      <c r="H92" s="493"/>
      <c r="I92" s="489"/>
      <c r="J92" s="492">
        <v>88</v>
      </c>
      <c r="K92" s="492">
        <v>8</v>
      </c>
      <c r="L92" s="497">
        <f>IF(('Comparison Calculator'!$E$11-K92)&gt;=0,0,IFERROR(-PPMT($P$66/12,(J92-60),($F$1-5)*12,$P$65),0))</f>
        <v>0</v>
      </c>
      <c r="M92" s="497">
        <f>IF(('Comparison Calculator'!$E$11-K92)&gt;=0,$C$1*$P$66/12,IFERROR(-IPMT($P$66/12,(J92-60),($F$1-5)*12,$P$65,0),0))</f>
        <v>0</v>
      </c>
      <c r="N92" s="497">
        <f t="shared" si="39"/>
        <v>0</v>
      </c>
      <c r="O92" s="497">
        <f t="shared" si="52"/>
        <v>1800000</v>
      </c>
      <c r="P92" s="493"/>
      <c r="Q92" s="493"/>
      <c r="S92" s="492">
        <v>88</v>
      </c>
      <c r="T92" s="492">
        <v>8</v>
      </c>
      <c r="U92" s="497">
        <f>IF(('Comparison Calculator'!$E$11-T92)&gt;=0,0,IFERROR(-PPMT($Y$66/12,(S92-60),($F$1-5)*12,$Y$65),0))</f>
        <v>0</v>
      </c>
      <c r="V92" s="497">
        <f>IF(('Comparison Calculator'!$E$11-T92)&gt;=0,$C$1*$Y$66/12,IFERROR(-IPMT($Y$66/12,(S92-60),($F$1-5)*12,$Y$65,0),0))</f>
        <v>0</v>
      </c>
      <c r="W92" s="497">
        <f t="shared" si="40"/>
        <v>0</v>
      </c>
      <c r="X92" s="497">
        <f t="shared" si="53"/>
        <v>1800000</v>
      </c>
      <c r="Y92" s="493"/>
      <c r="Z92" s="493"/>
      <c r="AB92" s="492">
        <v>88</v>
      </c>
      <c r="AC92" s="492">
        <v>8</v>
      </c>
      <c r="AD92" s="497">
        <f>IF(('Comparison Calculator'!$E$11-AC92)&gt;=0,0,IFERROR(-PPMT($AH$66/12,(AB92-60),($F$1-5)*12,$AH$65),0))</f>
        <v>0</v>
      </c>
      <c r="AE92" s="497">
        <f>IF(('Comparison Calculator'!$E$11-AC92)&gt;=0,$C$1*$AH$66/12,IFERROR(-IPMT($AH$66/12,(AB92-60),($F$1-5)*12,$AH$65,0),0))</f>
        <v>0</v>
      </c>
      <c r="AF92" s="497">
        <f t="shared" si="41"/>
        <v>0</v>
      </c>
      <c r="AG92" s="497">
        <f t="shared" si="54"/>
        <v>1800000</v>
      </c>
      <c r="AH92" s="493"/>
      <c r="AI92" s="493"/>
      <c r="AK92" s="492">
        <v>88</v>
      </c>
      <c r="AL92" s="492">
        <v>8</v>
      </c>
      <c r="AM92" s="497">
        <f>IF(('Comparison Calculator'!$E$11-AL92)&gt;=0,0,IFERROR(-PPMT($AQ$66/12,(AK92-60),($F$1-5)*12,$AQ$65),0))</f>
        <v>0</v>
      </c>
      <c r="AN92" s="497">
        <f>IF(('Comparison Calculator'!$E$11-AL92)&gt;=0,$C$1*$AQ$66/12,IFERROR(-IPMT($AQ$66/12,(AK92-60),($F$1-5)*12,$AQ$65,0),0))</f>
        <v>0</v>
      </c>
      <c r="AO92" s="497">
        <f t="shared" si="42"/>
        <v>0</v>
      </c>
      <c r="AP92" s="497">
        <f t="shared" si="55"/>
        <v>1800000</v>
      </c>
      <c r="AQ92" s="493"/>
      <c r="AR92" s="493"/>
      <c r="AT92" s="492">
        <v>88</v>
      </c>
      <c r="AU92" s="492">
        <v>8</v>
      </c>
      <c r="AV92" s="497">
        <f>IF(('Comparison Calculator'!$E$11-AU92)&gt;=0,0,IFERROR(-PPMT($AZ$66/12,(AT92-60),($F$1-5)*12,$AZ$65),0))</f>
        <v>0</v>
      </c>
      <c r="AW92" s="497">
        <f>IF(('Comparison Calculator'!$E$11-AU92)&gt;=0,$C$1*$AZ$66/12,IFERROR(-IPMT($AZ$66/12,(AT92-60),($F$1-5)*12,$AZ$65,0),0))</f>
        <v>0</v>
      </c>
      <c r="AX92" s="497">
        <f t="shared" si="43"/>
        <v>0</v>
      </c>
      <c r="AY92" s="497">
        <f t="shared" si="56"/>
        <v>1800000</v>
      </c>
      <c r="AZ92" s="493"/>
      <c r="BA92" s="493"/>
      <c r="BC92" s="492">
        <v>88</v>
      </c>
      <c r="BD92" s="492">
        <v>8</v>
      </c>
      <c r="BE92" s="497">
        <f>IF(('Comparison Calculator'!$E$11-BD92)&gt;=0,0,IFERROR(-PPMT($BI$66/12,(BC92-60),($F$1-5)*12,$BI$65),0))</f>
        <v>0</v>
      </c>
      <c r="BF92" s="497">
        <f>IF(('Comparison Calculator'!$E$11-BD92)&gt;=0,$C$1*$BI$66/12,IFERROR(-IPMT($BI$66/12,(BC92-60),($F$1-5)*12,$BI$65,0),0))</f>
        <v>0</v>
      </c>
      <c r="BG92" s="497">
        <f t="shared" si="44"/>
        <v>0</v>
      </c>
      <c r="BH92" s="497">
        <f t="shared" si="57"/>
        <v>1800000</v>
      </c>
      <c r="BI92" s="493"/>
      <c r="BJ92" s="493"/>
      <c r="BK92" s="492">
        <v>88</v>
      </c>
      <c r="BL92" s="492">
        <v>8</v>
      </c>
      <c r="BM92" s="497">
        <f>IF(('Comparison Calculator'!$E$11-BL92)&gt;=0,0,IFERROR(-PPMT($BQ$66/12,(BK92-60),($F$1-5)*12,$BQ$65),0))</f>
        <v>0</v>
      </c>
      <c r="BN92" s="497">
        <f>IF(('Comparison Calculator'!$E$11-BL92)&gt;=0,$C$1*$BQ$66/12,IFERROR(-IPMT($BQ$66/12,(BK92-60),($F$1-5)*12,$BQ$65,0),0))</f>
        <v>0</v>
      </c>
      <c r="BO92" s="497">
        <f t="shared" si="45"/>
        <v>0</v>
      </c>
      <c r="BP92" s="497">
        <f t="shared" si="58"/>
        <v>1800000</v>
      </c>
      <c r="BQ92" s="493"/>
      <c r="BR92" s="493"/>
      <c r="BT92" s="492">
        <v>88</v>
      </c>
      <c r="BU92" s="492">
        <v>8</v>
      </c>
      <c r="BV92" s="497">
        <f>IF(('Comparison Calculator'!$E$11-BU92)&gt;=0,0,IFERROR(-PPMT($BZ$66/12,(BT92-60),($F$1-5)*12,$BZ$65),0))</f>
        <v>0</v>
      </c>
      <c r="BW92" s="497">
        <f>IF(('Comparison Calculator'!$E$11-BU92)&gt;=0,$C$1*$BZ$66/12,IFERROR(-IPMT($BZ$66/12,(BT92-60),($F$1-5)*12,$BZ$65,0),0))</f>
        <v>0</v>
      </c>
      <c r="BX92" s="497">
        <f t="shared" si="46"/>
        <v>0</v>
      </c>
      <c r="BY92" s="497">
        <f t="shared" si="59"/>
        <v>1800000</v>
      </c>
      <c r="BZ92" s="493"/>
      <c r="CA92" s="493"/>
      <c r="CC92" s="492">
        <v>88</v>
      </c>
      <c r="CD92" s="492">
        <v>8</v>
      </c>
      <c r="CE92" s="497">
        <f>IF(('Comparison Calculator'!$E$11-CD92)&gt;=0,0,IFERROR(-PPMT($CI$66/12,(CC92-60),($F$1-5)*12,$CI$65),0))</f>
        <v>0</v>
      </c>
      <c r="CF92" s="497">
        <f>IF(('Comparison Calculator'!$E$11-CD92)&gt;=0,$C$1*$CI$66/12,IFERROR(-IPMT($CI$66/12,(CC92-60),($F$1-5)*12,$CI$65,0),0))</f>
        <v>0</v>
      </c>
      <c r="CG92" s="497">
        <f t="shared" si="47"/>
        <v>0</v>
      </c>
      <c r="CH92" s="497">
        <f t="shared" si="60"/>
        <v>1800000</v>
      </c>
      <c r="CI92" s="493"/>
      <c r="CJ92" s="493"/>
      <c r="CL92" s="492">
        <v>88</v>
      </c>
      <c r="CM92" s="492">
        <v>8</v>
      </c>
      <c r="CN92" s="497">
        <f>IF(('Comparison Calculator'!$E$11-CM92)&gt;=0,0,IFERROR(-PPMT($CR$66/12,(CL92-60),($F$1-5)*12,$CR$65),0))</f>
        <v>0</v>
      </c>
      <c r="CO92" s="497">
        <f>IF(('Comparison Calculator'!$E$11-CM92)&gt;=0,$C$1*$CI$66/12,IFERROR(-IPMT($CI$66/12,(CL92-60),($F$1-5)*12,$CI$65,0),0))</f>
        <v>0</v>
      </c>
      <c r="CP92" s="497">
        <f t="shared" si="48"/>
        <v>0</v>
      </c>
      <c r="CQ92" s="497">
        <f t="shared" si="61"/>
        <v>1800000</v>
      </c>
      <c r="CR92" s="493"/>
      <c r="CS92" s="493"/>
      <c r="CU92" s="492">
        <v>88</v>
      </c>
      <c r="CV92" s="492">
        <v>8</v>
      </c>
      <c r="CW92" s="497">
        <f>IF(('Comparison Calculator'!$E$11-CV92)&gt;=0,0,IFERROR(-PPMT($DA$66/12,(CU92-60),($F$1-5)*12,$DA$65),0))</f>
        <v>0</v>
      </c>
      <c r="CX92" s="497">
        <f>IF(('Comparison Calculator'!$E$11-CV92)&gt;=0,$C$1*$DA$66/12,IFERROR(-IPMT($DA$66/12,(CU92-60),($F$1-5)*12,$DA$65,0),0))</f>
        <v>0</v>
      </c>
      <c r="CY92" s="497">
        <f t="shared" si="49"/>
        <v>0</v>
      </c>
      <c r="CZ92" s="497">
        <f t="shared" si="62"/>
        <v>1800000</v>
      </c>
      <c r="DA92" s="493"/>
      <c r="DB92" s="493"/>
      <c r="DD92" s="492">
        <v>88</v>
      </c>
      <c r="DE92" s="492">
        <v>8</v>
      </c>
      <c r="DF92" s="497">
        <f>IF(('Comparison Calculator'!$E$11-DE92)&gt;=0,0,IFERROR(-PPMT($DJ$66/12,(DD92-60),($F$1-5)*12,$DJ$65),0))</f>
        <v>0</v>
      </c>
      <c r="DG92" s="497">
        <f>IF(('Comparison Calculator'!$E$11-DE92)&gt;=0,$C$1*$DJ$66/12,IFERROR(-IPMT($DJ$66/12,(DD92-60),($F$1-5)*12,$DJ$65,0),0))</f>
        <v>0</v>
      </c>
      <c r="DH92" s="497">
        <f t="shared" si="50"/>
        <v>0</v>
      </c>
      <c r="DI92" s="497">
        <f t="shared" si="63"/>
        <v>1800000</v>
      </c>
      <c r="DJ92" s="493"/>
      <c r="DK92" s="493"/>
    </row>
    <row r="93" spans="1:115">
      <c r="A93" s="492">
        <v>89</v>
      </c>
      <c r="B93" s="492">
        <v>8</v>
      </c>
      <c r="C93" s="497">
        <f>IF(('Comparison Calculator'!$E$11-B93)&gt;=0,0,IFERROR(-PPMT($G$66/12,(A93-60),($F$1-5)*12,$G$65),0))</f>
        <v>0</v>
      </c>
      <c r="D93" s="497">
        <f>IF(('Comparison Calculator'!$E$11-B93)&gt;=0,$C$1*$G$66/12,IFERROR(-IPMT($G$66/12,(A93-60),($F$1-5)*12,$G$65,0),0))</f>
        <v>0</v>
      </c>
      <c r="E93" s="497">
        <f t="shared" si="38"/>
        <v>0</v>
      </c>
      <c r="F93" s="497">
        <f t="shared" si="51"/>
        <v>1800000</v>
      </c>
      <c r="G93" s="493"/>
      <c r="H93" s="493"/>
      <c r="I93" s="489"/>
      <c r="J93" s="492">
        <v>89</v>
      </c>
      <c r="K93" s="492">
        <v>8</v>
      </c>
      <c r="L93" s="497">
        <f>IF(('Comparison Calculator'!$E$11-K93)&gt;=0,0,IFERROR(-PPMT($P$66/12,(J93-60),($F$1-5)*12,$P$65),0))</f>
        <v>0</v>
      </c>
      <c r="M93" s="497">
        <f>IF(('Comparison Calculator'!$E$11-K93)&gt;=0,$C$1*$P$66/12,IFERROR(-IPMT($P$66/12,(J93-60),($F$1-5)*12,$P$65,0),0))</f>
        <v>0</v>
      </c>
      <c r="N93" s="497">
        <f t="shared" si="39"/>
        <v>0</v>
      </c>
      <c r="O93" s="497">
        <f t="shared" si="52"/>
        <v>1800000</v>
      </c>
      <c r="P93" s="493"/>
      <c r="Q93" s="493"/>
      <c r="S93" s="492">
        <v>89</v>
      </c>
      <c r="T93" s="492">
        <v>8</v>
      </c>
      <c r="U93" s="497">
        <f>IF(('Comparison Calculator'!$E$11-T93)&gt;=0,0,IFERROR(-PPMT($Y$66/12,(S93-60),($F$1-5)*12,$Y$65),0))</f>
        <v>0</v>
      </c>
      <c r="V93" s="497">
        <f>IF(('Comparison Calculator'!$E$11-T93)&gt;=0,$C$1*$Y$66/12,IFERROR(-IPMT($Y$66/12,(S93-60),($F$1-5)*12,$Y$65,0),0))</f>
        <v>0</v>
      </c>
      <c r="W93" s="497">
        <f t="shared" si="40"/>
        <v>0</v>
      </c>
      <c r="X93" s="497">
        <f t="shared" si="53"/>
        <v>1800000</v>
      </c>
      <c r="Y93" s="493"/>
      <c r="Z93" s="493"/>
      <c r="AB93" s="492">
        <v>89</v>
      </c>
      <c r="AC93" s="492">
        <v>8</v>
      </c>
      <c r="AD93" s="497">
        <f>IF(('Comparison Calculator'!$E$11-AC93)&gt;=0,0,IFERROR(-PPMT($AH$66/12,(AB93-60),($F$1-5)*12,$AH$65),0))</f>
        <v>0</v>
      </c>
      <c r="AE93" s="497">
        <f>IF(('Comparison Calculator'!$E$11-AC93)&gt;=0,$C$1*$AH$66/12,IFERROR(-IPMT($AH$66/12,(AB93-60),($F$1-5)*12,$AH$65,0),0))</f>
        <v>0</v>
      </c>
      <c r="AF93" s="497">
        <f t="shared" si="41"/>
        <v>0</v>
      </c>
      <c r="AG93" s="497">
        <f t="shared" si="54"/>
        <v>1800000</v>
      </c>
      <c r="AH93" s="493"/>
      <c r="AI93" s="493"/>
      <c r="AK93" s="492">
        <v>89</v>
      </c>
      <c r="AL93" s="492">
        <v>8</v>
      </c>
      <c r="AM93" s="497">
        <f>IF(('Comparison Calculator'!$E$11-AL93)&gt;=0,0,IFERROR(-PPMT($AQ$66/12,(AK93-60),($F$1-5)*12,$AQ$65),0))</f>
        <v>0</v>
      </c>
      <c r="AN93" s="497">
        <f>IF(('Comparison Calculator'!$E$11-AL93)&gt;=0,$C$1*$AQ$66/12,IFERROR(-IPMT($AQ$66/12,(AK93-60),($F$1-5)*12,$AQ$65,0),0))</f>
        <v>0</v>
      </c>
      <c r="AO93" s="497">
        <f t="shared" si="42"/>
        <v>0</v>
      </c>
      <c r="AP93" s="497">
        <f t="shared" si="55"/>
        <v>1800000</v>
      </c>
      <c r="AQ93" s="493"/>
      <c r="AR93" s="493"/>
      <c r="AT93" s="492">
        <v>89</v>
      </c>
      <c r="AU93" s="492">
        <v>8</v>
      </c>
      <c r="AV93" s="497">
        <f>IF(('Comparison Calculator'!$E$11-AU93)&gt;=0,0,IFERROR(-PPMT($AZ$66/12,(AT93-60),($F$1-5)*12,$AZ$65),0))</f>
        <v>0</v>
      </c>
      <c r="AW93" s="497">
        <f>IF(('Comparison Calculator'!$E$11-AU93)&gt;=0,$C$1*$AZ$66/12,IFERROR(-IPMT($AZ$66/12,(AT93-60),($F$1-5)*12,$AZ$65,0),0))</f>
        <v>0</v>
      </c>
      <c r="AX93" s="497">
        <f t="shared" si="43"/>
        <v>0</v>
      </c>
      <c r="AY93" s="497">
        <f t="shared" si="56"/>
        <v>1800000</v>
      </c>
      <c r="AZ93" s="493"/>
      <c r="BA93" s="493"/>
      <c r="BC93" s="492">
        <v>89</v>
      </c>
      <c r="BD93" s="492">
        <v>8</v>
      </c>
      <c r="BE93" s="497">
        <f>IF(('Comparison Calculator'!$E$11-BD93)&gt;=0,0,IFERROR(-PPMT($BI$66/12,(BC93-60),($F$1-5)*12,$BI$65),0))</f>
        <v>0</v>
      </c>
      <c r="BF93" s="497">
        <f>IF(('Comparison Calculator'!$E$11-BD93)&gt;=0,$C$1*$BI$66/12,IFERROR(-IPMT($BI$66/12,(BC93-60),($F$1-5)*12,$BI$65,0),0))</f>
        <v>0</v>
      </c>
      <c r="BG93" s="497">
        <f t="shared" si="44"/>
        <v>0</v>
      </c>
      <c r="BH93" s="497">
        <f t="shared" si="57"/>
        <v>1800000</v>
      </c>
      <c r="BI93" s="493"/>
      <c r="BJ93" s="493"/>
      <c r="BK93" s="492">
        <v>89</v>
      </c>
      <c r="BL93" s="492">
        <v>8</v>
      </c>
      <c r="BM93" s="497">
        <f>IF(('Comparison Calculator'!$E$11-BL93)&gt;=0,0,IFERROR(-PPMT($BQ$66/12,(BK93-60),($F$1-5)*12,$BQ$65),0))</f>
        <v>0</v>
      </c>
      <c r="BN93" s="497">
        <f>IF(('Comparison Calculator'!$E$11-BL93)&gt;=0,$C$1*$BQ$66/12,IFERROR(-IPMT($BQ$66/12,(BK93-60),($F$1-5)*12,$BQ$65,0),0))</f>
        <v>0</v>
      </c>
      <c r="BO93" s="497">
        <f t="shared" si="45"/>
        <v>0</v>
      </c>
      <c r="BP93" s="497">
        <f t="shared" si="58"/>
        <v>1800000</v>
      </c>
      <c r="BQ93" s="493"/>
      <c r="BR93" s="493"/>
      <c r="BT93" s="492">
        <v>89</v>
      </c>
      <c r="BU93" s="492">
        <v>8</v>
      </c>
      <c r="BV93" s="497">
        <f>IF(('Comparison Calculator'!$E$11-BU93)&gt;=0,0,IFERROR(-PPMT($BZ$66/12,(BT93-60),($F$1-5)*12,$BZ$65),0))</f>
        <v>0</v>
      </c>
      <c r="BW93" s="497">
        <f>IF(('Comparison Calculator'!$E$11-BU93)&gt;=0,$C$1*$BZ$66/12,IFERROR(-IPMT($BZ$66/12,(BT93-60),($F$1-5)*12,$BZ$65,0),0))</f>
        <v>0</v>
      </c>
      <c r="BX93" s="497">
        <f t="shared" si="46"/>
        <v>0</v>
      </c>
      <c r="BY93" s="497">
        <f t="shared" si="59"/>
        <v>1800000</v>
      </c>
      <c r="BZ93" s="493"/>
      <c r="CA93" s="493"/>
      <c r="CC93" s="492">
        <v>89</v>
      </c>
      <c r="CD93" s="492">
        <v>8</v>
      </c>
      <c r="CE93" s="497">
        <f>IF(('Comparison Calculator'!$E$11-CD93)&gt;=0,0,IFERROR(-PPMT($CI$66/12,(CC93-60),($F$1-5)*12,$CI$65),0))</f>
        <v>0</v>
      </c>
      <c r="CF93" s="497">
        <f>IF(('Comparison Calculator'!$E$11-CD93)&gt;=0,$C$1*$CI$66/12,IFERROR(-IPMT($CI$66/12,(CC93-60),($F$1-5)*12,$CI$65,0),0))</f>
        <v>0</v>
      </c>
      <c r="CG93" s="497">
        <f t="shared" si="47"/>
        <v>0</v>
      </c>
      <c r="CH93" s="497">
        <f t="shared" si="60"/>
        <v>1800000</v>
      </c>
      <c r="CI93" s="493"/>
      <c r="CJ93" s="493"/>
      <c r="CL93" s="492">
        <v>89</v>
      </c>
      <c r="CM93" s="492">
        <v>8</v>
      </c>
      <c r="CN93" s="497">
        <f>IF(('Comparison Calculator'!$E$11-CM93)&gt;=0,0,IFERROR(-PPMT($CR$66/12,(CL93-60),($F$1-5)*12,$CR$65),0))</f>
        <v>0</v>
      </c>
      <c r="CO93" s="497">
        <f>IF(('Comparison Calculator'!$E$11-CM93)&gt;=0,$C$1*$CI$66/12,IFERROR(-IPMT($CI$66/12,(CL93-60),($F$1-5)*12,$CI$65,0),0))</f>
        <v>0</v>
      </c>
      <c r="CP93" s="497">
        <f t="shared" si="48"/>
        <v>0</v>
      </c>
      <c r="CQ93" s="497">
        <f t="shared" si="61"/>
        <v>1800000</v>
      </c>
      <c r="CR93" s="493"/>
      <c r="CS93" s="493"/>
      <c r="CU93" s="492">
        <v>89</v>
      </c>
      <c r="CV93" s="492">
        <v>8</v>
      </c>
      <c r="CW93" s="497">
        <f>IF(('Comparison Calculator'!$E$11-CV93)&gt;=0,0,IFERROR(-PPMT($DA$66/12,(CU93-60),($F$1-5)*12,$DA$65),0))</f>
        <v>0</v>
      </c>
      <c r="CX93" s="497">
        <f>IF(('Comparison Calculator'!$E$11-CV93)&gt;=0,$C$1*$DA$66/12,IFERROR(-IPMT($DA$66/12,(CU93-60),($F$1-5)*12,$DA$65,0),0))</f>
        <v>0</v>
      </c>
      <c r="CY93" s="497">
        <f t="shared" si="49"/>
        <v>0</v>
      </c>
      <c r="CZ93" s="497">
        <f t="shared" si="62"/>
        <v>1800000</v>
      </c>
      <c r="DA93" s="493"/>
      <c r="DB93" s="493"/>
      <c r="DD93" s="492">
        <v>89</v>
      </c>
      <c r="DE93" s="492">
        <v>8</v>
      </c>
      <c r="DF93" s="497">
        <f>IF(('Comparison Calculator'!$E$11-DE93)&gt;=0,0,IFERROR(-PPMT($DJ$66/12,(DD93-60),($F$1-5)*12,$DJ$65),0))</f>
        <v>0</v>
      </c>
      <c r="DG93" s="497">
        <f>IF(('Comparison Calculator'!$E$11-DE93)&gt;=0,$C$1*$DJ$66/12,IFERROR(-IPMT($DJ$66/12,(DD93-60),($F$1-5)*12,$DJ$65,0),0))</f>
        <v>0</v>
      </c>
      <c r="DH93" s="497">
        <f t="shared" si="50"/>
        <v>0</v>
      </c>
      <c r="DI93" s="497">
        <f t="shared" si="63"/>
        <v>1800000</v>
      </c>
      <c r="DJ93" s="493"/>
      <c r="DK93" s="493"/>
    </row>
    <row r="94" spans="1:115">
      <c r="A94" s="492">
        <v>90</v>
      </c>
      <c r="B94" s="492">
        <v>8</v>
      </c>
      <c r="C94" s="497">
        <f>IF(('Comparison Calculator'!$E$11-B94)&gt;=0,0,IFERROR(-PPMT($G$66/12,(A94-60),($F$1-5)*12,$G$65),0))</f>
        <v>0</v>
      </c>
      <c r="D94" s="497">
        <f>IF(('Comparison Calculator'!$E$11-B94)&gt;=0,$C$1*$G$66/12,IFERROR(-IPMT($G$66/12,(A94-60),($F$1-5)*12,$G$65,0),0))</f>
        <v>0</v>
      </c>
      <c r="E94" s="497">
        <f t="shared" si="38"/>
        <v>0</v>
      </c>
      <c r="F94" s="497">
        <f t="shared" si="51"/>
        <v>1800000</v>
      </c>
      <c r="G94" s="493"/>
      <c r="H94" s="493"/>
      <c r="I94" s="489"/>
      <c r="J94" s="492">
        <v>90</v>
      </c>
      <c r="K94" s="492">
        <v>8</v>
      </c>
      <c r="L94" s="497">
        <f>IF(('Comparison Calculator'!$E$11-K94)&gt;=0,0,IFERROR(-PPMT($P$66/12,(J94-60),($F$1-5)*12,$P$65),0))</f>
        <v>0</v>
      </c>
      <c r="M94" s="497">
        <f>IF(('Comparison Calculator'!$E$11-K94)&gt;=0,$C$1*$P$66/12,IFERROR(-IPMT($P$66/12,(J94-60),($F$1-5)*12,$P$65,0),0))</f>
        <v>0</v>
      </c>
      <c r="N94" s="497">
        <f t="shared" si="39"/>
        <v>0</v>
      </c>
      <c r="O94" s="497">
        <f t="shared" si="52"/>
        <v>1800000</v>
      </c>
      <c r="P94" s="493"/>
      <c r="Q94" s="493"/>
      <c r="S94" s="492">
        <v>90</v>
      </c>
      <c r="T94" s="492">
        <v>8</v>
      </c>
      <c r="U94" s="497">
        <f>IF(('Comparison Calculator'!$E$11-T94)&gt;=0,0,IFERROR(-PPMT($Y$66/12,(S94-60),($F$1-5)*12,$Y$65),0))</f>
        <v>0</v>
      </c>
      <c r="V94" s="497">
        <f>IF(('Comparison Calculator'!$E$11-T94)&gt;=0,$C$1*$Y$66/12,IFERROR(-IPMT($Y$66/12,(S94-60),($F$1-5)*12,$Y$65,0),0))</f>
        <v>0</v>
      </c>
      <c r="W94" s="497">
        <f t="shared" si="40"/>
        <v>0</v>
      </c>
      <c r="X94" s="497">
        <f t="shared" si="53"/>
        <v>1800000</v>
      </c>
      <c r="Y94" s="493"/>
      <c r="Z94" s="493"/>
      <c r="AB94" s="492">
        <v>90</v>
      </c>
      <c r="AC94" s="492">
        <v>8</v>
      </c>
      <c r="AD94" s="497">
        <f>IF(('Comparison Calculator'!$E$11-AC94)&gt;=0,0,IFERROR(-PPMT($AH$66/12,(AB94-60),($F$1-5)*12,$AH$65),0))</f>
        <v>0</v>
      </c>
      <c r="AE94" s="497">
        <f>IF(('Comparison Calculator'!$E$11-AC94)&gt;=0,$C$1*$AH$66/12,IFERROR(-IPMT($AH$66/12,(AB94-60),($F$1-5)*12,$AH$65,0),0))</f>
        <v>0</v>
      </c>
      <c r="AF94" s="497">
        <f t="shared" si="41"/>
        <v>0</v>
      </c>
      <c r="AG94" s="497">
        <f t="shared" si="54"/>
        <v>1800000</v>
      </c>
      <c r="AH94" s="493"/>
      <c r="AI94" s="493"/>
      <c r="AK94" s="492">
        <v>90</v>
      </c>
      <c r="AL94" s="492">
        <v>8</v>
      </c>
      <c r="AM94" s="497">
        <f>IF(('Comparison Calculator'!$E$11-AL94)&gt;=0,0,IFERROR(-PPMT($AQ$66/12,(AK94-60),($F$1-5)*12,$AQ$65),0))</f>
        <v>0</v>
      </c>
      <c r="AN94" s="497">
        <f>IF(('Comparison Calculator'!$E$11-AL94)&gt;=0,$C$1*$AQ$66/12,IFERROR(-IPMT($AQ$66/12,(AK94-60),($F$1-5)*12,$AQ$65,0),0))</f>
        <v>0</v>
      </c>
      <c r="AO94" s="497">
        <f t="shared" si="42"/>
        <v>0</v>
      </c>
      <c r="AP94" s="497">
        <f t="shared" si="55"/>
        <v>1800000</v>
      </c>
      <c r="AQ94" s="493"/>
      <c r="AR94" s="493"/>
      <c r="AT94" s="492">
        <v>90</v>
      </c>
      <c r="AU94" s="492">
        <v>8</v>
      </c>
      <c r="AV94" s="497">
        <f>IF(('Comparison Calculator'!$E$11-AU94)&gt;=0,0,IFERROR(-PPMT($AZ$66/12,(AT94-60),($F$1-5)*12,$AZ$65),0))</f>
        <v>0</v>
      </c>
      <c r="AW94" s="497">
        <f>IF(('Comparison Calculator'!$E$11-AU94)&gt;=0,$C$1*$AZ$66/12,IFERROR(-IPMT($AZ$66/12,(AT94-60),($F$1-5)*12,$AZ$65,0),0))</f>
        <v>0</v>
      </c>
      <c r="AX94" s="497">
        <f t="shared" si="43"/>
        <v>0</v>
      </c>
      <c r="AY94" s="497">
        <f t="shared" si="56"/>
        <v>1800000</v>
      </c>
      <c r="AZ94" s="493"/>
      <c r="BA94" s="493"/>
      <c r="BC94" s="492">
        <v>90</v>
      </c>
      <c r="BD94" s="492">
        <v>8</v>
      </c>
      <c r="BE94" s="497">
        <f>IF(('Comparison Calculator'!$E$11-BD94)&gt;=0,0,IFERROR(-PPMT($BI$66/12,(BC94-60),($F$1-5)*12,$BI$65),0))</f>
        <v>0</v>
      </c>
      <c r="BF94" s="497">
        <f>IF(('Comparison Calculator'!$E$11-BD94)&gt;=0,$C$1*$BI$66/12,IFERROR(-IPMT($BI$66/12,(BC94-60),($F$1-5)*12,$BI$65,0),0))</f>
        <v>0</v>
      </c>
      <c r="BG94" s="497">
        <f t="shared" si="44"/>
        <v>0</v>
      </c>
      <c r="BH94" s="497">
        <f t="shared" si="57"/>
        <v>1800000</v>
      </c>
      <c r="BI94" s="493"/>
      <c r="BJ94" s="493"/>
      <c r="BK94" s="492">
        <v>90</v>
      </c>
      <c r="BL94" s="492">
        <v>8</v>
      </c>
      <c r="BM94" s="497">
        <f>IF(('Comparison Calculator'!$E$11-BL94)&gt;=0,0,IFERROR(-PPMT($BQ$66/12,(BK94-60),($F$1-5)*12,$BQ$65),0))</f>
        <v>0</v>
      </c>
      <c r="BN94" s="497">
        <f>IF(('Comparison Calculator'!$E$11-BL94)&gt;=0,$C$1*$BQ$66/12,IFERROR(-IPMT($BQ$66/12,(BK94-60),($F$1-5)*12,$BQ$65,0),0))</f>
        <v>0</v>
      </c>
      <c r="BO94" s="497">
        <f t="shared" si="45"/>
        <v>0</v>
      </c>
      <c r="BP94" s="497">
        <f t="shared" si="58"/>
        <v>1800000</v>
      </c>
      <c r="BQ94" s="493"/>
      <c r="BR94" s="493"/>
      <c r="BT94" s="492">
        <v>90</v>
      </c>
      <c r="BU94" s="492">
        <v>8</v>
      </c>
      <c r="BV94" s="497">
        <f>IF(('Comparison Calculator'!$E$11-BU94)&gt;=0,0,IFERROR(-PPMT($BZ$66/12,(BT94-60),($F$1-5)*12,$BZ$65),0))</f>
        <v>0</v>
      </c>
      <c r="BW94" s="497">
        <f>IF(('Comparison Calculator'!$E$11-BU94)&gt;=0,$C$1*$BZ$66/12,IFERROR(-IPMT($BZ$66/12,(BT94-60),($F$1-5)*12,$BZ$65,0),0))</f>
        <v>0</v>
      </c>
      <c r="BX94" s="497">
        <f t="shared" si="46"/>
        <v>0</v>
      </c>
      <c r="BY94" s="497">
        <f t="shared" si="59"/>
        <v>1800000</v>
      </c>
      <c r="BZ94" s="493"/>
      <c r="CA94" s="493"/>
      <c r="CC94" s="492">
        <v>90</v>
      </c>
      <c r="CD94" s="492">
        <v>8</v>
      </c>
      <c r="CE94" s="497">
        <f>IF(('Comparison Calculator'!$E$11-CD94)&gt;=0,0,IFERROR(-PPMT($CI$66/12,(CC94-60),($F$1-5)*12,$CI$65),0))</f>
        <v>0</v>
      </c>
      <c r="CF94" s="497">
        <f>IF(('Comparison Calculator'!$E$11-CD94)&gt;=0,$C$1*$CI$66/12,IFERROR(-IPMT($CI$66/12,(CC94-60),($F$1-5)*12,$CI$65,0),0))</f>
        <v>0</v>
      </c>
      <c r="CG94" s="497">
        <f t="shared" si="47"/>
        <v>0</v>
      </c>
      <c r="CH94" s="497">
        <f t="shared" si="60"/>
        <v>1800000</v>
      </c>
      <c r="CI94" s="493"/>
      <c r="CJ94" s="493"/>
      <c r="CL94" s="492">
        <v>90</v>
      </c>
      <c r="CM94" s="492">
        <v>8</v>
      </c>
      <c r="CN94" s="497">
        <f>IF(('Comparison Calculator'!$E$11-CM94)&gt;=0,0,IFERROR(-PPMT($CR$66/12,(CL94-60),($F$1-5)*12,$CR$65),0))</f>
        <v>0</v>
      </c>
      <c r="CO94" s="497">
        <f>IF(('Comparison Calculator'!$E$11-CM94)&gt;=0,$C$1*$CI$66/12,IFERROR(-IPMT($CI$66/12,(CL94-60),($F$1-5)*12,$CI$65,0),0))</f>
        <v>0</v>
      </c>
      <c r="CP94" s="497">
        <f t="shared" si="48"/>
        <v>0</v>
      </c>
      <c r="CQ94" s="497">
        <f t="shared" si="61"/>
        <v>1800000</v>
      </c>
      <c r="CR94" s="493"/>
      <c r="CS94" s="493"/>
      <c r="CU94" s="492">
        <v>90</v>
      </c>
      <c r="CV94" s="492">
        <v>8</v>
      </c>
      <c r="CW94" s="497">
        <f>IF(('Comparison Calculator'!$E$11-CV94)&gt;=0,0,IFERROR(-PPMT($DA$66/12,(CU94-60),($F$1-5)*12,$DA$65),0))</f>
        <v>0</v>
      </c>
      <c r="CX94" s="497">
        <f>IF(('Comparison Calculator'!$E$11-CV94)&gt;=0,$C$1*$DA$66/12,IFERROR(-IPMT($DA$66/12,(CU94-60),($F$1-5)*12,$DA$65,0),0))</f>
        <v>0</v>
      </c>
      <c r="CY94" s="497">
        <f t="shared" si="49"/>
        <v>0</v>
      </c>
      <c r="CZ94" s="497">
        <f t="shared" si="62"/>
        <v>1800000</v>
      </c>
      <c r="DA94" s="493"/>
      <c r="DB94" s="493"/>
      <c r="DD94" s="492">
        <v>90</v>
      </c>
      <c r="DE94" s="492">
        <v>8</v>
      </c>
      <c r="DF94" s="497">
        <f>IF(('Comparison Calculator'!$E$11-DE94)&gt;=0,0,IFERROR(-PPMT($DJ$66/12,(DD94-60),($F$1-5)*12,$DJ$65),0))</f>
        <v>0</v>
      </c>
      <c r="DG94" s="497">
        <f>IF(('Comparison Calculator'!$E$11-DE94)&gt;=0,$C$1*$DJ$66/12,IFERROR(-IPMT($DJ$66/12,(DD94-60),($F$1-5)*12,$DJ$65,0),0))</f>
        <v>0</v>
      </c>
      <c r="DH94" s="497">
        <f t="shared" si="50"/>
        <v>0</v>
      </c>
      <c r="DI94" s="497">
        <f t="shared" si="63"/>
        <v>1800000</v>
      </c>
      <c r="DJ94" s="493"/>
      <c r="DK94" s="493"/>
    </row>
    <row r="95" spans="1:115">
      <c r="A95" s="492">
        <v>91</v>
      </c>
      <c r="B95" s="492">
        <v>8</v>
      </c>
      <c r="C95" s="497">
        <f>IF(('Comparison Calculator'!$E$11-B95)&gt;=0,0,IFERROR(-PPMT($G$66/12,(A95-60),($F$1-5)*12,$G$65),0))</f>
        <v>0</v>
      </c>
      <c r="D95" s="497">
        <f>IF(('Comparison Calculator'!$E$11-B95)&gt;=0,$C$1*$G$66/12,IFERROR(-IPMT($G$66/12,(A95-60),($F$1-5)*12,$G$65,0),0))</f>
        <v>0</v>
      </c>
      <c r="E95" s="497">
        <f t="shared" si="38"/>
        <v>0</v>
      </c>
      <c r="F95" s="497">
        <f t="shared" si="51"/>
        <v>1800000</v>
      </c>
      <c r="G95" s="493"/>
      <c r="H95" s="493"/>
      <c r="I95" s="489"/>
      <c r="J95" s="492">
        <v>91</v>
      </c>
      <c r="K95" s="492">
        <v>8</v>
      </c>
      <c r="L95" s="497">
        <f>IF(('Comparison Calculator'!$E$11-K95)&gt;=0,0,IFERROR(-PPMT($P$66/12,(J95-60),($F$1-5)*12,$P$65),0))</f>
        <v>0</v>
      </c>
      <c r="M95" s="497">
        <f>IF(('Comparison Calculator'!$E$11-K95)&gt;=0,$C$1*$P$66/12,IFERROR(-IPMT($P$66/12,(J95-60),($F$1-5)*12,$P$65,0),0))</f>
        <v>0</v>
      </c>
      <c r="N95" s="497">
        <f t="shared" si="39"/>
        <v>0</v>
      </c>
      <c r="O95" s="497">
        <f t="shared" si="52"/>
        <v>1800000</v>
      </c>
      <c r="P95" s="493"/>
      <c r="Q95" s="493"/>
      <c r="S95" s="492">
        <v>91</v>
      </c>
      <c r="T95" s="492">
        <v>8</v>
      </c>
      <c r="U95" s="497">
        <f>IF(('Comparison Calculator'!$E$11-T95)&gt;=0,0,IFERROR(-PPMT($Y$66/12,(S95-60),($F$1-5)*12,$Y$65),0))</f>
        <v>0</v>
      </c>
      <c r="V95" s="497">
        <f>IF(('Comparison Calculator'!$E$11-T95)&gt;=0,$C$1*$Y$66/12,IFERROR(-IPMT($Y$66/12,(S95-60),($F$1-5)*12,$Y$65,0),0))</f>
        <v>0</v>
      </c>
      <c r="W95" s="497">
        <f t="shared" si="40"/>
        <v>0</v>
      </c>
      <c r="X95" s="497">
        <f t="shared" si="53"/>
        <v>1800000</v>
      </c>
      <c r="Y95" s="493"/>
      <c r="Z95" s="493"/>
      <c r="AB95" s="492">
        <v>91</v>
      </c>
      <c r="AC95" s="492">
        <v>8</v>
      </c>
      <c r="AD95" s="497">
        <f>IF(('Comparison Calculator'!$E$11-AC95)&gt;=0,0,IFERROR(-PPMT($AH$66/12,(AB95-60),($F$1-5)*12,$AH$65),0))</f>
        <v>0</v>
      </c>
      <c r="AE95" s="497">
        <f>IF(('Comparison Calculator'!$E$11-AC95)&gt;=0,$C$1*$AH$66/12,IFERROR(-IPMT($AH$66/12,(AB95-60),($F$1-5)*12,$AH$65,0),0))</f>
        <v>0</v>
      </c>
      <c r="AF95" s="497">
        <f t="shared" si="41"/>
        <v>0</v>
      </c>
      <c r="AG95" s="497">
        <f t="shared" si="54"/>
        <v>1800000</v>
      </c>
      <c r="AH95" s="493"/>
      <c r="AI95" s="493"/>
      <c r="AK95" s="492">
        <v>91</v>
      </c>
      <c r="AL95" s="492">
        <v>8</v>
      </c>
      <c r="AM95" s="497">
        <f>IF(('Comparison Calculator'!$E$11-AL95)&gt;=0,0,IFERROR(-PPMT($AQ$66/12,(AK95-60),($F$1-5)*12,$AQ$65),0))</f>
        <v>0</v>
      </c>
      <c r="AN95" s="497">
        <f>IF(('Comparison Calculator'!$E$11-AL95)&gt;=0,$C$1*$AQ$66/12,IFERROR(-IPMT($AQ$66/12,(AK95-60),($F$1-5)*12,$AQ$65,0),0))</f>
        <v>0</v>
      </c>
      <c r="AO95" s="497">
        <f t="shared" si="42"/>
        <v>0</v>
      </c>
      <c r="AP95" s="497">
        <f t="shared" si="55"/>
        <v>1800000</v>
      </c>
      <c r="AQ95" s="493"/>
      <c r="AR95" s="493"/>
      <c r="AT95" s="492">
        <v>91</v>
      </c>
      <c r="AU95" s="492">
        <v>8</v>
      </c>
      <c r="AV95" s="497">
        <f>IF(('Comparison Calculator'!$E$11-AU95)&gt;=0,0,IFERROR(-PPMT($AZ$66/12,(AT95-60),($F$1-5)*12,$AZ$65),0))</f>
        <v>0</v>
      </c>
      <c r="AW95" s="497">
        <f>IF(('Comparison Calculator'!$E$11-AU95)&gt;=0,$C$1*$AZ$66/12,IFERROR(-IPMT($AZ$66/12,(AT95-60),($F$1-5)*12,$AZ$65,0),0))</f>
        <v>0</v>
      </c>
      <c r="AX95" s="497">
        <f t="shared" si="43"/>
        <v>0</v>
      </c>
      <c r="AY95" s="497">
        <f t="shared" si="56"/>
        <v>1800000</v>
      </c>
      <c r="AZ95" s="493"/>
      <c r="BA95" s="493"/>
      <c r="BC95" s="492">
        <v>91</v>
      </c>
      <c r="BD95" s="492">
        <v>8</v>
      </c>
      <c r="BE95" s="497">
        <f>IF(('Comparison Calculator'!$E$11-BD95)&gt;=0,0,IFERROR(-PPMT($BI$66/12,(BC95-60),($F$1-5)*12,$BI$65),0))</f>
        <v>0</v>
      </c>
      <c r="BF95" s="497">
        <f>IF(('Comparison Calculator'!$E$11-BD95)&gt;=0,$C$1*$BI$66/12,IFERROR(-IPMT($BI$66/12,(BC95-60),($F$1-5)*12,$BI$65,0),0))</f>
        <v>0</v>
      </c>
      <c r="BG95" s="497">
        <f t="shared" si="44"/>
        <v>0</v>
      </c>
      <c r="BH95" s="497">
        <f t="shared" si="57"/>
        <v>1800000</v>
      </c>
      <c r="BI95" s="493"/>
      <c r="BJ95" s="493"/>
      <c r="BK95" s="492">
        <v>91</v>
      </c>
      <c r="BL95" s="492">
        <v>8</v>
      </c>
      <c r="BM95" s="497">
        <f>IF(('Comparison Calculator'!$E$11-BL95)&gt;=0,0,IFERROR(-PPMT($BQ$66/12,(BK95-60),($F$1-5)*12,$BQ$65),0))</f>
        <v>0</v>
      </c>
      <c r="BN95" s="497">
        <f>IF(('Comparison Calculator'!$E$11-BL95)&gt;=0,$C$1*$BQ$66/12,IFERROR(-IPMT($BQ$66/12,(BK95-60),($F$1-5)*12,$BQ$65,0),0))</f>
        <v>0</v>
      </c>
      <c r="BO95" s="497">
        <f t="shared" si="45"/>
        <v>0</v>
      </c>
      <c r="BP95" s="497">
        <f t="shared" si="58"/>
        <v>1800000</v>
      </c>
      <c r="BQ95" s="493"/>
      <c r="BR95" s="493"/>
      <c r="BT95" s="492">
        <v>91</v>
      </c>
      <c r="BU95" s="492">
        <v>8</v>
      </c>
      <c r="BV95" s="497">
        <f>IF(('Comparison Calculator'!$E$11-BU95)&gt;=0,0,IFERROR(-PPMT($BZ$66/12,(BT95-60),($F$1-5)*12,$BZ$65),0))</f>
        <v>0</v>
      </c>
      <c r="BW95" s="497">
        <f>IF(('Comparison Calculator'!$E$11-BU95)&gt;=0,$C$1*$BZ$66/12,IFERROR(-IPMT($BZ$66/12,(BT95-60),($F$1-5)*12,$BZ$65,0),0))</f>
        <v>0</v>
      </c>
      <c r="BX95" s="497">
        <f t="shared" si="46"/>
        <v>0</v>
      </c>
      <c r="BY95" s="497">
        <f t="shared" si="59"/>
        <v>1800000</v>
      </c>
      <c r="BZ95" s="493"/>
      <c r="CA95" s="493"/>
      <c r="CC95" s="492">
        <v>91</v>
      </c>
      <c r="CD95" s="492">
        <v>8</v>
      </c>
      <c r="CE95" s="497">
        <f>IF(('Comparison Calculator'!$E$11-CD95)&gt;=0,0,IFERROR(-PPMT($CI$66/12,(CC95-60),($F$1-5)*12,$CI$65),0))</f>
        <v>0</v>
      </c>
      <c r="CF95" s="497">
        <f>IF(('Comparison Calculator'!$E$11-CD95)&gt;=0,$C$1*$CI$66/12,IFERROR(-IPMT($CI$66/12,(CC95-60),($F$1-5)*12,$CI$65,0),0))</f>
        <v>0</v>
      </c>
      <c r="CG95" s="497">
        <f t="shared" si="47"/>
        <v>0</v>
      </c>
      <c r="CH95" s="497">
        <f t="shared" si="60"/>
        <v>1800000</v>
      </c>
      <c r="CI95" s="493"/>
      <c r="CJ95" s="493"/>
      <c r="CL95" s="492">
        <v>91</v>
      </c>
      <c r="CM95" s="492">
        <v>8</v>
      </c>
      <c r="CN95" s="497">
        <f>IF(('Comparison Calculator'!$E$11-CM95)&gt;=0,0,IFERROR(-PPMT($CR$66/12,(CL95-60),($F$1-5)*12,$CR$65),0))</f>
        <v>0</v>
      </c>
      <c r="CO95" s="497">
        <f>IF(('Comparison Calculator'!$E$11-CM95)&gt;=0,$C$1*$CI$66/12,IFERROR(-IPMT($CI$66/12,(CL95-60),($F$1-5)*12,$CI$65,0),0))</f>
        <v>0</v>
      </c>
      <c r="CP95" s="497">
        <f t="shared" si="48"/>
        <v>0</v>
      </c>
      <c r="CQ95" s="497">
        <f t="shared" si="61"/>
        <v>1800000</v>
      </c>
      <c r="CR95" s="493"/>
      <c r="CS95" s="493"/>
      <c r="CU95" s="492">
        <v>91</v>
      </c>
      <c r="CV95" s="492">
        <v>8</v>
      </c>
      <c r="CW95" s="497">
        <f>IF(('Comparison Calculator'!$E$11-CV95)&gt;=0,0,IFERROR(-PPMT($DA$66/12,(CU95-60),($F$1-5)*12,$DA$65),0))</f>
        <v>0</v>
      </c>
      <c r="CX95" s="497">
        <f>IF(('Comparison Calculator'!$E$11-CV95)&gt;=0,$C$1*$DA$66/12,IFERROR(-IPMT($DA$66/12,(CU95-60),($F$1-5)*12,$DA$65,0),0))</f>
        <v>0</v>
      </c>
      <c r="CY95" s="497">
        <f t="shared" si="49"/>
        <v>0</v>
      </c>
      <c r="CZ95" s="497">
        <f t="shared" si="62"/>
        <v>1800000</v>
      </c>
      <c r="DA95" s="493"/>
      <c r="DB95" s="493"/>
      <c r="DD95" s="492">
        <v>91</v>
      </c>
      <c r="DE95" s="492">
        <v>8</v>
      </c>
      <c r="DF95" s="497">
        <f>IF(('Comparison Calculator'!$E$11-DE95)&gt;=0,0,IFERROR(-PPMT($DJ$66/12,(DD95-60),($F$1-5)*12,$DJ$65),0))</f>
        <v>0</v>
      </c>
      <c r="DG95" s="497">
        <f>IF(('Comparison Calculator'!$E$11-DE95)&gt;=0,$C$1*$DJ$66/12,IFERROR(-IPMT($DJ$66/12,(DD95-60),($F$1-5)*12,$DJ$65,0),0))</f>
        <v>0</v>
      </c>
      <c r="DH95" s="497">
        <f t="shared" si="50"/>
        <v>0</v>
      </c>
      <c r="DI95" s="497">
        <f t="shared" si="63"/>
        <v>1800000</v>
      </c>
      <c r="DJ95" s="493"/>
      <c r="DK95" s="493"/>
    </row>
    <row r="96" spans="1:115">
      <c r="A96" s="492">
        <v>92</v>
      </c>
      <c r="B96" s="492">
        <v>8</v>
      </c>
      <c r="C96" s="497">
        <f>IF(('Comparison Calculator'!$E$11-B96)&gt;=0,0,IFERROR(-PPMT($G$66/12,(A96-60),($F$1-5)*12,$G$65),0))</f>
        <v>0</v>
      </c>
      <c r="D96" s="497">
        <f>IF(('Comparison Calculator'!$E$11-B96)&gt;=0,$C$1*$G$66/12,IFERROR(-IPMT($G$66/12,(A96-60),($F$1-5)*12,$G$65,0),0))</f>
        <v>0</v>
      </c>
      <c r="E96" s="497">
        <f t="shared" si="38"/>
        <v>0</v>
      </c>
      <c r="F96" s="497">
        <f t="shared" si="51"/>
        <v>1800000</v>
      </c>
      <c r="G96" s="493"/>
      <c r="H96" s="493"/>
      <c r="I96" s="489"/>
      <c r="J96" s="492">
        <v>92</v>
      </c>
      <c r="K96" s="492">
        <v>8</v>
      </c>
      <c r="L96" s="497">
        <f>IF(('Comparison Calculator'!$E$11-K96)&gt;=0,0,IFERROR(-PPMT($P$66/12,(J96-60),($F$1-5)*12,$P$65),0))</f>
        <v>0</v>
      </c>
      <c r="M96" s="497">
        <f>IF(('Comparison Calculator'!$E$11-K96)&gt;=0,$C$1*$P$66/12,IFERROR(-IPMT($P$66/12,(J96-60),($F$1-5)*12,$P$65,0),0))</f>
        <v>0</v>
      </c>
      <c r="N96" s="497">
        <f t="shared" si="39"/>
        <v>0</v>
      </c>
      <c r="O96" s="497">
        <f t="shared" si="52"/>
        <v>1800000</v>
      </c>
      <c r="P96" s="493"/>
      <c r="Q96" s="493"/>
      <c r="S96" s="492">
        <v>92</v>
      </c>
      <c r="T96" s="492">
        <v>8</v>
      </c>
      <c r="U96" s="497">
        <f>IF(('Comparison Calculator'!$E$11-T96)&gt;=0,0,IFERROR(-PPMT($Y$66/12,(S96-60),($F$1-5)*12,$Y$65),0))</f>
        <v>0</v>
      </c>
      <c r="V96" s="497">
        <f>IF(('Comparison Calculator'!$E$11-T96)&gt;=0,$C$1*$Y$66/12,IFERROR(-IPMT($Y$66/12,(S96-60),($F$1-5)*12,$Y$65,0),0))</f>
        <v>0</v>
      </c>
      <c r="W96" s="497">
        <f t="shared" si="40"/>
        <v>0</v>
      </c>
      <c r="X96" s="497">
        <f t="shared" si="53"/>
        <v>1800000</v>
      </c>
      <c r="Y96" s="493"/>
      <c r="Z96" s="493"/>
      <c r="AB96" s="492">
        <v>92</v>
      </c>
      <c r="AC96" s="492">
        <v>8</v>
      </c>
      <c r="AD96" s="497">
        <f>IF(('Comparison Calculator'!$E$11-AC96)&gt;=0,0,IFERROR(-PPMT($AH$66/12,(AB96-60),($F$1-5)*12,$AH$65),0))</f>
        <v>0</v>
      </c>
      <c r="AE96" s="497">
        <f>IF(('Comparison Calculator'!$E$11-AC96)&gt;=0,$C$1*$AH$66/12,IFERROR(-IPMT($AH$66/12,(AB96-60),($F$1-5)*12,$AH$65,0),0))</f>
        <v>0</v>
      </c>
      <c r="AF96" s="497">
        <f t="shared" si="41"/>
        <v>0</v>
      </c>
      <c r="AG96" s="497">
        <f t="shared" si="54"/>
        <v>1800000</v>
      </c>
      <c r="AH96" s="493"/>
      <c r="AI96" s="493"/>
      <c r="AK96" s="492">
        <v>92</v>
      </c>
      <c r="AL96" s="492">
        <v>8</v>
      </c>
      <c r="AM96" s="497">
        <f>IF(('Comparison Calculator'!$E$11-AL96)&gt;=0,0,IFERROR(-PPMT($AQ$66/12,(AK96-60),($F$1-5)*12,$AQ$65),0))</f>
        <v>0</v>
      </c>
      <c r="AN96" s="497">
        <f>IF(('Comparison Calculator'!$E$11-AL96)&gt;=0,$C$1*$AQ$66/12,IFERROR(-IPMT($AQ$66/12,(AK96-60),($F$1-5)*12,$AQ$65,0),0))</f>
        <v>0</v>
      </c>
      <c r="AO96" s="497">
        <f t="shared" si="42"/>
        <v>0</v>
      </c>
      <c r="AP96" s="497">
        <f t="shared" si="55"/>
        <v>1800000</v>
      </c>
      <c r="AQ96" s="493"/>
      <c r="AR96" s="493"/>
      <c r="AT96" s="492">
        <v>92</v>
      </c>
      <c r="AU96" s="492">
        <v>8</v>
      </c>
      <c r="AV96" s="497">
        <f>IF(('Comparison Calculator'!$E$11-AU96)&gt;=0,0,IFERROR(-PPMT($AZ$66/12,(AT96-60),($F$1-5)*12,$AZ$65),0))</f>
        <v>0</v>
      </c>
      <c r="AW96" s="497">
        <f>IF(('Comparison Calculator'!$E$11-AU96)&gt;=0,$C$1*$AZ$66/12,IFERROR(-IPMT($AZ$66/12,(AT96-60),($F$1-5)*12,$AZ$65,0),0))</f>
        <v>0</v>
      </c>
      <c r="AX96" s="497">
        <f t="shared" si="43"/>
        <v>0</v>
      </c>
      <c r="AY96" s="497">
        <f t="shared" si="56"/>
        <v>1800000</v>
      </c>
      <c r="AZ96" s="493"/>
      <c r="BA96" s="493"/>
      <c r="BC96" s="492">
        <v>92</v>
      </c>
      <c r="BD96" s="492">
        <v>8</v>
      </c>
      <c r="BE96" s="497">
        <f>IF(('Comparison Calculator'!$E$11-BD96)&gt;=0,0,IFERROR(-PPMT($BI$66/12,(BC96-60),($F$1-5)*12,$BI$65),0))</f>
        <v>0</v>
      </c>
      <c r="BF96" s="497">
        <f>IF(('Comparison Calculator'!$E$11-BD96)&gt;=0,$C$1*$BI$66/12,IFERROR(-IPMT($BI$66/12,(BC96-60),($F$1-5)*12,$BI$65,0),0))</f>
        <v>0</v>
      </c>
      <c r="BG96" s="497">
        <f t="shared" si="44"/>
        <v>0</v>
      </c>
      <c r="BH96" s="497">
        <f t="shared" si="57"/>
        <v>1800000</v>
      </c>
      <c r="BI96" s="493"/>
      <c r="BJ96" s="493"/>
      <c r="BK96" s="492">
        <v>92</v>
      </c>
      <c r="BL96" s="492">
        <v>8</v>
      </c>
      <c r="BM96" s="497">
        <f>IF(('Comparison Calculator'!$E$11-BL96)&gt;=0,0,IFERROR(-PPMT($BQ$66/12,(BK96-60),($F$1-5)*12,$BQ$65),0))</f>
        <v>0</v>
      </c>
      <c r="BN96" s="497">
        <f>IF(('Comparison Calculator'!$E$11-BL96)&gt;=0,$C$1*$BQ$66/12,IFERROR(-IPMT($BQ$66/12,(BK96-60),($F$1-5)*12,$BQ$65,0),0))</f>
        <v>0</v>
      </c>
      <c r="BO96" s="497">
        <f t="shared" si="45"/>
        <v>0</v>
      </c>
      <c r="BP96" s="497">
        <f t="shared" si="58"/>
        <v>1800000</v>
      </c>
      <c r="BQ96" s="493"/>
      <c r="BR96" s="493"/>
      <c r="BT96" s="492">
        <v>92</v>
      </c>
      <c r="BU96" s="492">
        <v>8</v>
      </c>
      <c r="BV96" s="497">
        <f>IF(('Comparison Calculator'!$E$11-BU96)&gt;=0,0,IFERROR(-PPMT($BZ$66/12,(BT96-60),($F$1-5)*12,$BZ$65),0))</f>
        <v>0</v>
      </c>
      <c r="BW96" s="497">
        <f>IF(('Comparison Calculator'!$E$11-BU96)&gt;=0,$C$1*$BZ$66/12,IFERROR(-IPMT($BZ$66/12,(BT96-60),($F$1-5)*12,$BZ$65,0),0))</f>
        <v>0</v>
      </c>
      <c r="BX96" s="497">
        <f t="shared" si="46"/>
        <v>0</v>
      </c>
      <c r="BY96" s="497">
        <f t="shared" si="59"/>
        <v>1800000</v>
      </c>
      <c r="BZ96" s="493"/>
      <c r="CA96" s="493"/>
      <c r="CC96" s="492">
        <v>92</v>
      </c>
      <c r="CD96" s="492">
        <v>8</v>
      </c>
      <c r="CE96" s="497">
        <f>IF(('Comparison Calculator'!$E$11-CD96)&gt;=0,0,IFERROR(-PPMT($CI$66/12,(CC96-60),($F$1-5)*12,$CI$65),0))</f>
        <v>0</v>
      </c>
      <c r="CF96" s="497">
        <f>IF(('Comparison Calculator'!$E$11-CD96)&gt;=0,$C$1*$CI$66/12,IFERROR(-IPMT($CI$66/12,(CC96-60),($F$1-5)*12,$CI$65,0),0))</f>
        <v>0</v>
      </c>
      <c r="CG96" s="497">
        <f t="shared" si="47"/>
        <v>0</v>
      </c>
      <c r="CH96" s="497">
        <f t="shared" si="60"/>
        <v>1800000</v>
      </c>
      <c r="CI96" s="493"/>
      <c r="CJ96" s="493"/>
      <c r="CL96" s="492">
        <v>92</v>
      </c>
      <c r="CM96" s="492">
        <v>8</v>
      </c>
      <c r="CN96" s="497">
        <f>IF(('Comparison Calculator'!$E$11-CM96)&gt;=0,0,IFERROR(-PPMT($CR$66/12,(CL96-60),($F$1-5)*12,$CR$65),0))</f>
        <v>0</v>
      </c>
      <c r="CO96" s="497">
        <f>IF(('Comparison Calculator'!$E$11-CM96)&gt;=0,$C$1*$CI$66/12,IFERROR(-IPMT($CI$66/12,(CL96-60),($F$1-5)*12,$CI$65,0),0))</f>
        <v>0</v>
      </c>
      <c r="CP96" s="497">
        <f t="shared" si="48"/>
        <v>0</v>
      </c>
      <c r="CQ96" s="497">
        <f t="shared" si="61"/>
        <v>1800000</v>
      </c>
      <c r="CR96" s="493"/>
      <c r="CS96" s="493"/>
      <c r="CU96" s="492">
        <v>92</v>
      </c>
      <c r="CV96" s="492">
        <v>8</v>
      </c>
      <c r="CW96" s="497">
        <f>IF(('Comparison Calculator'!$E$11-CV96)&gt;=0,0,IFERROR(-PPMT($DA$66/12,(CU96-60),($F$1-5)*12,$DA$65),0))</f>
        <v>0</v>
      </c>
      <c r="CX96" s="497">
        <f>IF(('Comparison Calculator'!$E$11-CV96)&gt;=0,$C$1*$DA$66/12,IFERROR(-IPMT($DA$66/12,(CU96-60),($F$1-5)*12,$DA$65,0),0))</f>
        <v>0</v>
      </c>
      <c r="CY96" s="497">
        <f t="shared" si="49"/>
        <v>0</v>
      </c>
      <c r="CZ96" s="497">
        <f t="shared" si="62"/>
        <v>1800000</v>
      </c>
      <c r="DA96" s="493"/>
      <c r="DB96" s="493"/>
      <c r="DD96" s="492">
        <v>92</v>
      </c>
      <c r="DE96" s="492">
        <v>8</v>
      </c>
      <c r="DF96" s="497">
        <f>IF(('Comparison Calculator'!$E$11-DE96)&gt;=0,0,IFERROR(-PPMT($DJ$66/12,(DD96-60),($F$1-5)*12,$DJ$65),0))</f>
        <v>0</v>
      </c>
      <c r="DG96" s="497">
        <f>IF(('Comparison Calculator'!$E$11-DE96)&gt;=0,$C$1*$DJ$66/12,IFERROR(-IPMT($DJ$66/12,(DD96-60),($F$1-5)*12,$DJ$65,0),0))</f>
        <v>0</v>
      </c>
      <c r="DH96" s="497">
        <f t="shared" si="50"/>
        <v>0</v>
      </c>
      <c r="DI96" s="497">
        <f t="shared" si="63"/>
        <v>1800000</v>
      </c>
      <c r="DJ96" s="493"/>
      <c r="DK96" s="493"/>
    </row>
    <row r="97" spans="1:115">
      <c r="A97" s="492">
        <v>93</v>
      </c>
      <c r="B97" s="492">
        <v>8</v>
      </c>
      <c r="C97" s="497">
        <f>IF(('Comparison Calculator'!$E$11-B97)&gt;=0,0,IFERROR(-PPMT($G$66/12,(A97-60),($F$1-5)*12,$G$65),0))</f>
        <v>0</v>
      </c>
      <c r="D97" s="497">
        <f>IF(('Comparison Calculator'!$E$11-B97)&gt;=0,$C$1*$G$66/12,IFERROR(-IPMT($G$66/12,(A97-60),($F$1-5)*12,$G$65,0),0))</f>
        <v>0</v>
      </c>
      <c r="E97" s="497">
        <f t="shared" si="38"/>
        <v>0</v>
      </c>
      <c r="F97" s="497">
        <f t="shared" si="51"/>
        <v>1800000</v>
      </c>
      <c r="G97" s="493"/>
      <c r="H97" s="493"/>
      <c r="I97" s="489"/>
      <c r="J97" s="492">
        <v>93</v>
      </c>
      <c r="K97" s="492">
        <v>8</v>
      </c>
      <c r="L97" s="497">
        <f>IF(('Comparison Calculator'!$E$11-K97)&gt;=0,0,IFERROR(-PPMT($P$66/12,(J97-60),($F$1-5)*12,$P$65),0))</f>
        <v>0</v>
      </c>
      <c r="M97" s="497">
        <f>IF(('Comparison Calculator'!$E$11-K97)&gt;=0,$C$1*$P$66/12,IFERROR(-IPMT($P$66/12,(J97-60),($F$1-5)*12,$P$65,0),0))</f>
        <v>0</v>
      </c>
      <c r="N97" s="497">
        <f t="shared" si="39"/>
        <v>0</v>
      </c>
      <c r="O97" s="497">
        <f t="shared" si="52"/>
        <v>1800000</v>
      </c>
      <c r="P97" s="493"/>
      <c r="Q97" s="493"/>
      <c r="S97" s="492">
        <v>93</v>
      </c>
      <c r="T97" s="492">
        <v>8</v>
      </c>
      <c r="U97" s="497">
        <f>IF(('Comparison Calculator'!$E$11-T97)&gt;=0,0,IFERROR(-PPMT($Y$66/12,(S97-60),($F$1-5)*12,$Y$65),0))</f>
        <v>0</v>
      </c>
      <c r="V97" s="497">
        <f>IF(('Comparison Calculator'!$E$11-T97)&gt;=0,$C$1*$Y$66/12,IFERROR(-IPMT($Y$66/12,(S97-60),($F$1-5)*12,$Y$65,0),0))</f>
        <v>0</v>
      </c>
      <c r="W97" s="497">
        <f t="shared" si="40"/>
        <v>0</v>
      </c>
      <c r="X97" s="497">
        <f t="shared" si="53"/>
        <v>1800000</v>
      </c>
      <c r="Y97" s="493"/>
      <c r="Z97" s="493"/>
      <c r="AB97" s="492">
        <v>93</v>
      </c>
      <c r="AC97" s="492">
        <v>8</v>
      </c>
      <c r="AD97" s="497">
        <f>IF(('Comparison Calculator'!$E$11-AC97)&gt;=0,0,IFERROR(-PPMT($AH$66/12,(AB97-60),($F$1-5)*12,$AH$65),0))</f>
        <v>0</v>
      </c>
      <c r="AE97" s="497">
        <f>IF(('Comparison Calculator'!$E$11-AC97)&gt;=0,$C$1*$AH$66/12,IFERROR(-IPMT($AH$66/12,(AB97-60),($F$1-5)*12,$AH$65,0),0))</f>
        <v>0</v>
      </c>
      <c r="AF97" s="497">
        <f t="shared" si="41"/>
        <v>0</v>
      </c>
      <c r="AG97" s="497">
        <f t="shared" si="54"/>
        <v>1800000</v>
      </c>
      <c r="AH97" s="493"/>
      <c r="AI97" s="493"/>
      <c r="AK97" s="492">
        <v>93</v>
      </c>
      <c r="AL97" s="492">
        <v>8</v>
      </c>
      <c r="AM97" s="497">
        <f>IF(('Comparison Calculator'!$E$11-AL97)&gt;=0,0,IFERROR(-PPMT($AQ$66/12,(AK97-60),($F$1-5)*12,$AQ$65),0))</f>
        <v>0</v>
      </c>
      <c r="AN97" s="497">
        <f>IF(('Comparison Calculator'!$E$11-AL97)&gt;=0,$C$1*$AQ$66/12,IFERROR(-IPMT($AQ$66/12,(AK97-60),($F$1-5)*12,$AQ$65,0),0))</f>
        <v>0</v>
      </c>
      <c r="AO97" s="497">
        <f t="shared" si="42"/>
        <v>0</v>
      </c>
      <c r="AP97" s="497">
        <f t="shared" si="55"/>
        <v>1800000</v>
      </c>
      <c r="AQ97" s="493"/>
      <c r="AR97" s="493"/>
      <c r="AT97" s="492">
        <v>93</v>
      </c>
      <c r="AU97" s="492">
        <v>8</v>
      </c>
      <c r="AV97" s="497">
        <f>IF(('Comparison Calculator'!$E$11-AU97)&gt;=0,0,IFERROR(-PPMT($AZ$66/12,(AT97-60),($F$1-5)*12,$AZ$65),0))</f>
        <v>0</v>
      </c>
      <c r="AW97" s="497">
        <f>IF(('Comparison Calculator'!$E$11-AU97)&gt;=0,$C$1*$AZ$66/12,IFERROR(-IPMT($AZ$66/12,(AT97-60),($F$1-5)*12,$AZ$65,0),0))</f>
        <v>0</v>
      </c>
      <c r="AX97" s="497">
        <f t="shared" si="43"/>
        <v>0</v>
      </c>
      <c r="AY97" s="497">
        <f t="shared" si="56"/>
        <v>1800000</v>
      </c>
      <c r="AZ97" s="493"/>
      <c r="BA97" s="493"/>
      <c r="BC97" s="492">
        <v>93</v>
      </c>
      <c r="BD97" s="492">
        <v>8</v>
      </c>
      <c r="BE97" s="497">
        <f>IF(('Comparison Calculator'!$E$11-BD97)&gt;=0,0,IFERROR(-PPMT($BI$66/12,(BC97-60),($F$1-5)*12,$BI$65),0))</f>
        <v>0</v>
      </c>
      <c r="BF97" s="497">
        <f>IF(('Comparison Calculator'!$E$11-BD97)&gt;=0,$C$1*$BI$66/12,IFERROR(-IPMT($BI$66/12,(BC97-60),($F$1-5)*12,$BI$65,0),0))</f>
        <v>0</v>
      </c>
      <c r="BG97" s="497">
        <f t="shared" si="44"/>
        <v>0</v>
      </c>
      <c r="BH97" s="497">
        <f t="shared" si="57"/>
        <v>1800000</v>
      </c>
      <c r="BI97" s="493"/>
      <c r="BJ97" s="493"/>
      <c r="BK97" s="492">
        <v>93</v>
      </c>
      <c r="BL97" s="492">
        <v>8</v>
      </c>
      <c r="BM97" s="497">
        <f>IF(('Comparison Calculator'!$E$11-BL97)&gt;=0,0,IFERROR(-PPMT($BQ$66/12,(BK97-60),($F$1-5)*12,$BQ$65),0))</f>
        <v>0</v>
      </c>
      <c r="BN97" s="497">
        <f>IF(('Comparison Calculator'!$E$11-BL97)&gt;=0,$C$1*$BQ$66/12,IFERROR(-IPMT($BQ$66/12,(BK97-60),($F$1-5)*12,$BQ$65,0),0))</f>
        <v>0</v>
      </c>
      <c r="BO97" s="497">
        <f t="shared" si="45"/>
        <v>0</v>
      </c>
      <c r="BP97" s="497">
        <f t="shared" si="58"/>
        <v>1800000</v>
      </c>
      <c r="BQ97" s="493"/>
      <c r="BR97" s="493"/>
      <c r="BT97" s="492">
        <v>93</v>
      </c>
      <c r="BU97" s="492">
        <v>8</v>
      </c>
      <c r="BV97" s="497">
        <f>IF(('Comparison Calculator'!$E$11-BU97)&gt;=0,0,IFERROR(-PPMT($BZ$66/12,(BT97-60),($F$1-5)*12,$BZ$65),0))</f>
        <v>0</v>
      </c>
      <c r="BW97" s="497">
        <f>IF(('Comparison Calculator'!$E$11-BU97)&gt;=0,$C$1*$BZ$66/12,IFERROR(-IPMT($BZ$66/12,(BT97-60),($F$1-5)*12,$BZ$65,0),0))</f>
        <v>0</v>
      </c>
      <c r="BX97" s="497">
        <f t="shared" si="46"/>
        <v>0</v>
      </c>
      <c r="BY97" s="497">
        <f t="shared" si="59"/>
        <v>1800000</v>
      </c>
      <c r="BZ97" s="493"/>
      <c r="CA97" s="493"/>
      <c r="CC97" s="492">
        <v>93</v>
      </c>
      <c r="CD97" s="492">
        <v>8</v>
      </c>
      <c r="CE97" s="497">
        <f>IF(('Comparison Calculator'!$E$11-CD97)&gt;=0,0,IFERROR(-PPMT($CI$66/12,(CC97-60),($F$1-5)*12,$CI$65),0))</f>
        <v>0</v>
      </c>
      <c r="CF97" s="497">
        <f>IF(('Comparison Calculator'!$E$11-CD97)&gt;=0,$C$1*$CI$66/12,IFERROR(-IPMT($CI$66/12,(CC97-60),($F$1-5)*12,$CI$65,0),0))</f>
        <v>0</v>
      </c>
      <c r="CG97" s="497">
        <f t="shared" si="47"/>
        <v>0</v>
      </c>
      <c r="CH97" s="497">
        <f t="shared" si="60"/>
        <v>1800000</v>
      </c>
      <c r="CI97" s="493"/>
      <c r="CJ97" s="493"/>
      <c r="CL97" s="492">
        <v>93</v>
      </c>
      <c r="CM97" s="492">
        <v>8</v>
      </c>
      <c r="CN97" s="497">
        <f>IF(('Comparison Calculator'!$E$11-CM97)&gt;=0,0,IFERROR(-PPMT($CR$66/12,(CL97-60),($F$1-5)*12,$CR$65),0))</f>
        <v>0</v>
      </c>
      <c r="CO97" s="497">
        <f>IF(('Comparison Calculator'!$E$11-CM97)&gt;=0,$C$1*$CI$66/12,IFERROR(-IPMT($CI$66/12,(CL97-60),($F$1-5)*12,$CI$65,0),0))</f>
        <v>0</v>
      </c>
      <c r="CP97" s="497">
        <f t="shared" si="48"/>
        <v>0</v>
      </c>
      <c r="CQ97" s="497">
        <f t="shared" si="61"/>
        <v>1800000</v>
      </c>
      <c r="CR97" s="493"/>
      <c r="CS97" s="493"/>
      <c r="CU97" s="492">
        <v>93</v>
      </c>
      <c r="CV97" s="492">
        <v>8</v>
      </c>
      <c r="CW97" s="497">
        <f>IF(('Comparison Calculator'!$E$11-CV97)&gt;=0,0,IFERROR(-PPMT($DA$66/12,(CU97-60),($F$1-5)*12,$DA$65),0))</f>
        <v>0</v>
      </c>
      <c r="CX97" s="497">
        <f>IF(('Comparison Calculator'!$E$11-CV97)&gt;=0,$C$1*$DA$66/12,IFERROR(-IPMT($DA$66/12,(CU97-60),($F$1-5)*12,$DA$65,0),0))</f>
        <v>0</v>
      </c>
      <c r="CY97" s="497">
        <f t="shared" si="49"/>
        <v>0</v>
      </c>
      <c r="CZ97" s="497">
        <f t="shared" si="62"/>
        <v>1800000</v>
      </c>
      <c r="DA97" s="493"/>
      <c r="DB97" s="493"/>
      <c r="DD97" s="492">
        <v>93</v>
      </c>
      <c r="DE97" s="492">
        <v>8</v>
      </c>
      <c r="DF97" s="497">
        <f>IF(('Comparison Calculator'!$E$11-DE97)&gt;=0,0,IFERROR(-PPMT($DJ$66/12,(DD97-60),($F$1-5)*12,$DJ$65),0))</f>
        <v>0</v>
      </c>
      <c r="DG97" s="497">
        <f>IF(('Comparison Calculator'!$E$11-DE97)&gt;=0,$C$1*$DJ$66/12,IFERROR(-IPMT($DJ$66/12,(DD97-60),($F$1-5)*12,$DJ$65,0),0))</f>
        <v>0</v>
      </c>
      <c r="DH97" s="497">
        <f t="shared" si="50"/>
        <v>0</v>
      </c>
      <c r="DI97" s="497">
        <f t="shared" si="63"/>
        <v>1800000</v>
      </c>
      <c r="DJ97" s="493"/>
      <c r="DK97" s="493"/>
    </row>
    <row r="98" spans="1:115">
      <c r="A98" s="492">
        <v>94</v>
      </c>
      <c r="B98" s="492">
        <v>8</v>
      </c>
      <c r="C98" s="497">
        <f>IF(('Comparison Calculator'!$E$11-B98)&gt;=0,0,IFERROR(-PPMT($G$66/12,(A98-60),($F$1-5)*12,$G$65),0))</f>
        <v>0</v>
      </c>
      <c r="D98" s="497">
        <f>IF(('Comparison Calculator'!$E$11-B98)&gt;=0,$C$1*$G$66/12,IFERROR(-IPMT($G$66/12,(A98-60),($F$1-5)*12,$G$65,0),0))</f>
        <v>0</v>
      </c>
      <c r="E98" s="497">
        <f t="shared" si="38"/>
        <v>0</v>
      </c>
      <c r="F98" s="497">
        <f t="shared" si="51"/>
        <v>1800000</v>
      </c>
      <c r="G98" s="493"/>
      <c r="H98" s="493"/>
      <c r="I98" s="489"/>
      <c r="J98" s="492">
        <v>94</v>
      </c>
      <c r="K98" s="492">
        <v>8</v>
      </c>
      <c r="L98" s="497">
        <f>IF(('Comparison Calculator'!$E$11-K98)&gt;=0,0,IFERROR(-PPMT($P$66/12,(J98-60),($F$1-5)*12,$P$65),0))</f>
        <v>0</v>
      </c>
      <c r="M98" s="497">
        <f>IF(('Comparison Calculator'!$E$11-K98)&gt;=0,$C$1*$P$66/12,IFERROR(-IPMT($P$66/12,(J98-60),($F$1-5)*12,$P$65,0),0))</f>
        <v>0</v>
      </c>
      <c r="N98" s="497">
        <f t="shared" si="39"/>
        <v>0</v>
      </c>
      <c r="O98" s="497">
        <f t="shared" si="52"/>
        <v>1800000</v>
      </c>
      <c r="P98" s="493"/>
      <c r="Q98" s="493"/>
      <c r="S98" s="492">
        <v>94</v>
      </c>
      <c r="T98" s="492">
        <v>8</v>
      </c>
      <c r="U98" s="497">
        <f>IF(('Comparison Calculator'!$E$11-T98)&gt;=0,0,IFERROR(-PPMT($Y$66/12,(S98-60),($F$1-5)*12,$Y$65),0))</f>
        <v>0</v>
      </c>
      <c r="V98" s="497">
        <f>IF(('Comparison Calculator'!$E$11-T98)&gt;=0,$C$1*$Y$66/12,IFERROR(-IPMT($Y$66/12,(S98-60),($F$1-5)*12,$Y$65,0),0))</f>
        <v>0</v>
      </c>
      <c r="W98" s="497">
        <f t="shared" si="40"/>
        <v>0</v>
      </c>
      <c r="X98" s="497">
        <f t="shared" si="53"/>
        <v>1800000</v>
      </c>
      <c r="Y98" s="493"/>
      <c r="Z98" s="493"/>
      <c r="AB98" s="492">
        <v>94</v>
      </c>
      <c r="AC98" s="492">
        <v>8</v>
      </c>
      <c r="AD98" s="497">
        <f>IF(('Comparison Calculator'!$E$11-AC98)&gt;=0,0,IFERROR(-PPMT($AH$66/12,(AB98-60),($F$1-5)*12,$AH$65),0))</f>
        <v>0</v>
      </c>
      <c r="AE98" s="497">
        <f>IF(('Comparison Calculator'!$E$11-AC98)&gt;=0,$C$1*$AH$66/12,IFERROR(-IPMT($AH$66/12,(AB98-60),($F$1-5)*12,$AH$65,0),0))</f>
        <v>0</v>
      </c>
      <c r="AF98" s="497">
        <f t="shared" si="41"/>
        <v>0</v>
      </c>
      <c r="AG98" s="497">
        <f t="shared" si="54"/>
        <v>1800000</v>
      </c>
      <c r="AH98" s="493"/>
      <c r="AI98" s="493"/>
      <c r="AK98" s="492">
        <v>94</v>
      </c>
      <c r="AL98" s="492">
        <v>8</v>
      </c>
      <c r="AM98" s="497">
        <f>IF(('Comparison Calculator'!$E$11-AL98)&gt;=0,0,IFERROR(-PPMT($AQ$66/12,(AK98-60),($F$1-5)*12,$AQ$65),0))</f>
        <v>0</v>
      </c>
      <c r="AN98" s="497">
        <f>IF(('Comparison Calculator'!$E$11-AL98)&gt;=0,$C$1*$AQ$66/12,IFERROR(-IPMT($AQ$66/12,(AK98-60),($F$1-5)*12,$AQ$65,0),0))</f>
        <v>0</v>
      </c>
      <c r="AO98" s="497">
        <f t="shared" si="42"/>
        <v>0</v>
      </c>
      <c r="AP98" s="497">
        <f t="shared" si="55"/>
        <v>1800000</v>
      </c>
      <c r="AQ98" s="493"/>
      <c r="AR98" s="493"/>
      <c r="AT98" s="492">
        <v>94</v>
      </c>
      <c r="AU98" s="492">
        <v>8</v>
      </c>
      <c r="AV98" s="497">
        <f>IF(('Comparison Calculator'!$E$11-AU98)&gt;=0,0,IFERROR(-PPMT($AZ$66/12,(AT98-60),($F$1-5)*12,$AZ$65),0))</f>
        <v>0</v>
      </c>
      <c r="AW98" s="497">
        <f>IF(('Comparison Calculator'!$E$11-AU98)&gt;=0,$C$1*$AZ$66/12,IFERROR(-IPMT($AZ$66/12,(AT98-60),($F$1-5)*12,$AZ$65,0),0))</f>
        <v>0</v>
      </c>
      <c r="AX98" s="497">
        <f t="shared" si="43"/>
        <v>0</v>
      </c>
      <c r="AY98" s="497">
        <f t="shared" si="56"/>
        <v>1800000</v>
      </c>
      <c r="AZ98" s="493"/>
      <c r="BA98" s="493"/>
      <c r="BC98" s="492">
        <v>94</v>
      </c>
      <c r="BD98" s="492">
        <v>8</v>
      </c>
      <c r="BE98" s="497">
        <f>IF(('Comparison Calculator'!$E$11-BD98)&gt;=0,0,IFERROR(-PPMT($BI$66/12,(BC98-60),($F$1-5)*12,$BI$65),0))</f>
        <v>0</v>
      </c>
      <c r="BF98" s="497">
        <f>IF(('Comparison Calculator'!$E$11-BD98)&gt;=0,$C$1*$BI$66/12,IFERROR(-IPMT($BI$66/12,(BC98-60),($F$1-5)*12,$BI$65,0),0))</f>
        <v>0</v>
      </c>
      <c r="BG98" s="497">
        <f t="shared" si="44"/>
        <v>0</v>
      </c>
      <c r="BH98" s="497">
        <f t="shared" si="57"/>
        <v>1800000</v>
      </c>
      <c r="BI98" s="493"/>
      <c r="BJ98" s="493"/>
      <c r="BK98" s="492">
        <v>94</v>
      </c>
      <c r="BL98" s="492">
        <v>8</v>
      </c>
      <c r="BM98" s="497">
        <f>IF(('Comparison Calculator'!$E$11-BL98)&gt;=0,0,IFERROR(-PPMT($BQ$66/12,(BK98-60),($F$1-5)*12,$BQ$65),0))</f>
        <v>0</v>
      </c>
      <c r="BN98" s="497">
        <f>IF(('Comparison Calculator'!$E$11-BL98)&gt;=0,$C$1*$BQ$66/12,IFERROR(-IPMT($BQ$66/12,(BK98-60),($F$1-5)*12,$BQ$65,0),0))</f>
        <v>0</v>
      </c>
      <c r="BO98" s="497">
        <f t="shared" si="45"/>
        <v>0</v>
      </c>
      <c r="BP98" s="497">
        <f t="shared" si="58"/>
        <v>1800000</v>
      </c>
      <c r="BQ98" s="493"/>
      <c r="BR98" s="493"/>
      <c r="BT98" s="492">
        <v>94</v>
      </c>
      <c r="BU98" s="492">
        <v>8</v>
      </c>
      <c r="BV98" s="497">
        <f>IF(('Comparison Calculator'!$E$11-BU98)&gt;=0,0,IFERROR(-PPMT($BZ$66/12,(BT98-60),($F$1-5)*12,$BZ$65),0))</f>
        <v>0</v>
      </c>
      <c r="BW98" s="497">
        <f>IF(('Comparison Calculator'!$E$11-BU98)&gt;=0,$C$1*$BZ$66/12,IFERROR(-IPMT($BZ$66/12,(BT98-60),($F$1-5)*12,$BZ$65,0),0))</f>
        <v>0</v>
      </c>
      <c r="BX98" s="497">
        <f t="shared" si="46"/>
        <v>0</v>
      </c>
      <c r="BY98" s="497">
        <f t="shared" si="59"/>
        <v>1800000</v>
      </c>
      <c r="BZ98" s="493"/>
      <c r="CA98" s="493"/>
      <c r="CC98" s="492">
        <v>94</v>
      </c>
      <c r="CD98" s="492">
        <v>8</v>
      </c>
      <c r="CE98" s="497">
        <f>IF(('Comparison Calculator'!$E$11-CD98)&gt;=0,0,IFERROR(-PPMT($CI$66/12,(CC98-60),($F$1-5)*12,$CI$65),0))</f>
        <v>0</v>
      </c>
      <c r="CF98" s="497">
        <f>IF(('Comparison Calculator'!$E$11-CD98)&gt;=0,$C$1*$CI$66/12,IFERROR(-IPMT($CI$66/12,(CC98-60),($F$1-5)*12,$CI$65,0),0))</f>
        <v>0</v>
      </c>
      <c r="CG98" s="497">
        <f t="shared" si="47"/>
        <v>0</v>
      </c>
      <c r="CH98" s="497">
        <f t="shared" si="60"/>
        <v>1800000</v>
      </c>
      <c r="CI98" s="493"/>
      <c r="CJ98" s="493"/>
      <c r="CL98" s="492">
        <v>94</v>
      </c>
      <c r="CM98" s="492">
        <v>8</v>
      </c>
      <c r="CN98" s="497">
        <f>IF(('Comparison Calculator'!$E$11-CM98)&gt;=0,0,IFERROR(-PPMT($CR$66/12,(CL98-60),($F$1-5)*12,$CR$65),0))</f>
        <v>0</v>
      </c>
      <c r="CO98" s="497">
        <f>IF(('Comparison Calculator'!$E$11-CM98)&gt;=0,$C$1*$CI$66/12,IFERROR(-IPMT($CI$66/12,(CL98-60),($F$1-5)*12,$CI$65,0),0))</f>
        <v>0</v>
      </c>
      <c r="CP98" s="497">
        <f t="shared" si="48"/>
        <v>0</v>
      </c>
      <c r="CQ98" s="497">
        <f t="shared" si="61"/>
        <v>1800000</v>
      </c>
      <c r="CR98" s="493"/>
      <c r="CS98" s="493"/>
      <c r="CU98" s="492">
        <v>94</v>
      </c>
      <c r="CV98" s="492">
        <v>8</v>
      </c>
      <c r="CW98" s="497">
        <f>IF(('Comparison Calculator'!$E$11-CV98)&gt;=0,0,IFERROR(-PPMT($DA$66/12,(CU98-60),($F$1-5)*12,$DA$65),0))</f>
        <v>0</v>
      </c>
      <c r="CX98" s="497">
        <f>IF(('Comparison Calculator'!$E$11-CV98)&gt;=0,$C$1*$DA$66/12,IFERROR(-IPMT($DA$66/12,(CU98-60),($F$1-5)*12,$DA$65,0),0))</f>
        <v>0</v>
      </c>
      <c r="CY98" s="497">
        <f t="shared" si="49"/>
        <v>0</v>
      </c>
      <c r="CZ98" s="497">
        <f t="shared" si="62"/>
        <v>1800000</v>
      </c>
      <c r="DA98" s="493"/>
      <c r="DB98" s="493"/>
      <c r="DD98" s="492">
        <v>94</v>
      </c>
      <c r="DE98" s="492">
        <v>8</v>
      </c>
      <c r="DF98" s="497">
        <f>IF(('Comparison Calculator'!$E$11-DE98)&gt;=0,0,IFERROR(-PPMT($DJ$66/12,(DD98-60),($F$1-5)*12,$DJ$65),0))</f>
        <v>0</v>
      </c>
      <c r="DG98" s="497">
        <f>IF(('Comparison Calculator'!$E$11-DE98)&gt;=0,$C$1*$DJ$66/12,IFERROR(-IPMT($DJ$66/12,(DD98-60),($F$1-5)*12,$DJ$65,0),0))</f>
        <v>0</v>
      </c>
      <c r="DH98" s="497">
        <f t="shared" si="50"/>
        <v>0</v>
      </c>
      <c r="DI98" s="497">
        <f t="shared" si="63"/>
        <v>1800000</v>
      </c>
      <c r="DJ98" s="493"/>
      <c r="DK98" s="493"/>
    </row>
    <row r="99" spans="1:115">
      <c r="A99" s="492">
        <v>95</v>
      </c>
      <c r="B99" s="492">
        <v>8</v>
      </c>
      <c r="C99" s="497">
        <f>IF(('Comparison Calculator'!$E$11-B99)&gt;=0,0,IFERROR(-PPMT($G$66/12,(A99-60),($F$1-5)*12,$G$65),0))</f>
        <v>0</v>
      </c>
      <c r="D99" s="497">
        <f>IF(('Comparison Calculator'!$E$11-B99)&gt;=0,$C$1*$G$66/12,IFERROR(-IPMT($G$66/12,(A99-60),($F$1-5)*12,$G$65,0),0))</f>
        <v>0</v>
      </c>
      <c r="E99" s="497">
        <f t="shared" si="38"/>
        <v>0</v>
      </c>
      <c r="F99" s="497">
        <f t="shared" si="51"/>
        <v>1800000</v>
      </c>
      <c r="G99" s="493"/>
      <c r="H99" s="493"/>
      <c r="I99" s="489"/>
      <c r="J99" s="492">
        <v>95</v>
      </c>
      <c r="K99" s="492">
        <v>8</v>
      </c>
      <c r="L99" s="497">
        <f>IF(('Comparison Calculator'!$E$11-K99)&gt;=0,0,IFERROR(-PPMT($P$66/12,(J99-60),($F$1-5)*12,$P$65),0))</f>
        <v>0</v>
      </c>
      <c r="M99" s="497">
        <f>IF(('Comparison Calculator'!$E$11-K99)&gt;=0,$C$1*$P$66/12,IFERROR(-IPMT($P$66/12,(J99-60),($F$1-5)*12,$P$65,0),0))</f>
        <v>0</v>
      </c>
      <c r="N99" s="497">
        <f t="shared" si="39"/>
        <v>0</v>
      </c>
      <c r="O99" s="497">
        <f t="shared" si="52"/>
        <v>1800000</v>
      </c>
      <c r="P99" s="493"/>
      <c r="Q99" s="493"/>
      <c r="S99" s="492">
        <v>95</v>
      </c>
      <c r="T99" s="492">
        <v>8</v>
      </c>
      <c r="U99" s="497">
        <f>IF(('Comparison Calculator'!$E$11-T99)&gt;=0,0,IFERROR(-PPMT($Y$66/12,(S99-60),($F$1-5)*12,$Y$65),0))</f>
        <v>0</v>
      </c>
      <c r="V99" s="497">
        <f>IF(('Comparison Calculator'!$E$11-T99)&gt;=0,$C$1*$Y$66/12,IFERROR(-IPMT($Y$66/12,(S99-60),($F$1-5)*12,$Y$65,0),0))</f>
        <v>0</v>
      </c>
      <c r="W99" s="497">
        <f t="shared" si="40"/>
        <v>0</v>
      </c>
      <c r="X99" s="497">
        <f t="shared" si="53"/>
        <v>1800000</v>
      </c>
      <c r="Y99" s="493"/>
      <c r="Z99" s="493"/>
      <c r="AB99" s="492">
        <v>95</v>
      </c>
      <c r="AC99" s="492">
        <v>8</v>
      </c>
      <c r="AD99" s="497">
        <f>IF(('Comparison Calculator'!$E$11-AC99)&gt;=0,0,IFERROR(-PPMT($AH$66/12,(AB99-60),($F$1-5)*12,$AH$65),0))</f>
        <v>0</v>
      </c>
      <c r="AE99" s="497">
        <f>IF(('Comparison Calculator'!$E$11-AC99)&gt;=0,$C$1*$AH$66/12,IFERROR(-IPMT($AH$66/12,(AB99-60),($F$1-5)*12,$AH$65,0),0))</f>
        <v>0</v>
      </c>
      <c r="AF99" s="497">
        <f t="shared" si="41"/>
        <v>0</v>
      </c>
      <c r="AG99" s="497">
        <f t="shared" si="54"/>
        <v>1800000</v>
      </c>
      <c r="AH99" s="493"/>
      <c r="AI99" s="493"/>
      <c r="AK99" s="492">
        <v>95</v>
      </c>
      <c r="AL99" s="492">
        <v>8</v>
      </c>
      <c r="AM99" s="497">
        <f>IF(('Comparison Calculator'!$E$11-AL99)&gt;=0,0,IFERROR(-PPMT($AQ$66/12,(AK99-60),($F$1-5)*12,$AQ$65),0))</f>
        <v>0</v>
      </c>
      <c r="AN99" s="497">
        <f>IF(('Comparison Calculator'!$E$11-AL99)&gt;=0,$C$1*$AQ$66/12,IFERROR(-IPMT($AQ$66/12,(AK99-60),($F$1-5)*12,$AQ$65,0),0))</f>
        <v>0</v>
      </c>
      <c r="AO99" s="497">
        <f t="shared" si="42"/>
        <v>0</v>
      </c>
      <c r="AP99" s="497">
        <f t="shared" si="55"/>
        <v>1800000</v>
      </c>
      <c r="AQ99" s="493"/>
      <c r="AR99" s="493"/>
      <c r="AT99" s="492">
        <v>95</v>
      </c>
      <c r="AU99" s="492">
        <v>8</v>
      </c>
      <c r="AV99" s="497">
        <f>IF(('Comparison Calculator'!$E$11-AU99)&gt;=0,0,IFERROR(-PPMT($AZ$66/12,(AT99-60),($F$1-5)*12,$AZ$65),0))</f>
        <v>0</v>
      </c>
      <c r="AW99" s="497">
        <f>IF(('Comparison Calculator'!$E$11-AU99)&gt;=0,$C$1*$AZ$66/12,IFERROR(-IPMT($AZ$66/12,(AT99-60),($F$1-5)*12,$AZ$65,0),0))</f>
        <v>0</v>
      </c>
      <c r="AX99" s="497">
        <f t="shared" si="43"/>
        <v>0</v>
      </c>
      <c r="AY99" s="497">
        <f t="shared" si="56"/>
        <v>1800000</v>
      </c>
      <c r="AZ99" s="493"/>
      <c r="BA99" s="493"/>
      <c r="BC99" s="492">
        <v>95</v>
      </c>
      <c r="BD99" s="492">
        <v>8</v>
      </c>
      <c r="BE99" s="497">
        <f>IF(('Comparison Calculator'!$E$11-BD99)&gt;=0,0,IFERROR(-PPMT($BI$66/12,(BC99-60),($F$1-5)*12,$BI$65),0))</f>
        <v>0</v>
      </c>
      <c r="BF99" s="497">
        <f>IF(('Comparison Calculator'!$E$11-BD99)&gt;=0,$C$1*$BI$66/12,IFERROR(-IPMT($BI$66/12,(BC99-60),($F$1-5)*12,$BI$65,0),0))</f>
        <v>0</v>
      </c>
      <c r="BG99" s="497">
        <f t="shared" si="44"/>
        <v>0</v>
      </c>
      <c r="BH99" s="497">
        <f t="shared" si="57"/>
        <v>1800000</v>
      </c>
      <c r="BI99" s="493"/>
      <c r="BJ99" s="493"/>
      <c r="BK99" s="492">
        <v>95</v>
      </c>
      <c r="BL99" s="492">
        <v>8</v>
      </c>
      <c r="BM99" s="497">
        <f>IF(('Comparison Calculator'!$E$11-BL99)&gt;=0,0,IFERROR(-PPMT($BQ$66/12,(BK99-60),($F$1-5)*12,$BQ$65),0))</f>
        <v>0</v>
      </c>
      <c r="BN99" s="497">
        <f>IF(('Comparison Calculator'!$E$11-BL99)&gt;=0,$C$1*$BQ$66/12,IFERROR(-IPMT($BQ$66/12,(BK99-60),($F$1-5)*12,$BQ$65,0),0))</f>
        <v>0</v>
      </c>
      <c r="BO99" s="497">
        <f t="shared" si="45"/>
        <v>0</v>
      </c>
      <c r="BP99" s="497">
        <f t="shared" si="58"/>
        <v>1800000</v>
      </c>
      <c r="BQ99" s="493"/>
      <c r="BR99" s="493"/>
      <c r="BT99" s="492">
        <v>95</v>
      </c>
      <c r="BU99" s="492">
        <v>8</v>
      </c>
      <c r="BV99" s="497">
        <f>IF(('Comparison Calculator'!$E$11-BU99)&gt;=0,0,IFERROR(-PPMT($BZ$66/12,(BT99-60),($F$1-5)*12,$BZ$65),0))</f>
        <v>0</v>
      </c>
      <c r="BW99" s="497">
        <f>IF(('Comparison Calculator'!$E$11-BU99)&gt;=0,$C$1*$BZ$66/12,IFERROR(-IPMT($BZ$66/12,(BT99-60),($F$1-5)*12,$BZ$65,0),0))</f>
        <v>0</v>
      </c>
      <c r="BX99" s="497">
        <f t="shared" si="46"/>
        <v>0</v>
      </c>
      <c r="BY99" s="497">
        <f t="shared" si="59"/>
        <v>1800000</v>
      </c>
      <c r="BZ99" s="493"/>
      <c r="CA99" s="493"/>
      <c r="CC99" s="492">
        <v>95</v>
      </c>
      <c r="CD99" s="492">
        <v>8</v>
      </c>
      <c r="CE99" s="497">
        <f>IF(('Comparison Calculator'!$E$11-CD99)&gt;=0,0,IFERROR(-PPMT($CI$66/12,(CC99-60),($F$1-5)*12,$CI$65),0))</f>
        <v>0</v>
      </c>
      <c r="CF99" s="497">
        <f>IF(('Comparison Calculator'!$E$11-CD99)&gt;=0,$C$1*$CI$66/12,IFERROR(-IPMT($CI$66/12,(CC99-60),($F$1-5)*12,$CI$65,0),0))</f>
        <v>0</v>
      </c>
      <c r="CG99" s="497">
        <f t="shared" si="47"/>
        <v>0</v>
      </c>
      <c r="CH99" s="497">
        <f t="shared" si="60"/>
        <v>1800000</v>
      </c>
      <c r="CI99" s="493"/>
      <c r="CJ99" s="493"/>
      <c r="CL99" s="492">
        <v>95</v>
      </c>
      <c r="CM99" s="492">
        <v>8</v>
      </c>
      <c r="CN99" s="497">
        <f>IF(('Comparison Calculator'!$E$11-CM99)&gt;=0,0,IFERROR(-PPMT($CR$66/12,(CL99-60),($F$1-5)*12,$CR$65),0))</f>
        <v>0</v>
      </c>
      <c r="CO99" s="497">
        <f>IF(('Comparison Calculator'!$E$11-CM99)&gt;=0,$C$1*$CI$66/12,IFERROR(-IPMT($CI$66/12,(CL99-60),($F$1-5)*12,$CI$65,0),0))</f>
        <v>0</v>
      </c>
      <c r="CP99" s="497">
        <f t="shared" si="48"/>
        <v>0</v>
      </c>
      <c r="CQ99" s="497">
        <f t="shared" si="61"/>
        <v>1800000</v>
      </c>
      <c r="CR99" s="493"/>
      <c r="CS99" s="493"/>
      <c r="CU99" s="492">
        <v>95</v>
      </c>
      <c r="CV99" s="492">
        <v>8</v>
      </c>
      <c r="CW99" s="497">
        <f>IF(('Comparison Calculator'!$E$11-CV99)&gt;=0,0,IFERROR(-PPMT($DA$66/12,(CU99-60),($F$1-5)*12,$DA$65),0))</f>
        <v>0</v>
      </c>
      <c r="CX99" s="497">
        <f>IF(('Comparison Calculator'!$E$11-CV99)&gt;=0,$C$1*$DA$66/12,IFERROR(-IPMT($DA$66/12,(CU99-60),($F$1-5)*12,$DA$65,0),0))</f>
        <v>0</v>
      </c>
      <c r="CY99" s="497">
        <f t="shared" si="49"/>
        <v>0</v>
      </c>
      <c r="CZ99" s="497">
        <f t="shared" si="62"/>
        <v>1800000</v>
      </c>
      <c r="DA99" s="493"/>
      <c r="DB99" s="493"/>
      <c r="DD99" s="492">
        <v>95</v>
      </c>
      <c r="DE99" s="492">
        <v>8</v>
      </c>
      <c r="DF99" s="497">
        <f>IF(('Comparison Calculator'!$E$11-DE99)&gt;=0,0,IFERROR(-PPMT($DJ$66/12,(DD99-60),($F$1-5)*12,$DJ$65),0))</f>
        <v>0</v>
      </c>
      <c r="DG99" s="497">
        <f>IF(('Comparison Calculator'!$E$11-DE99)&gt;=0,$C$1*$DJ$66/12,IFERROR(-IPMT($DJ$66/12,(DD99-60),($F$1-5)*12,$DJ$65,0),0))</f>
        <v>0</v>
      </c>
      <c r="DH99" s="497">
        <f t="shared" si="50"/>
        <v>0</v>
      </c>
      <c r="DI99" s="497">
        <f t="shared" si="63"/>
        <v>1800000</v>
      </c>
      <c r="DJ99" s="493"/>
      <c r="DK99" s="493"/>
    </row>
    <row r="100" spans="1:115">
      <c r="A100" s="492">
        <v>96</v>
      </c>
      <c r="B100" s="492">
        <v>8</v>
      </c>
      <c r="C100" s="497">
        <f>IF(('Comparison Calculator'!$E$11-B100)&gt;=0,0,IFERROR(-PPMT($G$66/12,(A100-60),($F$1-5)*12,$G$65),0))</f>
        <v>0</v>
      </c>
      <c r="D100" s="497">
        <f>IF(('Comparison Calculator'!$E$11-B100)&gt;=0,$C$1*$G$66/12,IFERROR(-IPMT($G$66/12,(A100-60),($F$1-5)*12,$G$65,0),0))</f>
        <v>0</v>
      </c>
      <c r="E100" s="497">
        <f t="shared" si="38"/>
        <v>0</v>
      </c>
      <c r="F100" s="497">
        <f t="shared" si="51"/>
        <v>1800000</v>
      </c>
      <c r="G100" s="493"/>
      <c r="H100" s="493"/>
      <c r="I100" s="489"/>
      <c r="J100" s="492">
        <v>96</v>
      </c>
      <c r="K100" s="492">
        <v>8</v>
      </c>
      <c r="L100" s="497">
        <f>IF(('Comparison Calculator'!$E$11-K100)&gt;=0,0,IFERROR(-PPMT($P$66/12,(J100-60),($F$1-5)*12,$P$65),0))</f>
        <v>0</v>
      </c>
      <c r="M100" s="497">
        <f>IF(('Comparison Calculator'!$E$11-K100)&gt;=0,$C$1*$P$66/12,IFERROR(-IPMT($P$66/12,(J100-60),($F$1-5)*12,$P$65,0),0))</f>
        <v>0</v>
      </c>
      <c r="N100" s="497">
        <f t="shared" si="39"/>
        <v>0</v>
      </c>
      <c r="O100" s="497">
        <f t="shared" si="52"/>
        <v>1800000</v>
      </c>
      <c r="P100" s="493"/>
      <c r="Q100" s="493"/>
      <c r="S100" s="492">
        <v>96</v>
      </c>
      <c r="T100" s="492">
        <v>8</v>
      </c>
      <c r="U100" s="497">
        <f>IF(('Comparison Calculator'!$E$11-T100)&gt;=0,0,IFERROR(-PPMT($Y$66/12,(S100-60),($F$1-5)*12,$Y$65),0))</f>
        <v>0</v>
      </c>
      <c r="V100" s="497">
        <f>IF(('Comparison Calculator'!$E$11-T100)&gt;=0,$C$1*$Y$66/12,IFERROR(-IPMT($Y$66/12,(S100-60),($F$1-5)*12,$Y$65,0),0))</f>
        <v>0</v>
      </c>
      <c r="W100" s="497">
        <f t="shared" si="40"/>
        <v>0</v>
      </c>
      <c r="X100" s="497">
        <f t="shared" si="53"/>
        <v>1800000</v>
      </c>
      <c r="Y100" s="493"/>
      <c r="Z100" s="493"/>
      <c r="AB100" s="492">
        <v>96</v>
      </c>
      <c r="AC100" s="492">
        <v>8</v>
      </c>
      <c r="AD100" s="497">
        <f>IF(('Comparison Calculator'!$E$11-AC100)&gt;=0,0,IFERROR(-PPMT($AH$66/12,(AB100-60),($F$1-5)*12,$AH$65),0))</f>
        <v>0</v>
      </c>
      <c r="AE100" s="497">
        <f>IF(('Comparison Calculator'!$E$11-AC100)&gt;=0,$C$1*$AH$66/12,IFERROR(-IPMT($AH$66/12,(AB100-60),($F$1-5)*12,$AH$65,0),0))</f>
        <v>0</v>
      </c>
      <c r="AF100" s="497">
        <f t="shared" si="41"/>
        <v>0</v>
      </c>
      <c r="AG100" s="497">
        <f t="shared" si="54"/>
        <v>1800000</v>
      </c>
      <c r="AH100" s="493"/>
      <c r="AI100" s="493"/>
      <c r="AK100" s="492">
        <v>96</v>
      </c>
      <c r="AL100" s="492">
        <v>8</v>
      </c>
      <c r="AM100" s="497">
        <f>IF(('Comparison Calculator'!$E$11-AL100)&gt;=0,0,IFERROR(-PPMT($AQ$66/12,(AK100-60),($F$1-5)*12,$AQ$65),0))</f>
        <v>0</v>
      </c>
      <c r="AN100" s="497">
        <f>IF(('Comparison Calculator'!$E$11-AL100)&gt;=0,$C$1*$AQ$66/12,IFERROR(-IPMT($AQ$66/12,(AK100-60),($F$1-5)*12,$AQ$65,0),0))</f>
        <v>0</v>
      </c>
      <c r="AO100" s="497">
        <f t="shared" si="42"/>
        <v>0</v>
      </c>
      <c r="AP100" s="497">
        <f t="shared" si="55"/>
        <v>1800000</v>
      </c>
      <c r="AQ100" s="493"/>
      <c r="AR100" s="493"/>
      <c r="AT100" s="492">
        <v>96</v>
      </c>
      <c r="AU100" s="492">
        <v>8</v>
      </c>
      <c r="AV100" s="497">
        <f>IF(('Comparison Calculator'!$E$11-AU100)&gt;=0,0,IFERROR(-PPMT($AZ$66/12,(AT100-60),($F$1-5)*12,$AZ$65),0))</f>
        <v>0</v>
      </c>
      <c r="AW100" s="497">
        <f>IF(('Comparison Calculator'!$E$11-AU100)&gt;=0,$C$1*$AZ$66/12,IFERROR(-IPMT($AZ$66/12,(AT100-60),($F$1-5)*12,$AZ$65,0),0))</f>
        <v>0</v>
      </c>
      <c r="AX100" s="497">
        <f t="shared" si="43"/>
        <v>0</v>
      </c>
      <c r="AY100" s="497">
        <f t="shared" si="56"/>
        <v>1800000</v>
      </c>
      <c r="AZ100" s="493"/>
      <c r="BA100" s="493"/>
      <c r="BC100" s="492">
        <v>96</v>
      </c>
      <c r="BD100" s="492">
        <v>8</v>
      </c>
      <c r="BE100" s="497">
        <f>IF(('Comparison Calculator'!$E$11-BD100)&gt;=0,0,IFERROR(-PPMT($BI$66/12,(BC100-60),($F$1-5)*12,$BI$65),0))</f>
        <v>0</v>
      </c>
      <c r="BF100" s="497">
        <f>IF(('Comparison Calculator'!$E$11-BD100)&gt;=0,$C$1*$BI$66/12,IFERROR(-IPMT($BI$66/12,(BC100-60),($F$1-5)*12,$BI$65,0),0))</f>
        <v>0</v>
      </c>
      <c r="BG100" s="497">
        <f t="shared" si="44"/>
        <v>0</v>
      </c>
      <c r="BH100" s="497">
        <f t="shared" si="57"/>
        <v>1800000</v>
      </c>
      <c r="BI100" s="493"/>
      <c r="BJ100" s="493"/>
      <c r="BK100" s="492">
        <v>96</v>
      </c>
      <c r="BL100" s="492">
        <v>8</v>
      </c>
      <c r="BM100" s="497">
        <f>IF(('Comparison Calculator'!$E$11-BL100)&gt;=0,0,IFERROR(-PPMT($BQ$66/12,(BK100-60),($F$1-5)*12,$BQ$65),0))</f>
        <v>0</v>
      </c>
      <c r="BN100" s="497">
        <f>IF(('Comparison Calculator'!$E$11-BL100)&gt;=0,$C$1*$BQ$66/12,IFERROR(-IPMT($BQ$66/12,(BK100-60),($F$1-5)*12,$BQ$65,0),0))</f>
        <v>0</v>
      </c>
      <c r="BO100" s="497">
        <f t="shared" si="45"/>
        <v>0</v>
      </c>
      <c r="BP100" s="497">
        <f t="shared" si="58"/>
        <v>1800000</v>
      </c>
      <c r="BQ100" s="493"/>
      <c r="BR100" s="493"/>
      <c r="BT100" s="492">
        <v>96</v>
      </c>
      <c r="BU100" s="492">
        <v>8</v>
      </c>
      <c r="BV100" s="497">
        <f>IF(('Comparison Calculator'!$E$11-BU100)&gt;=0,0,IFERROR(-PPMT($BZ$66/12,(BT100-60),($F$1-5)*12,$BZ$65),0))</f>
        <v>0</v>
      </c>
      <c r="BW100" s="497">
        <f>IF(('Comparison Calculator'!$E$11-BU100)&gt;=0,$C$1*$BZ$66/12,IFERROR(-IPMT($BZ$66/12,(BT100-60),($F$1-5)*12,$BZ$65,0),0))</f>
        <v>0</v>
      </c>
      <c r="BX100" s="497">
        <f t="shared" si="46"/>
        <v>0</v>
      </c>
      <c r="BY100" s="497">
        <f t="shared" si="59"/>
        <v>1800000</v>
      </c>
      <c r="BZ100" s="493"/>
      <c r="CA100" s="493"/>
      <c r="CC100" s="492">
        <v>96</v>
      </c>
      <c r="CD100" s="492">
        <v>8</v>
      </c>
      <c r="CE100" s="497">
        <f>IF(('Comparison Calculator'!$E$11-CD100)&gt;=0,0,IFERROR(-PPMT($CI$66/12,(CC100-60),($F$1-5)*12,$CI$65),0))</f>
        <v>0</v>
      </c>
      <c r="CF100" s="497">
        <f>IF(('Comparison Calculator'!$E$11-CD100)&gt;=0,$C$1*$CI$66/12,IFERROR(-IPMT($CI$66/12,(CC100-60),($F$1-5)*12,$CI$65,0),0))</f>
        <v>0</v>
      </c>
      <c r="CG100" s="497">
        <f t="shared" si="47"/>
        <v>0</v>
      </c>
      <c r="CH100" s="497">
        <f t="shared" si="60"/>
        <v>1800000</v>
      </c>
      <c r="CI100" s="493"/>
      <c r="CJ100" s="493"/>
      <c r="CL100" s="492">
        <v>96</v>
      </c>
      <c r="CM100" s="492">
        <v>8</v>
      </c>
      <c r="CN100" s="497">
        <f>IF(('Comparison Calculator'!$E$11-CM100)&gt;=0,0,IFERROR(-PPMT($CR$66/12,(CL100-60),($F$1-5)*12,$CR$65),0))</f>
        <v>0</v>
      </c>
      <c r="CO100" s="497">
        <f>IF(('Comparison Calculator'!$E$11-CM100)&gt;=0,$C$1*$CI$66/12,IFERROR(-IPMT($CI$66/12,(CL100-60),($F$1-5)*12,$CI$65,0),0))</f>
        <v>0</v>
      </c>
      <c r="CP100" s="497">
        <f t="shared" si="48"/>
        <v>0</v>
      </c>
      <c r="CQ100" s="497">
        <f t="shared" si="61"/>
        <v>1800000</v>
      </c>
      <c r="CR100" s="493"/>
      <c r="CS100" s="493"/>
      <c r="CU100" s="492">
        <v>96</v>
      </c>
      <c r="CV100" s="492">
        <v>8</v>
      </c>
      <c r="CW100" s="497">
        <f>IF(('Comparison Calculator'!$E$11-CV100)&gt;=0,0,IFERROR(-PPMT($DA$66/12,(CU100-60),($F$1-5)*12,$DA$65),0))</f>
        <v>0</v>
      </c>
      <c r="CX100" s="497">
        <f>IF(('Comparison Calculator'!$E$11-CV100)&gt;=0,$C$1*$DA$66/12,IFERROR(-IPMT($DA$66/12,(CU100-60),($F$1-5)*12,$DA$65,0),0))</f>
        <v>0</v>
      </c>
      <c r="CY100" s="497">
        <f t="shared" si="49"/>
        <v>0</v>
      </c>
      <c r="CZ100" s="497">
        <f t="shared" si="62"/>
        <v>1800000</v>
      </c>
      <c r="DA100" s="493"/>
      <c r="DB100" s="493"/>
      <c r="DD100" s="492">
        <v>96</v>
      </c>
      <c r="DE100" s="492">
        <v>8</v>
      </c>
      <c r="DF100" s="497">
        <f>IF(('Comparison Calculator'!$E$11-DE100)&gt;=0,0,IFERROR(-PPMT($DJ$66/12,(DD100-60),($F$1-5)*12,$DJ$65),0))</f>
        <v>0</v>
      </c>
      <c r="DG100" s="497">
        <f>IF(('Comparison Calculator'!$E$11-DE100)&gt;=0,$C$1*$DJ$66/12,IFERROR(-IPMT($DJ$66/12,(DD100-60),($F$1-5)*12,$DJ$65,0),0))</f>
        <v>0</v>
      </c>
      <c r="DH100" s="497">
        <f t="shared" si="50"/>
        <v>0</v>
      </c>
      <c r="DI100" s="497">
        <f t="shared" si="63"/>
        <v>1800000</v>
      </c>
      <c r="DJ100" s="493"/>
      <c r="DK100" s="493"/>
    </row>
    <row r="101" spans="1:115">
      <c r="A101" s="492">
        <v>97</v>
      </c>
      <c r="B101" s="492">
        <v>9</v>
      </c>
      <c r="C101" s="497">
        <f>IF(('Comparison Calculator'!$E$11-B101)&gt;=0,0,IFERROR(-PPMT($G$66/12,(A101-60),($F$1-5)*12,$G$65),0))</f>
        <v>0</v>
      </c>
      <c r="D101" s="497">
        <f>IF(('Comparison Calculator'!$E$11-B101)&gt;=0,$C$1*$G$66/12,IFERROR(-IPMT($G$66/12,(A101-60),($F$1-5)*12,$G$65,0),0))</f>
        <v>0</v>
      </c>
      <c r="E101" s="497">
        <f t="shared" si="38"/>
        <v>0</v>
      </c>
      <c r="F101" s="497">
        <f t="shared" si="51"/>
        <v>1800000</v>
      </c>
      <c r="G101" s="493"/>
      <c r="H101" s="493"/>
      <c r="I101" s="489"/>
      <c r="J101" s="492">
        <v>97</v>
      </c>
      <c r="K101" s="492">
        <v>9</v>
      </c>
      <c r="L101" s="497">
        <f>IF(('Comparison Calculator'!$E$11-K101)&gt;=0,0,IFERROR(-PPMT($P$66/12,(J101-60),($F$1-5)*12,$P$65),0))</f>
        <v>0</v>
      </c>
      <c r="M101" s="497">
        <f>IF(('Comparison Calculator'!$E$11-K101)&gt;=0,$C$1*$P$66/12,IFERROR(-IPMT($P$66/12,(J101-60),($F$1-5)*12,$P$65,0),0))</f>
        <v>0</v>
      </c>
      <c r="N101" s="497">
        <f t="shared" si="39"/>
        <v>0</v>
      </c>
      <c r="O101" s="497">
        <f t="shared" si="52"/>
        <v>1800000</v>
      </c>
      <c r="P101" s="493"/>
      <c r="Q101" s="493"/>
      <c r="S101" s="492">
        <v>97</v>
      </c>
      <c r="T101" s="492">
        <v>9</v>
      </c>
      <c r="U101" s="497">
        <f>IF(('Comparison Calculator'!$E$11-T101)&gt;=0,0,IFERROR(-PPMT($Y$66/12,(S101-60),($F$1-5)*12,$Y$65),0))</f>
        <v>0</v>
      </c>
      <c r="V101" s="497">
        <f>IF(('Comparison Calculator'!$E$11-T101)&gt;=0,$C$1*$Y$66/12,IFERROR(-IPMT($Y$66/12,(S101-60),($F$1-5)*12,$Y$65,0),0))</f>
        <v>0</v>
      </c>
      <c r="W101" s="497">
        <f t="shared" si="40"/>
        <v>0</v>
      </c>
      <c r="X101" s="497">
        <f t="shared" si="53"/>
        <v>1800000</v>
      </c>
      <c r="Y101" s="493"/>
      <c r="Z101" s="493"/>
      <c r="AB101" s="492">
        <v>97</v>
      </c>
      <c r="AC101" s="492">
        <v>9</v>
      </c>
      <c r="AD101" s="497">
        <f>IF(('Comparison Calculator'!$E$11-AC101)&gt;=0,0,IFERROR(-PPMT($AH$66/12,(AB101-60),($F$1-5)*12,$AH$65),0))</f>
        <v>0</v>
      </c>
      <c r="AE101" s="497">
        <f>IF(('Comparison Calculator'!$E$11-AC101)&gt;=0,$C$1*$AH$66/12,IFERROR(-IPMT($AH$66/12,(AB101-60),($F$1-5)*12,$AH$65,0),0))</f>
        <v>0</v>
      </c>
      <c r="AF101" s="497">
        <f t="shared" si="41"/>
        <v>0</v>
      </c>
      <c r="AG101" s="497">
        <f t="shared" si="54"/>
        <v>1800000</v>
      </c>
      <c r="AH101" s="493"/>
      <c r="AI101" s="493"/>
      <c r="AK101" s="492">
        <v>97</v>
      </c>
      <c r="AL101" s="492">
        <v>9</v>
      </c>
      <c r="AM101" s="497">
        <f>IF(('Comparison Calculator'!$E$11-AL101)&gt;=0,0,IFERROR(-PPMT($AQ$66/12,(AK101-60),($F$1-5)*12,$AQ$65),0))</f>
        <v>0</v>
      </c>
      <c r="AN101" s="497">
        <f>IF(('Comparison Calculator'!$E$11-AL101)&gt;=0,$C$1*$AQ$66/12,IFERROR(-IPMT($AQ$66/12,(AK101-60),($F$1-5)*12,$AQ$65,0),0))</f>
        <v>0</v>
      </c>
      <c r="AO101" s="497">
        <f t="shared" si="42"/>
        <v>0</v>
      </c>
      <c r="AP101" s="497">
        <f t="shared" si="55"/>
        <v>1800000</v>
      </c>
      <c r="AQ101" s="493"/>
      <c r="AR101" s="493"/>
      <c r="AT101" s="492">
        <v>97</v>
      </c>
      <c r="AU101" s="492">
        <v>9</v>
      </c>
      <c r="AV101" s="497">
        <f>IF(('Comparison Calculator'!$E$11-AU101)&gt;=0,0,IFERROR(-PPMT($AZ$66/12,(AT101-60),($F$1-5)*12,$AZ$65),0))</f>
        <v>0</v>
      </c>
      <c r="AW101" s="497">
        <f>IF(('Comparison Calculator'!$E$11-AU101)&gt;=0,$C$1*$AZ$66/12,IFERROR(-IPMT($AZ$66/12,(AT101-60),($F$1-5)*12,$AZ$65,0),0))</f>
        <v>0</v>
      </c>
      <c r="AX101" s="497">
        <f t="shared" si="43"/>
        <v>0</v>
      </c>
      <c r="AY101" s="497">
        <f t="shared" si="56"/>
        <v>1800000</v>
      </c>
      <c r="AZ101" s="493"/>
      <c r="BA101" s="493"/>
      <c r="BC101" s="492">
        <v>97</v>
      </c>
      <c r="BD101" s="492">
        <v>9</v>
      </c>
      <c r="BE101" s="497">
        <f>IF(('Comparison Calculator'!$E$11-BD101)&gt;=0,0,IFERROR(-PPMT($BI$66/12,(BC101-60),($F$1-5)*12,$BI$65),0))</f>
        <v>0</v>
      </c>
      <c r="BF101" s="497">
        <f>IF(('Comparison Calculator'!$E$11-BD101)&gt;=0,$C$1*$BI$66/12,IFERROR(-IPMT($BI$66/12,(BC101-60),($F$1-5)*12,$BI$65,0),0))</f>
        <v>0</v>
      </c>
      <c r="BG101" s="497">
        <f t="shared" si="44"/>
        <v>0</v>
      </c>
      <c r="BH101" s="497">
        <f t="shared" si="57"/>
        <v>1800000</v>
      </c>
      <c r="BI101" s="493"/>
      <c r="BJ101" s="493"/>
      <c r="BK101" s="492">
        <v>97</v>
      </c>
      <c r="BL101" s="492">
        <v>9</v>
      </c>
      <c r="BM101" s="497">
        <f>IF(('Comparison Calculator'!$E$11-BL101)&gt;=0,0,IFERROR(-PPMT($BQ$66/12,(BK101-60),($F$1-5)*12,$BQ$65),0))</f>
        <v>0</v>
      </c>
      <c r="BN101" s="497">
        <f>IF(('Comparison Calculator'!$E$11-BL101)&gt;=0,$C$1*$BQ$66/12,IFERROR(-IPMT($BQ$66/12,(BK101-60),($F$1-5)*12,$BQ$65,0),0))</f>
        <v>0</v>
      </c>
      <c r="BO101" s="497">
        <f t="shared" si="45"/>
        <v>0</v>
      </c>
      <c r="BP101" s="497">
        <f t="shared" si="58"/>
        <v>1800000</v>
      </c>
      <c r="BQ101" s="493"/>
      <c r="BR101" s="493"/>
      <c r="BT101" s="492">
        <v>97</v>
      </c>
      <c r="BU101" s="492">
        <v>9</v>
      </c>
      <c r="BV101" s="497">
        <f>IF(('Comparison Calculator'!$E$11-BU101)&gt;=0,0,IFERROR(-PPMT($BZ$66/12,(BT101-60),($F$1-5)*12,$BZ$65),0))</f>
        <v>0</v>
      </c>
      <c r="BW101" s="497">
        <f>IF(('Comparison Calculator'!$E$11-BU101)&gt;=0,$C$1*$BZ$66/12,IFERROR(-IPMT($BZ$66/12,(BT101-60),($F$1-5)*12,$BZ$65,0),0))</f>
        <v>0</v>
      </c>
      <c r="BX101" s="497">
        <f t="shared" si="46"/>
        <v>0</v>
      </c>
      <c r="BY101" s="497">
        <f t="shared" si="59"/>
        <v>1800000</v>
      </c>
      <c r="BZ101" s="493"/>
      <c r="CA101" s="493"/>
      <c r="CC101" s="492">
        <v>97</v>
      </c>
      <c r="CD101" s="492">
        <v>9</v>
      </c>
      <c r="CE101" s="497">
        <f>IF(('Comparison Calculator'!$E$11-CD101)&gt;=0,0,IFERROR(-PPMT($CI$66/12,(CC101-60),($F$1-5)*12,$CI$65),0))</f>
        <v>0</v>
      </c>
      <c r="CF101" s="497">
        <f>IF(('Comparison Calculator'!$E$11-CD101)&gt;=0,$C$1*$CI$66/12,IFERROR(-IPMT($CI$66/12,(CC101-60),($F$1-5)*12,$CI$65,0),0))</f>
        <v>0</v>
      </c>
      <c r="CG101" s="497">
        <f t="shared" si="47"/>
        <v>0</v>
      </c>
      <c r="CH101" s="497">
        <f t="shared" si="60"/>
        <v>1800000</v>
      </c>
      <c r="CI101" s="493"/>
      <c r="CJ101" s="493"/>
      <c r="CL101" s="492">
        <v>97</v>
      </c>
      <c r="CM101" s="492">
        <v>9</v>
      </c>
      <c r="CN101" s="497">
        <f>IF(('Comparison Calculator'!$E$11-CM101)&gt;=0,0,IFERROR(-PPMT($CR$66/12,(CL101-60),($F$1-5)*12,$CR$65),0))</f>
        <v>0</v>
      </c>
      <c r="CO101" s="497">
        <f>IF(('Comparison Calculator'!$E$11-CM101)&gt;=0,$C$1*$CI$66/12,IFERROR(-IPMT($CI$66/12,(CL101-60),($F$1-5)*12,$CI$65,0),0))</f>
        <v>0</v>
      </c>
      <c r="CP101" s="497">
        <f t="shared" si="48"/>
        <v>0</v>
      </c>
      <c r="CQ101" s="497">
        <f t="shared" si="61"/>
        <v>1800000</v>
      </c>
      <c r="CR101" s="493"/>
      <c r="CS101" s="493"/>
      <c r="CU101" s="492">
        <v>97</v>
      </c>
      <c r="CV101" s="492">
        <v>9</v>
      </c>
      <c r="CW101" s="497">
        <f>IF(('Comparison Calculator'!$E$11-CV101)&gt;=0,0,IFERROR(-PPMT($DA$66/12,(CU101-60),($F$1-5)*12,$DA$65),0))</f>
        <v>0</v>
      </c>
      <c r="CX101" s="497">
        <f>IF(('Comparison Calculator'!$E$11-CV101)&gt;=0,$C$1*$DA$66/12,IFERROR(-IPMT($DA$66/12,(CU101-60),($F$1-5)*12,$DA$65,0),0))</f>
        <v>0</v>
      </c>
      <c r="CY101" s="497">
        <f t="shared" si="49"/>
        <v>0</v>
      </c>
      <c r="CZ101" s="497">
        <f t="shared" si="62"/>
        <v>1800000</v>
      </c>
      <c r="DA101" s="493"/>
      <c r="DB101" s="493"/>
      <c r="DD101" s="492">
        <v>97</v>
      </c>
      <c r="DE101" s="492">
        <v>9</v>
      </c>
      <c r="DF101" s="497">
        <f>IF(('Comparison Calculator'!$E$11-DE101)&gt;=0,0,IFERROR(-PPMT($DJ$66/12,(DD101-60),($F$1-5)*12,$DJ$65),0))</f>
        <v>0</v>
      </c>
      <c r="DG101" s="497">
        <f>IF(('Comparison Calculator'!$E$11-DE101)&gt;=0,$C$1*$DJ$66/12,IFERROR(-IPMT($DJ$66/12,(DD101-60),($F$1-5)*12,$DJ$65,0),0))</f>
        <v>0</v>
      </c>
      <c r="DH101" s="497">
        <f t="shared" si="50"/>
        <v>0</v>
      </c>
      <c r="DI101" s="497">
        <f t="shared" si="63"/>
        <v>1800000</v>
      </c>
      <c r="DJ101" s="493"/>
      <c r="DK101" s="493"/>
    </row>
    <row r="102" spans="1:115">
      <c r="A102" s="492">
        <v>98</v>
      </c>
      <c r="B102" s="492">
        <v>9</v>
      </c>
      <c r="C102" s="497">
        <f>IF(('Comparison Calculator'!$E$11-B102)&gt;=0,0,IFERROR(-PPMT($G$66/12,(A102-60),($F$1-5)*12,$G$65),0))</f>
        <v>0</v>
      </c>
      <c r="D102" s="497">
        <f>IF(('Comparison Calculator'!$E$11-B102)&gt;=0,$C$1*$G$66/12,IFERROR(-IPMT($G$66/12,(A102-60),($F$1-5)*12,$G$65,0),0))</f>
        <v>0</v>
      </c>
      <c r="E102" s="497">
        <f t="shared" si="38"/>
        <v>0</v>
      </c>
      <c r="F102" s="497">
        <f t="shared" si="51"/>
        <v>1800000</v>
      </c>
      <c r="G102" s="493"/>
      <c r="H102" s="493"/>
      <c r="I102" s="489"/>
      <c r="J102" s="492">
        <v>98</v>
      </c>
      <c r="K102" s="492">
        <v>9</v>
      </c>
      <c r="L102" s="497">
        <f>IF(('Comparison Calculator'!$E$11-K102)&gt;=0,0,IFERROR(-PPMT($P$66/12,(J102-60),($F$1-5)*12,$P$65),0))</f>
        <v>0</v>
      </c>
      <c r="M102" s="497">
        <f>IF(('Comparison Calculator'!$E$11-K102)&gt;=0,$C$1*$P$66/12,IFERROR(-IPMT($P$66/12,(J102-60),($F$1-5)*12,$P$65,0),0))</f>
        <v>0</v>
      </c>
      <c r="N102" s="497">
        <f t="shared" si="39"/>
        <v>0</v>
      </c>
      <c r="O102" s="497">
        <f t="shared" si="52"/>
        <v>1800000</v>
      </c>
      <c r="P102" s="493"/>
      <c r="Q102" s="493"/>
      <c r="S102" s="492">
        <v>98</v>
      </c>
      <c r="T102" s="492">
        <v>9</v>
      </c>
      <c r="U102" s="497">
        <f>IF(('Comparison Calculator'!$E$11-T102)&gt;=0,0,IFERROR(-PPMT($Y$66/12,(S102-60),($F$1-5)*12,$Y$65),0))</f>
        <v>0</v>
      </c>
      <c r="V102" s="497">
        <f>IF(('Comparison Calculator'!$E$11-T102)&gt;=0,$C$1*$Y$66/12,IFERROR(-IPMT($Y$66/12,(S102-60),($F$1-5)*12,$Y$65,0),0))</f>
        <v>0</v>
      </c>
      <c r="W102" s="497">
        <f t="shared" si="40"/>
        <v>0</v>
      </c>
      <c r="X102" s="497">
        <f t="shared" si="53"/>
        <v>1800000</v>
      </c>
      <c r="Y102" s="493"/>
      <c r="Z102" s="493"/>
      <c r="AB102" s="492">
        <v>98</v>
      </c>
      <c r="AC102" s="492">
        <v>9</v>
      </c>
      <c r="AD102" s="497">
        <f>IF(('Comparison Calculator'!$E$11-AC102)&gt;=0,0,IFERROR(-PPMT($AH$66/12,(AB102-60),($F$1-5)*12,$AH$65),0))</f>
        <v>0</v>
      </c>
      <c r="AE102" s="497">
        <f>IF(('Comparison Calculator'!$E$11-AC102)&gt;=0,$C$1*$AH$66/12,IFERROR(-IPMT($AH$66/12,(AB102-60),($F$1-5)*12,$AH$65,0),0))</f>
        <v>0</v>
      </c>
      <c r="AF102" s="497">
        <f t="shared" si="41"/>
        <v>0</v>
      </c>
      <c r="AG102" s="497">
        <f t="shared" si="54"/>
        <v>1800000</v>
      </c>
      <c r="AH102" s="493"/>
      <c r="AI102" s="493"/>
      <c r="AK102" s="492">
        <v>98</v>
      </c>
      <c r="AL102" s="492">
        <v>9</v>
      </c>
      <c r="AM102" s="497">
        <f>IF(('Comparison Calculator'!$E$11-AL102)&gt;=0,0,IFERROR(-PPMT($AQ$66/12,(AK102-60),($F$1-5)*12,$AQ$65),0))</f>
        <v>0</v>
      </c>
      <c r="AN102" s="497">
        <f>IF(('Comparison Calculator'!$E$11-AL102)&gt;=0,$C$1*$AQ$66/12,IFERROR(-IPMT($AQ$66/12,(AK102-60),($F$1-5)*12,$AQ$65,0),0))</f>
        <v>0</v>
      </c>
      <c r="AO102" s="497">
        <f t="shared" si="42"/>
        <v>0</v>
      </c>
      <c r="AP102" s="497">
        <f t="shared" si="55"/>
        <v>1800000</v>
      </c>
      <c r="AQ102" s="493"/>
      <c r="AR102" s="493"/>
      <c r="AT102" s="492">
        <v>98</v>
      </c>
      <c r="AU102" s="492">
        <v>9</v>
      </c>
      <c r="AV102" s="497">
        <f>IF(('Comparison Calculator'!$E$11-AU102)&gt;=0,0,IFERROR(-PPMT($AZ$66/12,(AT102-60),($F$1-5)*12,$AZ$65),0))</f>
        <v>0</v>
      </c>
      <c r="AW102" s="497">
        <f>IF(('Comparison Calculator'!$E$11-AU102)&gt;=0,$C$1*$AZ$66/12,IFERROR(-IPMT($AZ$66/12,(AT102-60),($F$1-5)*12,$AZ$65,0),0))</f>
        <v>0</v>
      </c>
      <c r="AX102" s="497">
        <f t="shared" si="43"/>
        <v>0</v>
      </c>
      <c r="AY102" s="497">
        <f t="shared" si="56"/>
        <v>1800000</v>
      </c>
      <c r="AZ102" s="493"/>
      <c r="BA102" s="493"/>
      <c r="BC102" s="492">
        <v>98</v>
      </c>
      <c r="BD102" s="492">
        <v>9</v>
      </c>
      <c r="BE102" s="497">
        <f>IF(('Comparison Calculator'!$E$11-BD102)&gt;=0,0,IFERROR(-PPMT($BI$66/12,(BC102-60),($F$1-5)*12,$BI$65),0))</f>
        <v>0</v>
      </c>
      <c r="BF102" s="497">
        <f>IF(('Comparison Calculator'!$E$11-BD102)&gt;=0,$C$1*$BI$66/12,IFERROR(-IPMT($BI$66/12,(BC102-60),($F$1-5)*12,$BI$65,0),0))</f>
        <v>0</v>
      </c>
      <c r="BG102" s="497">
        <f t="shared" si="44"/>
        <v>0</v>
      </c>
      <c r="BH102" s="497">
        <f t="shared" si="57"/>
        <v>1800000</v>
      </c>
      <c r="BI102" s="493"/>
      <c r="BJ102" s="493"/>
      <c r="BK102" s="492">
        <v>98</v>
      </c>
      <c r="BL102" s="492">
        <v>9</v>
      </c>
      <c r="BM102" s="497">
        <f>IF(('Comparison Calculator'!$E$11-BL102)&gt;=0,0,IFERROR(-PPMT($BQ$66/12,(BK102-60),($F$1-5)*12,$BQ$65),0))</f>
        <v>0</v>
      </c>
      <c r="BN102" s="497">
        <f>IF(('Comparison Calculator'!$E$11-BL102)&gt;=0,$C$1*$BQ$66/12,IFERROR(-IPMT($BQ$66/12,(BK102-60),($F$1-5)*12,$BQ$65,0),0))</f>
        <v>0</v>
      </c>
      <c r="BO102" s="497">
        <f t="shared" si="45"/>
        <v>0</v>
      </c>
      <c r="BP102" s="497">
        <f t="shared" si="58"/>
        <v>1800000</v>
      </c>
      <c r="BQ102" s="493"/>
      <c r="BR102" s="493"/>
      <c r="BT102" s="492">
        <v>98</v>
      </c>
      <c r="BU102" s="492">
        <v>9</v>
      </c>
      <c r="BV102" s="497">
        <f>IF(('Comparison Calculator'!$E$11-BU102)&gt;=0,0,IFERROR(-PPMT($BZ$66/12,(BT102-60),($F$1-5)*12,$BZ$65),0))</f>
        <v>0</v>
      </c>
      <c r="BW102" s="497">
        <f>IF(('Comparison Calculator'!$E$11-BU102)&gt;=0,$C$1*$BZ$66/12,IFERROR(-IPMT($BZ$66/12,(BT102-60),($F$1-5)*12,$BZ$65,0),0))</f>
        <v>0</v>
      </c>
      <c r="BX102" s="497">
        <f t="shared" si="46"/>
        <v>0</v>
      </c>
      <c r="BY102" s="497">
        <f t="shared" si="59"/>
        <v>1800000</v>
      </c>
      <c r="BZ102" s="493"/>
      <c r="CA102" s="493"/>
      <c r="CC102" s="492">
        <v>98</v>
      </c>
      <c r="CD102" s="492">
        <v>9</v>
      </c>
      <c r="CE102" s="497">
        <f>IF(('Comparison Calculator'!$E$11-CD102)&gt;=0,0,IFERROR(-PPMT($CI$66/12,(CC102-60),($F$1-5)*12,$CI$65),0))</f>
        <v>0</v>
      </c>
      <c r="CF102" s="497">
        <f>IF(('Comparison Calculator'!$E$11-CD102)&gt;=0,$C$1*$CI$66/12,IFERROR(-IPMT($CI$66/12,(CC102-60),($F$1-5)*12,$CI$65,0),0))</f>
        <v>0</v>
      </c>
      <c r="CG102" s="497">
        <f t="shared" si="47"/>
        <v>0</v>
      </c>
      <c r="CH102" s="497">
        <f t="shared" si="60"/>
        <v>1800000</v>
      </c>
      <c r="CI102" s="493"/>
      <c r="CJ102" s="493"/>
      <c r="CL102" s="492">
        <v>98</v>
      </c>
      <c r="CM102" s="492">
        <v>9</v>
      </c>
      <c r="CN102" s="497">
        <f>IF(('Comparison Calculator'!$E$11-CM102)&gt;=0,0,IFERROR(-PPMT($CR$66/12,(CL102-60),($F$1-5)*12,$CR$65),0))</f>
        <v>0</v>
      </c>
      <c r="CO102" s="497">
        <f>IF(('Comparison Calculator'!$E$11-CM102)&gt;=0,$C$1*$CI$66/12,IFERROR(-IPMT($CI$66/12,(CL102-60),($F$1-5)*12,$CI$65,0),0))</f>
        <v>0</v>
      </c>
      <c r="CP102" s="497">
        <f t="shared" si="48"/>
        <v>0</v>
      </c>
      <c r="CQ102" s="497">
        <f t="shared" si="61"/>
        <v>1800000</v>
      </c>
      <c r="CR102" s="493"/>
      <c r="CS102" s="493"/>
      <c r="CU102" s="492">
        <v>98</v>
      </c>
      <c r="CV102" s="492">
        <v>9</v>
      </c>
      <c r="CW102" s="497">
        <f>IF(('Comparison Calculator'!$E$11-CV102)&gt;=0,0,IFERROR(-PPMT($DA$66/12,(CU102-60),($F$1-5)*12,$DA$65),0))</f>
        <v>0</v>
      </c>
      <c r="CX102" s="497">
        <f>IF(('Comparison Calculator'!$E$11-CV102)&gt;=0,$C$1*$DA$66/12,IFERROR(-IPMT($DA$66/12,(CU102-60),($F$1-5)*12,$DA$65,0),0))</f>
        <v>0</v>
      </c>
      <c r="CY102" s="497">
        <f t="shared" si="49"/>
        <v>0</v>
      </c>
      <c r="CZ102" s="497">
        <f t="shared" si="62"/>
        <v>1800000</v>
      </c>
      <c r="DA102" s="493"/>
      <c r="DB102" s="493"/>
      <c r="DD102" s="492">
        <v>98</v>
      </c>
      <c r="DE102" s="492">
        <v>9</v>
      </c>
      <c r="DF102" s="497">
        <f>IF(('Comparison Calculator'!$E$11-DE102)&gt;=0,0,IFERROR(-PPMT($DJ$66/12,(DD102-60),($F$1-5)*12,$DJ$65),0))</f>
        <v>0</v>
      </c>
      <c r="DG102" s="497">
        <f>IF(('Comparison Calculator'!$E$11-DE102)&gt;=0,$C$1*$DJ$66/12,IFERROR(-IPMT($DJ$66/12,(DD102-60),($F$1-5)*12,$DJ$65,0),0))</f>
        <v>0</v>
      </c>
      <c r="DH102" s="497">
        <f t="shared" si="50"/>
        <v>0</v>
      </c>
      <c r="DI102" s="497">
        <f t="shared" si="63"/>
        <v>1800000</v>
      </c>
      <c r="DJ102" s="493"/>
      <c r="DK102" s="493"/>
    </row>
    <row r="103" spans="1:115">
      <c r="A103" s="492">
        <v>99</v>
      </c>
      <c r="B103" s="492">
        <v>9</v>
      </c>
      <c r="C103" s="497">
        <f>IF(('Comparison Calculator'!$E$11-B103)&gt;=0,0,IFERROR(-PPMT($G$66/12,(A103-60),($F$1-5)*12,$G$65),0))</f>
        <v>0</v>
      </c>
      <c r="D103" s="497">
        <f>IF(('Comparison Calculator'!$E$11-B103)&gt;=0,$C$1*$G$66/12,IFERROR(-IPMT($G$66/12,(A103-60),($F$1-5)*12,$G$65,0),0))</f>
        <v>0</v>
      </c>
      <c r="E103" s="497">
        <f t="shared" si="38"/>
        <v>0</v>
      </c>
      <c r="F103" s="497">
        <f t="shared" si="51"/>
        <v>1800000</v>
      </c>
      <c r="G103" s="493"/>
      <c r="H103" s="493"/>
      <c r="I103" s="489"/>
      <c r="J103" s="492">
        <v>99</v>
      </c>
      <c r="K103" s="492">
        <v>9</v>
      </c>
      <c r="L103" s="497">
        <f>IF(('Comparison Calculator'!$E$11-K103)&gt;=0,0,IFERROR(-PPMT($P$66/12,(J103-60),($F$1-5)*12,$P$65),0))</f>
        <v>0</v>
      </c>
      <c r="M103" s="497">
        <f>IF(('Comparison Calculator'!$E$11-K103)&gt;=0,$C$1*$P$66/12,IFERROR(-IPMT($P$66/12,(J103-60),($F$1-5)*12,$P$65,0),0))</f>
        <v>0</v>
      </c>
      <c r="N103" s="497">
        <f t="shared" si="39"/>
        <v>0</v>
      </c>
      <c r="O103" s="497">
        <f t="shared" si="52"/>
        <v>1800000</v>
      </c>
      <c r="P103" s="493"/>
      <c r="Q103" s="493"/>
      <c r="S103" s="492">
        <v>99</v>
      </c>
      <c r="T103" s="492">
        <v>9</v>
      </c>
      <c r="U103" s="497">
        <f>IF(('Comparison Calculator'!$E$11-T103)&gt;=0,0,IFERROR(-PPMT($Y$66/12,(S103-60),($F$1-5)*12,$Y$65),0))</f>
        <v>0</v>
      </c>
      <c r="V103" s="497">
        <f>IF(('Comparison Calculator'!$E$11-T103)&gt;=0,$C$1*$Y$66/12,IFERROR(-IPMT($Y$66/12,(S103-60),($F$1-5)*12,$Y$65,0),0))</f>
        <v>0</v>
      </c>
      <c r="W103" s="497">
        <f t="shared" si="40"/>
        <v>0</v>
      </c>
      <c r="X103" s="497">
        <f t="shared" si="53"/>
        <v>1800000</v>
      </c>
      <c r="Y103" s="493"/>
      <c r="Z103" s="493"/>
      <c r="AB103" s="492">
        <v>99</v>
      </c>
      <c r="AC103" s="492">
        <v>9</v>
      </c>
      <c r="AD103" s="497">
        <f>IF(('Comparison Calculator'!$E$11-AC103)&gt;=0,0,IFERROR(-PPMT($AH$66/12,(AB103-60),($F$1-5)*12,$AH$65),0))</f>
        <v>0</v>
      </c>
      <c r="AE103" s="497">
        <f>IF(('Comparison Calculator'!$E$11-AC103)&gt;=0,$C$1*$AH$66/12,IFERROR(-IPMT($AH$66/12,(AB103-60),($F$1-5)*12,$AH$65,0),0))</f>
        <v>0</v>
      </c>
      <c r="AF103" s="497">
        <f t="shared" si="41"/>
        <v>0</v>
      </c>
      <c r="AG103" s="497">
        <f t="shared" si="54"/>
        <v>1800000</v>
      </c>
      <c r="AH103" s="493"/>
      <c r="AI103" s="493"/>
      <c r="AK103" s="492">
        <v>99</v>
      </c>
      <c r="AL103" s="492">
        <v>9</v>
      </c>
      <c r="AM103" s="497">
        <f>IF(('Comparison Calculator'!$E$11-AL103)&gt;=0,0,IFERROR(-PPMT($AQ$66/12,(AK103-60),($F$1-5)*12,$AQ$65),0))</f>
        <v>0</v>
      </c>
      <c r="AN103" s="497">
        <f>IF(('Comparison Calculator'!$E$11-AL103)&gt;=0,$C$1*$AQ$66/12,IFERROR(-IPMT($AQ$66/12,(AK103-60),($F$1-5)*12,$AQ$65,0),0))</f>
        <v>0</v>
      </c>
      <c r="AO103" s="497">
        <f t="shared" si="42"/>
        <v>0</v>
      </c>
      <c r="AP103" s="497">
        <f t="shared" si="55"/>
        <v>1800000</v>
      </c>
      <c r="AQ103" s="493"/>
      <c r="AR103" s="493"/>
      <c r="AT103" s="492">
        <v>99</v>
      </c>
      <c r="AU103" s="492">
        <v>9</v>
      </c>
      <c r="AV103" s="497">
        <f>IF(('Comparison Calculator'!$E$11-AU103)&gt;=0,0,IFERROR(-PPMT($AZ$66/12,(AT103-60),($F$1-5)*12,$AZ$65),0))</f>
        <v>0</v>
      </c>
      <c r="AW103" s="497">
        <f>IF(('Comparison Calculator'!$E$11-AU103)&gt;=0,$C$1*$AZ$66/12,IFERROR(-IPMT($AZ$66/12,(AT103-60),($F$1-5)*12,$AZ$65,0),0))</f>
        <v>0</v>
      </c>
      <c r="AX103" s="497">
        <f t="shared" si="43"/>
        <v>0</v>
      </c>
      <c r="AY103" s="497">
        <f t="shared" si="56"/>
        <v>1800000</v>
      </c>
      <c r="AZ103" s="493"/>
      <c r="BA103" s="493"/>
      <c r="BC103" s="492">
        <v>99</v>
      </c>
      <c r="BD103" s="492">
        <v>9</v>
      </c>
      <c r="BE103" s="497">
        <f>IF(('Comparison Calculator'!$E$11-BD103)&gt;=0,0,IFERROR(-PPMT($BI$66/12,(BC103-60),($F$1-5)*12,$BI$65),0))</f>
        <v>0</v>
      </c>
      <c r="BF103" s="497">
        <f>IF(('Comparison Calculator'!$E$11-BD103)&gt;=0,$C$1*$BI$66/12,IFERROR(-IPMT($BI$66/12,(BC103-60),($F$1-5)*12,$BI$65,0),0))</f>
        <v>0</v>
      </c>
      <c r="BG103" s="497">
        <f t="shared" si="44"/>
        <v>0</v>
      </c>
      <c r="BH103" s="497">
        <f t="shared" si="57"/>
        <v>1800000</v>
      </c>
      <c r="BI103" s="493"/>
      <c r="BJ103" s="493"/>
      <c r="BK103" s="492">
        <v>99</v>
      </c>
      <c r="BL103" s="492">
        <v>9</v>
      </c>
      <c r="BM103" s="497">
        <f>IF(('Comparison Calculator'!$E$11-BL103)&gt;=0,0,IFERROR(-PPMT($BQ$66/12,(BK103-60),($F$1-5)*12,$BQ$65),0))</f>
        <v>0</v>
      </c>
      <c r="BN103" s="497">
        <f>IF(('Comparison Calculator'!$E$11-BL103)&gt;=0,$C$1*$BQ$66/12,IFERROR(-IPMT($BQ$66/12,(BK103-60),($F$1-5)*12,$BQ$65,0),0))</f>
        <v>0</v>
      </c>
      <c r="BO103" s="497">
        <f t="shared" si="45"/>
        <v>0</v>
      </c>
      <c r="BP103" s="497">
        <f t="shared" si="58"/>
        <v>1800000</v>
      </c>
      <c r="BQ103" s="493"/>
      <c r="BR103" s="493"/>
      <c r="BT103" s="492">
        <v>99</v>
      </c>
      <c r="BU103" s="492">
        <v>9</v>
      </c>
      <c r="BV103" s="497">
        <f>IF(('Comparison Calculator'!$E$11-BU103)&gt;=0,0,IFERROR(-PPMT($BZ$66/12,(BT103-60),($F$1-5)*12,$BZ$65),0))</f>
        <v>0</v>
      </c>
      <c r="BW103" s="497">
        <f>IF(('Comparison Calculator'!$E$11-BU103)&gt;=0,$C$1*$BZ$66/12,IFERROR(-IPMT($BZ$66/12,(BT103-60),($F$1-5)*12,$BZ$65,0),0))</f>
        <v>0</v>
      </c>
      <c r="BX103" s="497">
        <f t="shared" si="46"/>
        <v>0</v>
      </c>
      <c r="BY103" s="497">
        <f t="shared" si="59"/>
        <v>1800000</v>
      </c>
      <c r="BZ103" s="493"/>
      <c r="CA103" s="493"/>
      <c r="CC103" s="492">
        <v>99</v>
      </c>
      <c r="CD103" s="492">
        <v>9</v>
      </c>
      <c r="CE103" s="497">
        <f>IF(('Comparison Calculator'!$E$11-CD103)&gt;=0,0,IFERROR(-PPMT($CI$66/12,(CC103-60),($F$1-5)*12,$CI$65),0))</f>
        <v>0</v>
      </c>
      <c r="CF103" s="497">
        <f>IF(('Comparison Calculator'!$E$11-CD103)&gt;=0,$C$1*$CI$66/12,IFERROR(-IPMT($CI$66/12,(CC103-60),($F$1-5)*12,$CI$65,0),0))</f>
        <v>0</v>
      </c>
      <c r="CG103" s="497">
        <f t="shared" si="47"/>
        <v>0</v>
      </c>
      <c r="CH103" s="497">
        <f t="shared" si="60"/>
        <v>1800000</v>
      </c>
      <c r="CI103" s="493"/>
      <c r="CJ103" s="493"/>
      <c r="CL103" s="492">
        <v>99</v>
      </c>
      <c r="CM103" s="492">
        <v>9</v>
      </c>
      <c r="CN103" s="497">
        <f>IF(('Comparison Calculator'!$E$11-CM103)&gt;=0,0,IFERROR(-PPMT($CR$66/12,(CL103-60),($F$1-5)*12,$CR$65),0))</f>
        <v>0</v>
      </c>
      <c r="CO103" s="497">
        <f>IF(('Comparison Calculator'!$E$11-CM103)&gt;=0,$C$1*$CI$66/12,IFERROR(-IPMT($CI$66/12,(CL103-60),($F$1-5)*12,$CI$65,0),0))</f>
        <v>0</v>
      </c>
      <c r="CP103" s="497">
        <f t="shared" si="48"/>
        <v>0</v>
      </c>
      <c r="CQ103" s="497">
        <f t="shared" si="61"/>
        <v>1800000</v>
      </c>
      <c r="CR103" s="493"/>
      <c r="CS103" s="493"/>
      <c r="CU103" s="492">
        <v>99</v>
      </c>
      <c r="CV103" s="492">
        <v>9</v>
      </c>
      <c r="CW103" s="497">
        <f>IF(('Comparison Calculator'!$E$11-CV103)&gt;=0,0,IFERROR(-PPMT($DA$66/12,(CU103-60),($F$1-5)*12,$DA$65),0))</f>
        <v>0</v>
      </c>
      <c r="CX103" s="497">
        <f>IF(('Comparison Calculator'!$E$11-CV103)&gt;=0,$C$1*$DA$66/12,IFERROR(-IPMT($DA$66/12,(CU103-60),($F$1-5)*12,$DA$65,0),0))</f>
        <v>0</v>
      </c>
      <c r="CY103" s="497">
        <f t="shared" si="49"/>
        <v>0</v>
      </c>
      <c r="CZ103" s="497">
        <f t="shared" si="62"/>
        <v>1800000</v>
      </c>
      <c r="DA103" s="493"/>
      <c r="DB103" s="493"/>
      <c r="DD103" s="492">
        <v>99</v>
      </c>
      <c r="DE103" s="492">
        <v>9</v>
      </c>
      <c r="DF103" s="497">
        <f>IF(('Comparison Calculator'!$E$11-DE103)&gt;=0,0,IFERROR(-PPMT($DJ$66/12,(DD103-60),($F$1-5)*12,$DJ$65),0))</f>
        <v>0</v>
      </c>
      <c r="DG103" s="497">
        <f>IF(('Comparison Calculator'!$E$11-DE103)&gt;=0,$C$1*$DJ$66/12,IFERROR(-IPMT($DJ$66/12,(DD103-60),($F$1-5)*12,$DJ$65,0),0))</f>
        <v>0</v>
      </c>
      <c r="DH103" s="497">
        <f t="shared" si="50"/>
        <v>0</v>
      </c>
      <c r="DI103" s="497">
        <f t="shared" si="63"/>
        <v>1800000</v>
      </c>
      <c r="DJ103" s="493"/>
      <c r="DK103" s="493"/>
    </row>
    <row r="104" spans="1:115">
      <c r="A104" s="492">
        <v>100</v>
      </c>
      <c r="B104" s="492">
        <v>9</v>
      </c>
      <c r="C104" s="497">
        <f>IF(('Comparison Calculator'!$E$11-B104)&gt;=0,0,IFERROR(-PPMT($G$66/12,(A104-60),($F$1-5)*12,$G$65),0))</f>
        <v>0</v>
      </c>
      <c r="D104" s="497">
        <f>IF(('Comparison Calculator'!$E$11-B104)&gt;=0,$C$1*$G$66/12,IFERROR(-IPMT($G$66/12,(A104-60),($F$1-5)*12,$G$65,0),0))</f>
        <v>0</v>
      </c>
      <c r="E104" s="497">
        <f t="shared" si="38"/>
        <v>0</v>
      </c>
      <c r="F104" s="497">
        <f t="shared" si="51"/>
        <v>1800000</v>
      </c>
      <c r="G104" s="493"/>
      <c r="H104" s="493"/>
      <c r="I104" s="489"/>
      <c r="J104" s="492">
        <v>100</v>
      </c>
      <c r="K104" s="492">
        <v>9</v>
      </c>
      <c r="L104" s="497">
        <f>IF(('Comparison Calculator'!$E$11-K104)&gt;=0,0,IFERROR(-PPMT($P$66/12,(J104-60),($F$1-5)*12,$P$65),0))</f>
        <v>0</v>
      </c>
      <c r="M104" s="497">
        <f>IF(('Comparison Calculator'!$E$11-K104)&gt;=0,$C$1*$P$66/12,IFERROR(-IPMT($P$66/12,(J104-60),($F$1-5)*12,$P$65,0),0))</f>
        <v>0</v>
      </c>
      <c r="N104" s="497">
        <f t="shared" si="39"/>
        <v>0</v>
      </c>
      <c r="O104" s="497">
        <f t="shared" si="52"/>
        <v>1800000</v>
      </c>
      <c r="P104" s="493"/>
      <c r="Q104" s="493"/>
      <c r="S104" s="492">
        <v>100</v>
      </c>
      <c r="T104" s="492">
        <v>9</v>
      </c>
      <c r="U104" s="497">
        <f>IF(('Comparison Calculator'!$E$11-T104)&gt;=0,0,IFERROR(-PPMT($Y$66/12,(S104-60),($F$1-5)*12,$Y$65),0))</f>
        <v>0</v>
      </c>
      <c r="V104" s="497">
        <f>IF(('Comparison Calculator'!$E$11-T104)&gt;=0,$C$1*$Y$66/12,IFERROR(-IPMT($Y$66/12,(S104-60),($F$1-5)*12,$Y$65,0),0))</f>
        <v>0</v>
      </c>
      <c r="W104" s="497">
        <f t="shared" si="40"/>
        <v>0</v>
      </c>
      <c r="X104" s="497">
        <f t="shared" si="53"/>
        <v>1800000</v>
      </c>
      <c r="Y104" s="493"/>
      <c r="Z104" s="493"/>
      <c r="AB104" s="492">
        <v>100</v>
      </c>
      <c r="AC104" s="492">
        <v>9</v>
      </c>
      <c r="AD104" s="497">
        <f>IF(('Comparison Calculator'!$E$11-AC104)&gt;=0,0,IFERROR(-PPMT($AH$66/12,(AB104-60),($F$1-5)*12,$AH$65),0))</f>
        <v>0</v>
      </c>
      <c r="AE104" s="497">
        <f>IF(('Comparison Calculator'!$E$11-AC104)&gt;=0,$C$1*$AH$66/12,IFERROR(-IPMT($AH$66/12,(AB104-60),($F$1-5)*12,$AH$65,0),0))</f>
        <v>0</v>
      </c>
      <c r="AF104" s="497">
        <f t="shared" si="41"/>
        <v>0</v>
      </c>
      <c r="AG104" s="497">
        <f t="shared" si="54"/>
        <v>1800000</v>
      </c>
      <c r="AH104" s="493"/>
      <c r="AI104" s="493"/>
      <c r="AK104" s="492">
        <v>100</v>
      </c>
      <c r="AL104" s="492">
        <v>9</v>
      </c>
      <c r="AM104" s="497">
        <f>IF(('Comparison Calculator'!$E$11-AL104)&gt;=0,0,IFERROR(-PPMT($AQ$66/12,(AK104-60),($F$1-5)*12,$AQ$65),0))</f>
        <v>0</v>
      </c>
      <c r="AN104" s="497">
        <f>IF(('Comparison Calculator'!$E$11-AL104)&gt;=0,$C$1*$AQ$66/12,IFERROR(-IPMT($AQ$66/12,(AK104-60),($F$1-5)*12,$AQ$65,0),0))</f>
        <v>0</v>
      </c>
      <c r="AO104" s="497">
        <f t="shared" si="42"/>
        <v>0</v>
      </c>
      <c r="AP104" s="497">
        <f t="shared" si="55"/>
        <v>1800000</v>
      </c>
      <c r="AQ104" s="493"/>
      <c r="AR104" s="493"/>
      <c r="AT104" s="492">
        <v>100</v>
      </c>
      <c r="AU104" s="492">
        <v>9</v>
      </c>
      <c r="AV104" s="497">
        <f>IF(('Comparison Calculator'!$E$11-AU104)&gt;=0,0,IFERROR(-PPMT($AZ$66/12,(AT104-60),($F$1-5)*12,$AZ$65),0))</f>
        <v>0</v>
      </c>
      <c r="AW104" s="497">
        <f>IF(('Comparison Calculator'!$E$11-AU104)&gt;=0,$C$1*$AZ$66/12,IFERROR(-IPMT($AZ$66/12,(AT104-60),($F$1-5)*12,$AZ$65,0),0))</f>
        <v>0</v>
      </c>
      <c r="AX104" s="497">
        <f t="shared" si="43"/>
        <v>0</v>
      </c>
      <c r="AY104" s="497">
        <f t="shared" si="56"/>
        <v>1800000</v>
      </c>
      <c r="AZ104" s="493"/>
      <c r="BA104" s="493"/>
      <c r="BC104" s="492">
        <v>100</v>
      </c>
      <c r="BD104" s="492">
        <v>9</v>
      </c>
      <c r="BE104" s="497">
        <f>IF(('Comparison Calculator'!$E$11-BD104)&gt;=0,0,IFERROR(-PPMT($BI$66/12,(BC104-60),($F$1-5)*12,$BI$65),0))</f>
        <v>0</v>
      </c>
      <c r="BF104" s="497">
        <f>IF(('Comparison Calculator'!$E$11-BD104)&gt;=0,$C$1*$BI$66/12,IFERROR(-IPMT($BI$66/12,(BC104-60),($F$1-5)*12,$BI$65,0),0))</f>
        <v>0</v>
      </c>
      <c r="BG104" s="497">
        <f t="shared" si="44"/>
        <v>0</v>
      </c>
      <c r="BH104" s="497">
        <f t="shared" si="57"/>
        <v>1800000</v>
      </c>
      <c r="BI104" s="493"/>
      <c r="BJ104" s="493"/>
      <c r="BK104" s="492">
        <v>100</v>
      </c>
      <c r="BL104" s="492">
        <v>9</v>
      </c>
      <c r="BM104" s="497">
        <f>IF(('Comparison Calculator'!$E$11-BL104)&gt;=0,0,IFERROR(-PPMT($BQ$66/12,(BK104-60),($F$1-5)*12,$BQ$65),0))</f>
        <v>0</v>
      </c>
      <c r="BN104" s="497">
        <f>IF(('Comparison Calculator'!$E$11-BL104)&gt;=0,$C$1*$BQ$66/12,IFERROR(-IPMT($BQ$66/12,(BK104-60),($F$1-5)*12,$BQ$65,0),0))</f>
        <v>0</v>
      </c>
      <c r="BO104" s="497">
        <f t="shared" si="45"/>
        <v>0</v>
      </c>
      <c r="BP104" s="497">
        <f t="shared" si="58"/>
        <v>1800000</v>
      </c>
      <c r="BQ104" s="493"/>
      <c r="BR104" s="493"/>
      <c r="BT104" s="492">
        <v>100</v>
      </c>
      <c r="BU104" s="492">
        <v>9</v>
      </c>
      <c r="BV104" s="497">
        <f>IF(('Comparison Calculator'!$E$11-BU104)&gt;=0,0,IFERROR(-PPMT($BZ$66/12,(BT104-60),($F$1-5)*12,$BZ$65),0))</f>
        <v>0</v>
      </c>
      <c r="BW104" s="497">
        <f>IF(('Comparison Calculator'!$E$11-BU104)&gt;=0,$C$1*$BZ$66/12,IFERROR(-IPMT($BZ$66/12,(BT104-60),($F$1-5)*12,$BZ$65,0),0))</f>
        <v>0</v>
      </c>
      <c r="BX104" s="497">
        <f t="shared" si="46"/>
        <v>0</v>
      </c>
      <c r="BY104" s="497">
        <f t="shared" si="59"/>
        <v>1800000</v>
      </c>
      <c r="BZ104" s="493"/>
      <c r="CA104" s="493"/>
      <c r="CC104" s="492">
        <v>100</v>
      </c>
      <c r="CD104" s="492">
        <v>9</v>
      </c>
      <c r="CE104" s="497">
        <f>IF(('Comparison Calculator'!$E$11-CD104)&gt;=0,0,IFERROR(-PPMT($CI$66/12,(CC104-60),($F$1-5)*12,$CI$65),0))</f>
        <v>0</v>
      </c>
      <c r="CF104" s="497">
        <f>IF(('Comparison Calculator'!$E$11-CD104)&gt;=0,$C$1*$CI$66/12,IFERROR(-IPMT($CI$66/12,(CC104-60),($F$1-5)*12,$CI$65,0),0))</f>
        <v>0</v>
      </c>
      <c r="CG104" s="497">
        <f t="shared" si="47"/>
        <v>0</v>
      </c>
      <c r="CH104" s="497">
        <f t="shared" si="60"/>
        <v>1800000</v>
      </c>
      <c r="CI104" s="493"/>
      <c r="CJ104" s="493"/>
      <c r="CL104" s="492">
        <v>100</v>
      </c>
      <c r="CM104" s="492">
        <v>9</v>
      </c>
      <c r="CN104" s="497">
        <f>IF(('Comparison Calculator'!$E$11-CM104)&gt;=0,0,IFERROR(-PPMT($CR$66/12,(CL104-60),($F$1-5)*12,$CR$65),0))</f>
        <v>0</v>
      </c>
      <c r="CO104" s="497">
        <f>IF(('Comparison Calculator'!$E$11-CM104)&gt;=0,$C$1*$CI$66/12,IFERROR(-IPMT($CI$66/12,(CL104-60),($F$1-5)*12,$CI$65,0),0))</f>
        <v>0</v>
      </c>
      <c r="CP104" s="497">
        <f t="shared" si="48"/>
        <v>0</v>
      </c>
      <c r="CQ104" s="497">
        <f t="shared" si="61"/>
        <v>1800000</v>
      </c>
      <c r="CR104" s="493"/>
      <c r="CS104" s="493"/>
      <c r="CU104" s="492">
        <v>100</v>
      </c>
      <c r="CV104" s="492">
        <v>9</v>
      </c>
      <c r="CW104" s="497">
        <f>IF(('Comparison Calculator'!$E$11-CV104)&gt;=0,0,IFERROR(-PPMT($DA$66/12,(CU104-60),($F$1-5)*12,$DA$65),0))</f>
        <v>0</v>
      </c>
      <c r="CX104" s="497">
        <f>IF(('Comparison Calculator'!$E$11-CV104)&gt;=0,$C$1*$DA$66/12,IFERROR(-IPMT($DA$66/12,(CU104-60),($F$1-5)*12,$DA$65,0),0))</f>
        <v>0</v>
      </c>
      <c r="CY104" s="497">
        <f t="shared" si="49"/>
        <v>0</v>
      </c>
      <c r="CZ104" s="497">
        <f t="shared" si="62"/>
        <v>1800000</v>
      </c>
      <c r="DA104" s="493"/>
      <c r="DB104" s="493"/>
      <c r="DD104" s="492">
        <v>100</v>
      </c>
      <c r="DE104" s="492">
        <v>9</v>
      </c>
      <c r="DF104" s="497">
        <f>IF(('Comparison Calculator'!$E$11-DE104)&gt;=0,0,IFERROR(-PPMT($DJ$66/12,(DD104-60),($F$1-5)*12,$DJ$65),0))</f>
        <v>0</v>
      </c>
      <c r="DG104" s="497">
        <f>IF(('Comparison Calculator'!$E$11-DE104)&gt;=0,$C$1*$DJ$66/12,IFERROR(-IPMT($DJ$66/12,(DD104-60),($F$1-5)*12,$DJ$65,0),0))</f>
        <v>0</v>
      </c>
      <c r="DH104" s="497">
        <f t="shared" si="50"/>
        <v>0</v>
      </c>
      <c r="DI104" s="497">
        <f t="shared" si="63"/>
        <v>1800000</v>
      </c>
      <c r="DJ104" s="493"/>
      <c r="DK104" s="493"/>
    </row>
    <row r="105" spans="1:115">
      <c r="A105" s="492">
        <v>101</v>
      </c>
      <c r="B105" s="492">
        <v>9</v>
      </c>
      <c r="C105" s="497">
        <f>IF(('Comparison Calculator'!$E$11-B105)&gt;=0,0,IFERROR(-PPMT($G$66/12,(A105-60),($F$1-5)*12,$G$65),0))</f>
        <v>0</v>
      </c>
      <c r="D105" s="497">
        <f>IF(('Comparison Calculator'!$E$11-B105)&gt;=0,$C$1*$G$66/12,IFERROR(-IPMT($G$66/12,(A105-60),($F$1-5)*12,$G$65,0),0))</f>
        <v>0</v>
      </c>
      <c r="E105" s="497">
        <f t="shared" si="38"/>
        <v>0</v>
      </c>
      <c r="F105" s="497">
        <f t="shared" si="51"/>
        <v>1800000</v>
      </c>
      <c r="G105" s="493"/>
      <c r="H105" s="493"/>
      <c r="I105" s="489"/>
      <c r="J105" s="492">
        <v>101</v>
      </c>
      <c r="K105" s="492">
        <v>9</v>
      </c>
      <c r="L105" s="497">
        <f>IF(('Comparison Calculator'!$E$11-K105)&gt;=0,0,IFERROR(-PPMT($P$66/12,(J105-60),($F$1-5)*12,$P$65),0))</f>
        <v>0</v>
      </c>
      <c r="M105" s="497">
        <f>IF(('Comparison Calculator'!$E$11-K105)&gt;=0,$C$1*$P$66/12,IFERROR(-IPMT($P$66/12,(J105-60),($F$1-5)*12,$P$65,0),0))</f>
        <v>0</v>
      </c>
      <c r="N105" s="497">
        <f t="shared" si="39"/>
        <v>0</v>
      </c>
      <c r="O105" s="497">
        <f t="shared" si="52"/>
        <v>1800000</v>
      </c>
      <c r="P105" s="493"/>
      <c r="Q105" s="493"/>
      <c r="S105" s="492">
        <v>101</v>
      </c>
      <c r="T105" s="492">
        <v>9</v>
      </c>
      <c r="U105" s="497">
        <f>IF(('Comparison Calculator'!$E$11-T105)&gt;=0,0,IFERROR(-PPMT($Y$66/12,(S105-60),($F$1-5)*12,$Y$65),0))</f>
        <v>0</v>
      </c>
      <c r="V105" s="497">
        <f>IF(('Comparison Calculator'!$E$11-T105)&gt;=0,$C$1*$Y$66/12,IFERROR(-IPMT($Y$66/12,(S105-60),($F$1-5)*12,$Y$65,0),0))</f>
        <v>0</v>
      </c>
      <c r="W105" s="497">
        <f t="shared" si="40"/>
        <v>0</v>
      </c>
      <c r="X105" s="497">
        <f t="shared" si="53"/>
        <v>1800000</v>
      </c>
      <c r="Y105" s="493"/>
      <c r="Z105" s="493"/>
      <c r="AB105" s="492">
        <v>101</v>
      </c>
      <c r="AC105" s="492">
        <v>9</v>
      </c>
      <c r="AD105" s="497">
        <f>IF(('Comparison Calculator'!$E$11-AC105)&gt;=0,0,IFERROR(-PPMT($AH$66/12,(AB105-60),($F$1-5)*12,$AH$65),0))</f>
        <v>0</v>
      </c>
      <c r="AE105" s="497">
        <f>IF(('Comparison Calculator'!$E$11-AC105)&gt;=0,$C$1*$AH$66/12,IFERROR(-IPMT($AH$66/12,(AB105-60),($F$1-5)*12,$AH$65,0),0))</f>
        <v>0</v>
      </c>
      <c r="AF105" s="497">
        <f t="shared" si="41"/>
        <v>0</v>
      </c>
      <c r="AG105" s="497">
        <f t="shared" si="54"/>
        <v>1800000</v>
      </c>
      <c r="AH105" s="493"/>
      <c r="AI105" s="493"/>
      <c r="AK105" s="492">
        <v>101</v>
      </c>
      <c r="AL105" s="492">
        <v>9</v>
      </c>
      <c r="AM105" s="497">
        <f>IF(('Comparison Calculator'!$E$11-AL105)&gt;=0,0,IFERROR(-PPMT($AQ$66/12,(AK105-60),($F$1-5)*12,$AQ$65),0))</f>
        <v>0</v>
      </c>
      <c r="AN105" s="497">
        <f>IF(('Comparison Calculator'!$E$11-AL105)&gt;=0,$C$1*$AQ$66/12,IFERROR(-IPMT($AQ$66/12,(AK105-60),($F$1-5)*12,$AQ$65,0),0))</f>
        <v>0</v>
      </c>
      <c r="AO105" s="497">
        <f t="shared" si="42"/>
        <v>0</v>
      </c>
      <c r="AP105" s="497">
        <f t="shared" si="55"/>
        <v>1800000</v>
      </c>
      <c r="AQ105" s="493"/>
      <c r="AR105" s="493"/>
      <c r="AT105" s="492">
        <v>101</v>
      </c>
      <c r="AU105" s="492">
        <v>9</v>
      </c>
      <c r="AV105" s="497">
        <f>IF(('Comparison Calculator'!$E$11-AU105)&gt;=0,0,IFERROR(-PPMT($AZ$66/12,(AT105-60),($F$1-5)*12,$AZ$65),0))</f>
        <v>0</v>
      </c>
      <c r="AW105" s="497">
        <f>IF(('Comparison Calculator'!$E$11-AU105)&gt;=0,$C$1*$AZ$66/12,IFERROR(-IPMT($AZ$66/12,(AT105-60),($F$1-5)*12,$AZ$65,0),0))</f>
        <v>0</v>
      </c>
      <c r="AX105" s="497">
        <f t="shared" si="43"/>
        <v>0</v>
      </c>
      <c r="AY105" s="497">
        <f t="shared" si="56"/>
        <v>1800000</v>
      </c>
      <c r="AZ105" s="493"/>
      <c r="BA105" s="493"/>
      <c r="BC105" s="492">
        <v>101</v>
      </c>
      <c r="BD105" s="492">
        <v>9</v>
      </c>
      <c r="BE105" s="497">
        <f>IF(('Comparison Calculator'!$E$11-BD105)&gt;=0,0,IFERROR(-PPMT($BI$66/12,(BC105-60),($F$1-5)*12,$BI$65),0))</f>
        <v>0</v>
      </c>
      <c r="BF105" s="497">
        <f>IF(('Comparison Calculator'!$E$11-BD105)&gt;=0,$C$1*$BI$66/12,IFERROR(-IPMT($BI$66/12,(BC105-60),($F$1-5)*12,$BI$65,0),0))</f>
        <v>0</v>
      </c>
      <c r="BG105" s="497">
        <f t="shared" si="44"/>
        <v>0</v>
      </c>
      <c r="BH105" s="497">
        <f t="shared" si="57"/>
        <v>1800000</v>
      </c>
      <c r="BI105" s="493"/>
      <c r="BJ105" s="493"/>
      <c r="BK105" s="492">
        <v>101</v>
      </c>
      <c r="BL105" s="492">
        <v>9</v>
      </c>
      <c r="BM105" s="497">
        <f>IF(('Comparison Calculator'!$E$11-BL105)&gt;=0,0,IFERROR(-PPMT($BQ$66/12,(BK105-60),($F$1-5)*12,$BQ$65),0))</f>
        <v>0</v>
      </c>
      <c r="BN105" s="497">
        <f>IF(('Comparison Calculator'!$E$11-BL105)&gt;=0,$C$1*$BQ$66/12,IFERROR(-IPMT($BQ$66/12,(BK105-60),($F$1-5)*12,$BQ$65,0),0))</f>
        <v>0</v>
      </c>
      <c r="BO105" s="497">
        <f t="shared" si="45"/>
        <v>0</v>
      </c>
      <c r="BP105" s="497">
        <f t="shared" si="58"/>
        <v>1800000</v>
      </c>
      <c r="BQ105" s="493"/>
      <c r="BR105" s="493"/>
      <c r="BT105" s="492">
        <v>101</v>
      </c>
      <c r="BU105" s="492">
        <v>9</v>
      </c>
      <c r="BV105" s="497">
        <f>IF(('Comparison Calculator'!$E$11-BU105)&gt;=0,0,IFERROR(-PPMT($BZ$66/12,(BT105-60),($F$1-5)*12,$BZ$65),0))</f>
        <v>0</v>
      </c>
      <c r="BW105" s="497">
        <f>IF(('Comparison Calculator'!$E$11-BU105)&gt;=0,$C$1*$BZ$66/12,IFERROR(-IPMT($BZ$66/12,(BT105-60),($F$1-5)*12,$BZ$65,0),0))</f>
        <v>0</v>
      </c>
      <c r="BX105" s="497">
        <f t="shared" si="46"/>
        <v>0</v>
      </c>
      <c r="BY105" s="497">
        <f t="shared" si="59"/>
        <v>1800000</v>
      </c>
      <c r="BZ105" s="493"/>
      <c r="CA105" s="493"/>
      <c r="CC105" s="492">
        <v>101</v>
      </c>
      <c r="CD105" s="492">
        <v>9</v>
      </c>
      <c r="CE105" s="497">
        <f>IF(('Comparison Calculator'!$E$11-CD105)&gt;=0,0,IFERROR(-PPMT($CI$66/12,(CC105-60),($F$1-5)*12,$CI$65),0))</f>
        <v>0</v>
      </c>
      <c r="CF105" s="497">
        <f>IF(('Comparison Calculator'!$E$11-CD105)&gt;=0,$C$1*$CI$66/12,IFERROR(-IPMT($CI$66/12,(CC105-60),($F$1-5)*12,$CI$65,0),0))</f>
        <v>0</v>
      </c>
      <c r="CG105" s="497">
        <f t="shared" si="47"/>
        <v>0</v>
      </c>
      <c r="CH105" s="497">
        <f t="shared" si="60"/>
        <v>1800000</v>
      </c>
      <c r="CI105" s="493"/>
      <c r="CJ105" s="493"/>
      <c r="CL105" s="492">
        <v>101</v>
      </c>
      <c r="CM105" s="492">
        <v>9</v>
      </c>
      <c r="CN105" s="497">
        <f>IF(('Comparison Calculator'!$E$11-CM105)&gt;=0,0,IFERROR(-PPMT($CR$66/12,(CL105-60),($F$1-5)*12,$CR$65),0))</f>
        <v>0</v>
      </c>
      <c r="CO105" s="497">
        <f>IF(('Comparison Calculator'!$E$11-CM105)&gt;=0,$C$1*$CI$66/12,IFERROR(-IPMT($CI$66/12,(CL105-60),($F$1-5)*12,$CI$65,0),0))</f>
        <v>0</v>
      </c>
      <c r="CP105" s="497">
        <f t="shared" si="48"/>
        <v>0</v>
      </c>
      <c r="CQ105" s="497">
        <f t="shared" si="61"/>
        <v>1800000</v>
      </c>
      <c r="CR105" s="493"/>
      <c r="CS105" s="493"/>
      <c r="CU105" s="492">
        <v>101</v>
      </c>
      <c r="CV105" s="492">
        <v>9</v>
      </c>
      <c r="CW105" s="497">
        <f>IF(('Comparison Calculator'!$E$11-CV105)&gt;=0,0,IFERROR(-PPMT($DA$66/12,(CU105-60),($F$1-5)*12,$DA$65),0))</f>
        <v>0</v>
      </c>
      <c r="CX105" s="497">
        <f>IF(('Comparison Calculator'!$E$11-CV105)&gt;=0,$C$1*$DA$66/12,IFERROR(-IPMT($DA$66/12,(CU105-60),($F$1-5)*12,$DA$65,0),0))</f>
        <v>0</v>
      </c>
      <c r="CY105" s="497">
        <f t="shared" si="49"/>
        <v>0</v>
      </c>
      <c r="CZ105" s="497">
        <f t="shared" si="62"/>
        <v>1800000</v>
      </c>
      <c r="DA105" s="493"/>
      <c r="DB105" s="493"/>
      <c r="DD105" s="492">
        <v>101</v>
      </c>
      <c r="DE105" s="492">
        <v>9</v>
      </c>
      <c r="DF105" s="497">
        <f>IF(('Comparison Calculator'!$E$11-DE105)&gt;=0,0,IFERROR(-PPMT($DJ$66/12,(DD105-60),($F$1-5)*12,$DJ$65),0))</f>
        <v>0</v>
      </c>
      <c r="DG105" s="497">
        <f>IF(('Comparison Calculator'!$E$11-DE105)&gt;=0,$C$1*$DJ$66/12,IFERROR(-IPMT($DJ$66/12,(DD105-60),($F$1-5)*12,$DJ$65,0),0))</f>
        <v>0</v>
      </c>
      <c r="DH105" s="497">
        <f t="shared" si="50"/>
        <v>0</v>
      </c>
      <c r="DI105" s="497">
        <f t="shared" si="63"/>
        <v>1800000</v>
      </c>
      <c r="DJ105" s="493"/>
      <c r="DK105" s="493"/>
    </row>
    <row r="106" spans="1:115">
      <c r="A106" s="492">
        <v>102</v>
      </c>
      <c r="B106" s="492">
        <v>9</v>
      </c>
      <c r="C106" s="497">
        <f>IF(('Comparison Calculator'!$E$11-B106)&gt;=0,0,IFERROR(-PPMT($G$66/12,(A106-60),($F$1-5)*12,$G$65),0))</f>
        <v>0</v>
      </c>
      <c r="D106" s="497">
        <f>IF(('Comparison Calculator'!$E$11-B106)&gt;=0,$C$1*$G$66/12,IFERROR(-IPMT($G$66/12,(A106-60),($F$1-5)*12,$G$65,0),0))</f>
        <v>0</v>
      </c>
      <c r="E106" s="497">
        <f t="shared" si="38"/>
        <v>0</v>
      </c>
      <c r="F106" s="497">
        <f t="shared" si="51"/>
        <v>1800000</v>
      </c>
      <c r="G106" s="493"/>
      <c r="H106" s="493"/>
      <c r="I106" s="489"/>
      <c r="J106" s="492">
        <v>102</v>
      </c>
      <c r="K106" s="492">
        <v>9</v>
      </c>
      <c r="L106" s="497">
        <f>IF(('Comparison Calculator'!$E$11-K106)&gt;=0,0,IFERROR(-PPMT($P$66/12,(J106-60),($F$1-5)*12,$P$65),0))</f>
        <v>0</v>
      </c>
      <c r="M106" s="497">
        <f>IF(('Comparison Calculator'!$E$11-K106)&gt;=0,$C$1*$P$66/12,IFERROR(-IPMT($P$66/12,(J106-60),($F$1-5)*12,$P$65,0),0))</f>
        <v>0</v>
      </c>
      <c r="N106" s="497">
        <f t="shared" si="39"/>
        <v>0</v>
      </c>
      <c r="O106" s="497">
        <f t="shared" si="52"/>
        <v>1800000</v>
      </c>
      <c r="P106" s="493"/>
      <c r="Q106" s="493"/>
      <c r="S106" s="492">
        <v>102</v>
      </c>
      <c r="T106" s="492">
        <v>9</v>
      </c>
      <c r="U106" s="497">
        <f>IF(('Comparison Calculator'!$E$11-T106)&gt;=0,0,IFERROR(-PPMT($Y$66/12,(S106-60),($F$1-5)*12,$Y$65),0))</f>
        <v>0</v>
      </c>
      <c r="V106" s="497">
        <f>IF(('Comparison Calculator'!$E$11-T106)&gt;=0,$C$1*$Y$66/12,IFERROR(-IPMT($Y$66/12,(S106-60),($F$1-5)*12,$Y$65,0),0))</f>
        <v>0</v>
      </c>
      <c r="W106" s="497">
        <f t="shared" si="40"/>
        <v>0</v>
      </c>
      <c r="X106" s="497">
        <f t="shared" si="53"/>
        <v>1800000</v>
      </c>
      <c r="Y106" s="493"/>
      <c r="Z106" s="493"/>
      <c r="AB106" s="492">
        <v>102</v>
      </c>
      <c r="AC106" s="492">
        <v>9</v>
      </c>
      <c r="AD106" s="497">
        <f>IF(('Comparison Calculator'!$E$11-AC106)&gt;=0,0,IFERROR(-PPMT($AH$66/12,(AB106-60),($F$1-5)*12,$AH$65),0))</f>
        <v>0</v>
      </c>
      <c r="AE106" s="497">
        <f>IF(('Comparison Calculator'!$E$11-AC106)&gt;=0,$C$1*$AH$66/12,IFERROR(-IPMT($AH$66/12,(AB106-60),($F$1-5)*12,$AH$65,0),0))</f>
        <v>0</v>
      </c>
      <c r="AF106" s="497">
        <f t="shared" si="41"/>
        <v>0</v>
      </c>
      <c r="AG106" s="497">
        <f t="shared" si="54"/>
        <v>1800000</v>
      </c>
      <c r="AH106" s="493"/>
      <c r="AI106" s="493"/>
      <c r="AK106" s="492">
        <v>102</v>
      </c>
      <c r="AL106" s="492">
        <v>9</v>
      </c>
      <c r="AM106" s="497">
        <f>IF(('Comparison Calculator'!$E$11-AL106)&gt;=0,0,IFERROR(-PPMT($AQ$66/12,(AK106-60),($F$1-5)*12,$AQ$65),0))</f>
        <v>0</v>
      </c>
      <c r="AN106" s="497">
        <f>IF(('Comparison Calculator'!$E$11-AL106)&gt;=0,$C$1*$AQ$66/12,IFERROR(-IPMT($AQ$66/12,(AK106-60),($F$1-5)*12,$AQ$65,0),0))</f>
        <v>0</v>
      </c>
      <c r="AO106" s="497">
        <f t="shared" si="42"/>
        <v>0</v>
      </c>
      <c r="AP106" s="497">
        <f t="shared" si="55"/>
        <v>1800000</v>
      </c>
      <c r="AQ106" s="493"/>
      <c r="AR106" s="493"/>
      <c r="AT106" s="492">
        <v>102</v>
      </c>
      <c r="AU106" s="492">
        <v>9</v>
      </c>
      <c r="AV106" s="497">
        <f>IF(('Comparison Calculator'!$E$11-AU106)&gt;=0,0,IFERROR(-PPMT($AZ$66/12,(AT106-60),($F$1-5)*12,$AZ$65),0))</f>
        <v>0</v>
      </c>
      <c r="AW106" s="497">
        <f>IF(('Comparison Calculator'!$E$11-AU106)&gt;=0,$C$1*$AZ$66/12,IFERROR(-IPMT($AZ$66/12,(AT106-60),($F$1-5)*12,$AZ$65,0),0))</f>
        <v>0</v>
      </c>
      <c r="AX106" s="497">
        <f t="shared" si="43"/>
        <v>0</v>
      </c>
      <c r="AY106" s="497">
        <f t="shared" si="56"/>
        <v>1800000</v>
      </c>
      <c r="AZ106" s="493"/>
      <c r="BA106" s="493"/>
      <c r="BC106" s="492">
        <v>102</v>
      </c>
      <c r="BD106" s="492">
        <v>9</v>
      </c>
      <c r="BE106" s="497">
        <f>IF(('Comparison Calculator'!$E$11-BD106)&gt;=0,0,IFERROR(-PPMT($BI$66/12,(BC106-60),($F$1-5)*12,$BI$65),0))</f>
        <v>0</v>
      </c>
      <c r="BF106" s="497">
        <f>IF(('Comparison Calculator'!$E$11-BD106)&gt;=0,$C$1*$BI$66/12,IFERROR(-IPMT($BI$66/12,(BC106-60),($F$1-5)*12,$BI$65,0),0))</f>
        <v>0</v>
      </c>
      <c r="BG106" s="497">
        <f t="shared" si="44"/>
        <v>0</v>
      </c>
      <c r="BH106" s="497">
        <f t="shared" si="57"/>
        <v>1800000</v>
      </c>
      <c r="BI106" s="493"/>
      <c r="BJ106" s="493"/>
      <c r="BK106" s="492">
        <v>102</v>
      </c>
      <c r="BL106" s="492">
        <v>9</v>
      </c>
      <c r="BM106" s="497">
        <f>IF(('Comparison Calculator'!$E$11-BL106)&gt;=0,0,IFERROR(-PPMT($BQ$66/12,(BK106-60),($F$1-5)*12,$BQ$65),0))</f>
        <v>0</v>
      </c>
      <c r="BN106" s="497">
        <f>IF(('Comparison Calculator'!$E$11-BL106)&gt;=0,$C$1*$BQ$66/12,IFERROR(-IPMT($BQ$66/12,(BK106-60),($F$1-5)*12,$BQ$65,0),0))</f>
        <v>0</v>
      </c>
      <c r="BO106" s="497">
        <f t="shared" si="45"/>
        <v>0</v>
      </c>
      <c r="BP106" s="497">
        <f t="shared" si="58"/>
        <v>1800000</v>
      </c>
      <c r="BQ106" s="493"/>
      <c r="BR106" s="493"/>
      <c r="BT106" s="492">
        <v>102</v>
      </c>
      <c r="BU106" s="492">
        <v>9</v>
      </c>
      <c r="BV106" s="497">
        <f>IF(('Comparison Calculator'!$E$11-BU106)&gt;=0,0,IFERROR(-PPMT($BZ$66/12,(BT106-60),($F$1-5)*12,$BZ$65),0))</f>
        <v>0</v>
      </c>
      <c r="BW106" s="497">
        <f>IF(('Comparison Calculator'!$E$11-BU106)&gt;=0,$C$1*$BZ$66/12,IFERROR(-IPMT($BZ$66/12,(BT106-60),($F$1-5)*12,$BZ$65,0),0))</f>
        <v>0</v>
      </c>
      <c r="BX106" s="497">
        <f t="shared" si="46"/>
        <v>0</v>
      </c>
      <c r="BY106" s="497">
        <f t="shared" si="59"/>
        <v>1800000</v>
      </c>
      <c r="BZ106" s="493"/>
      <c r="CA106" s="493"/>
      <c r="CC106" s="492">
        <v>102</v>
      </c>
      <c r="CD106" s="492">
        <v>9</v>
      </c>
      <c r="CE106" s="497">
        <f>IF(('Comparison Calculator'!$E$11-CD106)&gt;=0,0,IFERROR(-PPMT($CI$66/12,(CC106-60),($F$1-5)*12,$CI$65),0))</f>
        <v>0</v>
      </c>
      <c r="CF106" s="497">
        <f>IF(('Comparison Calculator'!$E$11-CD106)&gt;=0,$C$1*$CI$66/12,IFERROR(-IPMT($CI$66/12,(CC106-60),($F$1-5)*12,$CI$65,0),0))</f>
        <v>0</v>
      </c>
      <c r="CG106" s="497">
        <f t="shared" si="47"/>
        <v>0</v>
      </c>
      <c r="CH106" s="497">
        <f t="shared" si="60"/>
        <v>1800000</v>
      </c>
      <c r="CI106" s="493"/>
      <c r="CJ106" s="493"/>
      <c r="CL106" s="492">
        <v>102</v>
      </c>
      <c r="CM106" s="492">
        <v>9</v>
      </c>
      <c r="CN106" s="497">
        <f>IF(('Comparison Calculator'!$E$11-CM106)&gt;=0,0,IFERROR(-PPMT($CR$66/12,(CL106-60),($F$1-5)*12,$CR$65),0))</f>
        <v>0</v>
      </c>
      <c r="CO106" s="497">
        <f>IF(('Comparison Calculator'!$E$11-CM106)&gt;=0,$C$1*$CI$66/12,IFERROR(-IPMT($CI$66/12,(CL106-60),($F$1-5)*12,$CI$65,0),0))</f>
        <v>0</v>
      </c>
      <c r="CP106" s="497">
        <f t="shared" si="48"/>
        <v>0</v>
      </c>
      <c r="CQ106" s="497">
        <f t="shared" si="61"/>
        <v>1800000</v>
      </c>
      <c r="CR106" s="493"/>
      <c r="CS106" s="493"/>
      <c r="CU106" s="492">
        <v>102</v>
      </c>
      <c r="CV106" s="492">
        <v>9</v>
      </c>
      <c r="CW106" s="497">
        <f>IF(('Comparison Calculator'!$E$11-CV106)&gt;=0,0,IFERROR(-PPMT($DA$66/12,(CU106-60),($F$1-5)*12,$DA$65),0))</f>
        <v>0</v>
      </c>
      <c r="CX106" s="497">
        <f>IF(('Comparison Calculator'!$E$11-CV106)&gt;=0,$C$1*$DA$66/12,IFERROR(-IPMT($DA$66/12,(CU106-60),($F$1-5)*12,$DA$65,0),0))</f>
        <v>0</v>
      </c>
      <c r="CY106" s="497">
        <f t="shared" si="49"/>
        <v>0</v>
      </c>
      <c r="CZ106" s="497">
        <f t="shared" si="62"/>
        <v>1800000</v>
      </c>
      <c r="DA106" s="493"/>
      <c r="DB106" s="493"/>
      <c r="DD106" s="492">
        <v>102</v>
      </c>
      <c r="DE106" s="492">
        <v>9</v>
      </c>
      <c r="DF106" s="497">
        <f>IF(('Comparison Calculator'!$E$11-DE106)&gt;=0,0,IFERROR(-PPMT($DJ$66/12,(DD106-60),($F$1-5)*12,$DJ$65),0))</f>
        <v>0</v>
      </c>
      <c r="DG106" s="497">
        <f>IF(('Comparison Calculator'!$E$11-DE106)&gt;=0,$C$1*$DJ$66/12,IFERROR(-IPMT($DJ$66/12,(DD106-60),($F$1-5)*12,$DJ$65,0),0))</f>
        <v>0</v>
      </c>
      <c r="DH106" s="497">
        <f t="shared" si="50"/>
        <v>0</v>
      </c>
      <c r="DI106" s="497">
        <f t="shared" si="63"/>
        <v>1800000</v>
      </c>
      <c r="DJ106" s="493"/>
      <c r="DK106" s="493"/>
    </row>
    <row r="107" spans="1:115">
      <c r="A107" s="492">
        <v>103</v>
      </c>
      <c r="B107" s="492">
        <v>9</v>
      </c>
      <c r="C107" s="497">
        <f>IF(('Comparison Calculator'!$E$11-B107)&gt;=0,0,IFERROR(-PPMT($G$66/12,(A107-60),($F$1-5)*12,$G$65),0))</f>
        <v>0</v>
      </c>
      <c r="D107" s="497">
        <f>IF(('Comparison Calculator'!$E$11-B107)&gt;=0,$C$1*$G$66/12,IFERROR(-IPMT($G$66/12,(A107-60),($F$1-5)*12,$G$65,0),0))</f>
        <v>0</v>
      </c>
      <c r="E107" s="497">
        <f t="shared" si="38"/>
        <v>0</v>
      </c>
      <c r="F107" s="497">
        <f t="shared" si="51"/>
        <v>1800000</v>
      </c>
      <c r="G107" s="493"/>
      <c r="H107" s="493"/>
      <c r="I107" s="489"/>
      <c r="J107" s="492">
        <v>103</v>
      </c>
      <c r="K107" s="492">
        <v>9</v>
      </c>
      <c r="L107" s="497">
        <f>IF(('Comparison Calculator'!$E$11-K107)&gt;=0,0,IFERROR(-PPMT($P$66/12,(J107-60),($F$1-5)*12,$P$65),0))</f>
        <v>0</v>
      </c>
      <c r="M107" s="497">
        <f>IF(('Comparison Calculator'!$E$11-K107)&gt;=0,$C$1*$P$66/12,IFERROR(-IPMT($P$66/12,(J107-60),($F$1-5)*12,$P$65,0),0))</f>
        <v>0</v>
      </c>
      <c r="N107" s="497">
        <f t="shared" si="39"/>
        <v>0</v>
      </c>
      <c r="O107" s="497">
        <f t="shared" si="52"/>
        <v>1800000</v>
      </c>
      <c r="P107" s="493"/>
      <c r="Q107" s="493"/>
      <c r="S107" s="492">
        <v>103</v>
      </c>
      <c r="T107" s="492">
        <v>9</v>
      </c>
      <c r="U107" s="497">
        <f>IF(('Comparison Calculator'!$E$11-T107)&gt;=0,0,IFERROR(-PPMT($Y$66/12,(S107-60),($F$1-5)*12,$Y$65),0))</f>
        <v>0</v>
      </c>
      <c r="V107" s="497">
        <f>IF(('Comparison Calculator'!$E$11-T107)&gt;=0,$C$1*$Y$66/12,IFERROR(-IPMT($Y$66/12,(S107-60),($F$1-5)*12,$Y$65,0),0))</f>
        <v>0</v>
      </c>
      <c r="W107" s="497">
        <f t="shared" si="40"/>
        <v>0</v>
      </c>
      <c r="X107" s="497">
        <f t="shared" si="53"/>
        <v>1800000</v>
      </c>
      <c r="Y107" s="493"/>
      <c r="Z107" s="493"/>
      <c r="AB107" s="492">
        <v>103</v>
      </c>
      <c r="AC107" s="492">
        <v>9</v>
      </c>
      <c r="AD107" s="497">
        <f>IF(('Comparison Calculator'!$E$11-AC107)&gt;=0,0,IFERROR(-PPMT($AH$66/12,(AB107-60),($F$1-5)*12,$AH$65),0))</f>
        <v>0</v>
      </c>
      <c r="AE107" s="497">
        <f>IF(('Comparison Calculator'!$E$11-AC107)&gt;=0,$C$1*$AH$66/12,IFERROR(-IPMT($AH$66/12,(AB107-60),($F$1-5)*12,$AH$65,0),0))</f>
        <v>0</v>
      </c>
      <c r="AF107" s="497">
        <f t="shared" si="41"/>
        <v>0</v>
      </c>
      <c r="AG107" s="497">
        <f t="shared" si="54"/>
        <v>1800000</v>
      </c>
      <c r="AH107" s="493"/>
      <c r="AI107" s="493"/>
      <c r="AK107" s="492">
        <v>103</v>
      </c>
      <c r="AL107" s="492">
        <v>9</v>
      </c>
      <c r="AM107" s="497">
        <f>IF(('Comparison Calculator'!$E$11-AL107)&gt;=0,0,IFERROR(-PPMT($AQ$66/12,(AK107-60),($F$1-5)*12,$AQ$65),0))</f>
        <v>0</v>
      </c>
      <c r="AN107" s="497">
        <f>IF(('Comparison Calculator'!$E$11-AL107)&gt;=0,$C$1*$AQ$66/12,IFERROR(-IPMT($AQ$66/12,(AK107-60),($F$1-5)*12,$AQ$65,0),0))</f>
        <v>0</v>
      </c>
      <c r="AO107" s="497">
        <f t="shared" si="42"/>
        <v>0</v>
      </c>
      <c r="AP107" s="497">
        <f t="shared" si="55"/>
        <v>1800000</v>
      </c>
      <c r="AQ107" s="493"/>
      <c r="AR107" s="493"/>
      <c r="AT107" s="492">
        <v>103</v>
      </c>
      <c r="AU107" s="492">
        <v>9</v>
      </c>
      <c r="AV107" s="497">
        <f>IF(('Comparison Calculator'!$E$11-AU107)&gt;=0,0,IFERROR(-PPMT($AZ$66/12,(AT107-60),($F$1-5)*12,$AZ$65),0))</f>
        <v>0</v>
      </c>
      <c r="AW107" s="497">
        <f>IF(('Comparison Calculator'!$E$11-AU107)&gt;=0,$C$1*$AZ$66/12,IFERROR(-IPMT($AZ$66/12,(AT107-60),($F$1-5)*12,$AZ$65,0),0))</f>
        <v>0</v>
      </c>
      <c r="AX107" s="497">
        <f t="shared" si="43"/>
        <v>0</v>
      </c>
      <c r="AY107" s="497">
        <f t="shared" si="56"/>
        <v>1800000</v>
      </c>
      <c r="AZ107" s="493"/>
      <c r="BA107" s="493"/>
      <c r="BC107" s="492">
        <v>103</v>
      </c>
      <c r="BD107" s="492">
        <v>9</v>
      </c>
      <c r="BE107" s="497">
        <f>IF(('Comparison Calculator'!$E$11-BD107)&gt;=0,0,IFERROR(-PPMT($BI$66/12,(BC107-60),($F$1-5)*12,$BI$65),0))</f>
        <v>0</v>
      </c>
      <c r="BF107" s="497">
        <f>IF(('Comparison Calculator'!$E$11-BD107)&gt;=0,$C$1*$BI$66/12,IFERROR(-IPMT($BI$66/12,(BC107-60),($F$1-5)*12,$BI$65,0),0))</f>
        <v>0</v>
      </c>
      <c r="BG107" s="497">
        <f t="shared" si="44"/>
        <v>0</v>
      </c>
      <c r="BH107" s="497">
        <f t="shared" si="57"/>
        <v>1800000</v>
      </c>
      <c r="BI107" s="493"/>
      <c r="BJ107" s="493"/>
      <c r="BK107" s="492">
        <v>103</v>
      </c>
      <c r="BL107" s="492">
        <v>9</v>
      </c>
      <c r="BM107" s="497">
        <f>IF(('Comparison Calculator'!$E$11-BL107)&gt;=0,0,IFERROR(-PPMT($BQ$66/12,(BK107-60),($F$1-5)*12,$BQ$65),0))</f>
        <v>0</v>
      </c>
      <c r="BN107" s="497">
        <f>IF(('Comparison Calculator'!$E$11-BL107)&gt;=0,$C$1*$BQ$66/12,IFERROR(-IPMT($BQ$66/12,(BK107-60),($F$1-5)*12,$BQ$65,0),0))</f>
        <v>0</v>
      </c>
      <c r="BO107" s="497">
        <f t="shared" si="45"/>
        <v>0</v>
      </c>
      <c r="BP107" s="497">
        <f t="shared" si="58"/>
        <v>1800000</v>
      </c>
      <c r="BQ107" s="493"/>
      <c r="BR107" s="493"/>
      <c r="BT107" s="492">
        <v>103</v>
      </c>
      <c r="BU107" s="492">
        <v>9</v>
      </c>
      <c r="BV107" s="497">
        <f>IF(('Comparison Calculator'!$E$11-BU107)&gt;=0,0,IFERROR(-PPMT($BZ$66/12,(BT107-60),($F$1-5)*12,$BZ$65),0))</f>
        <v>0</v>
      </c>
      <c r="BW107" s="497">
        <f>IF(('Comparison Calculator'!$E$11-BU107)&gt;=0,$C$1*$BZ$66/12,IFERROR(-IPMT($BZ$66/12,(BT107-60),($F$1-5)*12,$BZ$65,0),0))</f>
        <v>0</v>
      </c>
      <c r="BX107" s="497">
        <f t="shared" si="46"/>
        <v>0</v>
      </c>
      <c r="BY107" s="497">
        <f t="shared" si="59"/>
        <v>1800000</v>
      </c>
      <c r="BZ107" s="493"/>
      <c r="CA107" s="493"/>
      <c r="CC107" s="492">
        <v>103</v>
      </c>
      <c r="CD107" s="492">
        <v>9</v>
      </c>
      <c r="CE107" s="497">
        <f>IF(('Comparison Calculator'!$E$11-CD107)&gt;=0,0,IFERROR(-PPMT($CI$66/12,(CC107-60),($F$1-5)*12,$CI$65),0))</f>
        <v>0</v>
      </c>
      <c r="CF107" s="497">
        <f>IF(('Comparison Calculator'!$E$11-CD107)&gt;=0,$C$1*$CI$66/12,IFERROR(-IPMT($CI$66/12,(CC107-60),($F$1-5)*12,$CI$65,0),0))</f>
        <v>0</v>
      </c>
      <c r="CG107" s="497">
        <f t="shared" si="47"/>
        <v>0</v>
      </c>
      <c r="CH107" s="497">
        <f t="shared" si="60"/>
        <v>1800000</v>
      </c>
      <c r="CI107" s="493"/>
      <c r="CJ107" s="493"/>
      <c r="CL107" s="492">
        <v>103</v>
      </c>
      <c r="CM107" s="492">
        <v>9</v>
      </c>
      <c r="CN107" s="497">
        <f>IF(('Comparison Calculator'!$E$11-CM107)&gt;=0,0,IFERROR(-PPMT($CR$66/12,(CL107-60),($F$1-5)*12,$CR$65),0))</f>
        <v>0</v>
      </c>
      <c r="CO107" s="497">
        <f>IF(('Comparison Calculator'!$E$11-CM107)&gt;=0,$C$1*$CI$66/12,IFERROR(-IPMT($CI$66/12,(CL107-60),($F$1-5)*12,$CI$65,0),0))</f>
        <v>0</v>
      </c>
      <c r="CP107" s="497">
        <f t="shared" si="48"/>
        <v>0</v>
      </c>
      <c r="CQ107" s="497">
        <f t="shared" si="61"/>
        <v>1800000</v>
      </c>
      <c r="CR107" s="493"/>
      <c r="CS107" s="493"/>
      <c r="CU107" s="492">
        <v>103</v>
      </c>
      <c r="CV107" s="492">
        <v>9</v>
      </c>
      <c r="CW107" s="497">
        <f>IF(('Comparison Calculator'!$E$11-CV107)&gt;=0,0,IFERROR(-PPMT($DA$66/12,(CU107-60),($F$1-5)*12,$DA$65),0))</f>
        <v>0</v>
      </c>
      <c r="CX107" s="497">
        <f>IF(('Comparison Calculator'!$E$11-CV107)&gt;=0,$C$1*$DA$66/12,IFERROR(-IPMT($DA$66/12,(CU107-60),($F$1-5)*12,$DA$65,0),0))</f>
        <v>0</v>
      </c>
      <c r="CY107" s="497">
        <f t="shared" si="49"/>
        <v>0</v>
      </c>
      <c r="CZ107" s="497">
        <f t="shared" si="62"/>
        <v>1800000</v>
      </c>
      <c r="DA107" s="493"/>
      <c r="DB107" s="493"/>
      <c r="DD107" s="492">
        <v>103</v>
      </c>
      <c r="DE107" s="492">
        <v>9</v>
      </c>
      <c r="DF107" s="497">
        <f>IF(('Comparison Calculator'!$E$11-DE107)&gt;=0,0,IFERROR(-PPMT($DJ$66/12,(DD107-60),($F$1-5)*12,$DJ$65),0))</f>
        <v>0</v>
      </c>
      <c r="DG107" s="497">
        <f>IF(('Comparison Calculator'!$E$11-DE107)&gt;=0,$C$1*$DJ$66/12,IFERROR(-IPMT($DJ$66/12,(DD107-60),($F$1-5)*12,$DJ$65,0),0))</f>
        <v>0</v>
      </c>
      <c r="DH107" s="497">
        <f t="shared" si="50"/>
        <v>0</v>
      </c>
      <c r="DI107" s="497">
        <f t="shared" si="63"/>
        <v>1800000</v>
      </c>
      <c r="DJ107" s="493"/>
      <c r="DK107" s="493"/>
    </row>
    <row r="108" spans="1:115">
      <c r="A108" s="492">
        <v>104</v>
      </c>
      <c r="B108" s="492">
        <v>9</v>
      </c>
      <c r="C108" s="497">
        <f>IF(('Comparison Calculator'!$E$11-B108)&gt;=0,0,IFERROR(-PPMT($G$66/12,(A108-60),($F$1-5)*12,$G$65),0))</f>
        <v>0</v>
      </c>
      <c r="D108" s="497">
        <f>IF(('Comparison Calculator'!$E$11-B108)&gt;=0,$C$1*$G$66/12,IFERROR(-IPMT($G$66/12,(A108-60),($F$1-5)*12,$G$65,0),0))</f>
        <v>0</v>
      </c>
      <c r="E108" s="497">
        <f t="shared" si="38"/>
        <v>0</v>
      </c>
      <c r="F108" s="497">
        <f t="shared" si="51"/>
        <v>1800000</v>
      </c>
      <c r="G108" s="493"/>
      <c r="H108" s="493"/>
      <c r="I108" s="489"/>
      <c r="J108" s="492">
        <v>104</v>
      </c>
      <c r="K108" s="492">
        <v>9</v>
      </c>
      <c r="L108" s="497">
        <f>IF(('Comparison Calculator'!$E$11-K108)&gt;=0,0,IFERROR(-PPMT($P$66/12,(J108-60),($F$1-5)*12,$P$65),0))</f>
        <v>0</v>
      </c>
      <c r="M108" s="497">
        <f>IF(('Comparison Calculator'!$E$11-K108)&gt;=0,$C$1*$P$66/12,IFERROR(-IPMT($P$66/12,(J108-60),($F$1-5)*12,$P$65,0),0))</f>
        <v>0</v>
      </c>
      <c r="N108" s="497">
        <f t="shared" si="39"/>
        <v>0</v>
      </c>
      <c r="O108" s="497">
        <f t="shared" si="52"/>
        <v>1800000</v>
      </c>
      <c r="P108" s="493"/>
      <c r="Q108" s="493"/>
      <c r="S108" s="492">
        <v>104</v>
      </c>
      <c r="T108" s="492">
        <v>9</v>
      </c>
      <c r="U108" s="497">
        <f>IF(('Comparison Calculator'!$E$11-T108)&gt;=0,0,IFERROR(-PPMT($Y$66/12,(S108-60),($F$1-5)*12,$Y$65),0))</f>
        <v>0</v>
      </c>
      <c r="V108" s="497">
        <f>IF(('Comparison Calculator'!$E$11-T108)&gt;=0,$C$1*$Y$66/12,IFERROR(-IPMT($Y$66/12,(S108-60),($F$1-5)*12,$Y$65,0),0))</f>
        <v>0</v>
      </c>
      <c r="W108" s="497">
        <f t="shared" si="40"/>
        <v>0</v>
      </c>
      <c r="X108" s="497">
        <f t="shared" si="53"/>
        <v>1800000</v>
      </c>
      <c r="Y108" s="493"/>
      <c r="Z108" s="493"/>
      <c r="AB108" s="492">
        <v>104</v>
      </c>
      <c r="AC108" s="492">
        <v>9</v>
      </c>
      <c r="AD108" s="497">
        <f>IF(('Comparison Calculator'!$E$11-AC108)&gt;=0,0,IFERROR(-PPMT($AH$66/12,(AB108-60),($F$1-5)*12,$AH$65),0))</f>
        <v>0</v>
      </c>
      <c r="AE108" s="497">
        <f>IF(('Comparison Calculator'!$E$11-AC108)&gt;=0,$C$1*$AH$66/12,IFERROR(-IPMT($AH$66/12,(AB108-60),($F$1-5)*12,$AH$65,0),0))</f>
        <v>0</v>
      </c>
      <c r="AF108" s="497">
        <f t="shared" si="41"/>
        <v>0</v>
      </c>
      <c r="AG108" s="497">
        <f t="shared" si="54"/>
        <v>1800000</v>
      </c>
      <c r="AH108" s="493"/>
      <c r="AI108" s="493"/>
      <c r="AK108" s="492">
        <v>104</v>
      </c>
      <c r="AL108" s="492">
        <v>9</v>
      </c>
      <c r="AM108" s="497">
        <f>IF(('Comparison Calculator'!$E$11-AL108)&gt;=0,0,IFERROR(-PPMT($AQ$66/12,(AK108-60),($F$1-5)*12,$AQ$65),0))</f>
        <v>0</v>
      </c>
      <c r="AN108" s="497">
        <f>IF(('Comparison Calculator'!$E$11-AL108)&gt;=0,$C$1*$AQ$66/12,IFERROR(-IPMT($AQ$66/12,(AK108-60),($F$1-5)*12,$AQ$65,0),0))</f>
        <v>0</v>
      </c>
      <c r="AO108" s="497">
        <f t="shared" si="42"/>
        <v>0</v>
      </c>
      <c r="AP108" s="497">
        <f t="shared" si="55"/>
        <v>1800000</v>
      </c>
      <c r="AQ108" s="493"/>
      <c r="AR108" s="493"/>
      <c r="AT108" s="492">
        <v>104</v>
      </c>
      <c r="AU108" s="492">
        <v>9</v>
      </c>
      <c r="AV108" s="497">
        <f>IF(('Comparison Calculator'!$E$11-AU108)&gt;=0,0,IFERROR(-PPMT($AZ$66/12,(AT108-60),($F$1-5)*12,$AZ$65),0))</f>
        <v>0</v>
      </c>
      <c r="AW108" s="497">
        <f>IF(('Comparison Calculator'!$E$11-AU108)&gt;=0,$C$1*$AZ$66/12,IFERROR(-IPMT($AZ$66/12,(AT108-60),($F$1-5)*12,$AZ$65,0),0))</f>
        <v>0</v>
      </c>
      <c r="AX108" s="497">
        <f t="shared" si="43"/>
        <v>0</v>
      </c>
      <c r="AY108" s="497">
        <f t="shared" si="56"/>
        <v>1800000</v>
      </c>
      <c r="AZ108" s="493"/>
      <c r="BA108" s="493"/>
      <c r="BC108" s="492">
        <v>104</v>
      </c>
      <c r="BD108" s="492">
        <v>9</v>
      </c>
      <c r="BE108" s="497">
        <f>IF(('Comparison Calculator'!$E$11-BD108)&gt;=0,0,IFERROR(-PPMT($BI$66/12,(BC108-60),($F$1-5)*12,$BI$65),0))</f>
        <v>0</v>
      </c>
      <c r="BF108" s="497">
        <f>IF(('Comparison Calculator'!$E$11-BD108)&gt;=0,$C$1*$BI$66/12,IFERROR(-IPMT($BI$66/12,(BC108-60),($F$1-5)*12,$BI$65,0),0))</f>
        <v>0</v>
      </c>
      <c r="BG108" s="497">
        <f t="shared" si="44"/>
        <v>0</v>
      </c>
      <c r="BH108" s="497">
        <f t="shared" si="57"/>
        <v>1800000</v>
      </c>
      <c r="BI108" s="493"/>
      <c r="BJ108" s="493"/>
      <c r="BK108" s="492">
        <v>104</v>
      </c>
      <c r="BL108" s="492">
        <v>9</v>
      </c>
      <c r="BM108" s="497">
        <f>IF(('Comparison Calculator'!$E$11-BL108)&gt;=0,0,IFERROR(-PPMT($BQ$66/12,(BK108-60),($F$1-5)*12,$BQ$65),0))</f>
        <v>0</v>
      </c>
      <c r="BN108" s="497">
        <f>IF(('Comparison Calculator'!$E$11-BL108)&gt;=0,$C$1*$BQ$66/12,IFERROR(-IPMT($BQ$66/12,(BK108-60),($F$1-5)*12,$BQ$65,0),0))</f>
        <v>0</v>
      </c>
      <c r="BO108" s="497">
        <f t="shared" si="45"/>
        <v>0</v>
      </c>
      <c r="BP108" s="497">
        <f t="shared" si="58"/>
        <v>1800000</v>
      </c>
      <c r="BQ108" s="493"/>
      <c r="BR108" s="493"/>
      <c r="BT108" s="492">
        <v>104</v>
      </c>
      <c r="BU108" s="492">
        <v>9</v>
      </c>
      <c r="BV108" s="497">
        <f>IF(('Comparison Calculator'!$E$11-BU108)&gt;=0,0,IFERROR(-PPMT($BZ$66/12,(BT108-60),($F$1-5)*12,$BZ$65),0))</f>
        <v>0</v>
      </c>
      <c r="BW108" s="497">
        <f>IF(('Comparison Calculator'!$E$11-BU108)&gt;=0,$C$1*$BZ$66/12,IFERROR(-IPMT($BZ$66/12,(BT108-60),($F$1-5)*12,$BZ$65,0),0))</f>
        <v>0</v>
      </c>
      <c r="BX108" s="497">
        <f t="shared" si="46"/>
        <v>0</v>
      </c>
      <c r="BY108" s="497">
        <f t="shared" si="59"/>
        <v>1800000</v>
      </c>
      <c r="BZ108" s="493"/>
      <c r="CA108" s="493"/>
      <c r="CC108" s="492">
        <v>104</v>
      </c>
      <c r="CD108" s="492">
        <v>9</v>
      </c>
      <c r="CE108" s="497">
        <f>IF(('Comparison Calculator'!$E$11-CD108)&gt;=0,0,IFERROR(-PPMT($CI$66/12,(CC108-60),($F$1-5)*12,$CI$65),0))</f>
        <v>0</v>
      </c>
      <c r="CF108" s="497">
        <f>IF(('Comparison Calculator'!$E$11-CD108)&gt;=0,$C$1*$CI$66/12,IFERROR(-IPMT($CI$66/12,(CC108-60),($F$1-5)*12,$CI$65,0),0))</f>
        <v>0</v>
      </c>
      <c r="CG108" s="497">
        <f t="shared" si="47"/>
        <v>0</v>
      </c>
      <c r="CH108" s="497">
        <f t="shared" si="60"/>
        <v>1800000</v>
      </c>
      <c r="CI108" s="493"/>
      <c r="CJ108" s="493"/>
      <c r="CL108" s="492">
        <v>104</v>
      </c>
      <c r="CM108" s="492">
        <v>9</v>
      </c>
      <c r="CN108" s="497">
        <f>IF(('Comparison Calculator'!$E$11-CM108)&gt;=0,0,IFERROR(-PPMT($CR$66/12,(CL108-60),($F$1-5)*12,$CR$65),0))</f>
        <v>0</v>
      </c>
      <c r="CO108" s="497">
        <f>IF(('Comparison Calculator'!$E$11-CM108)&gt;=0,$C$1*$CI$66/12,IFERROR(-IPMT($CI$66/12,(CL108-60),($F$1-5)*12,$CI$65,0),0))</f>
        <v>0</v>
      </c>
      <c r="CP108" s="497">
        <f t="shared" si="48"/>
        <v>0</v>
      </c>
      <c r="CQ108" s="497">
        <f t="shared" si="61"/>
        <v>1800000</v>
      </c>
      <c r="CR108" s="493"/>
      <c r="CS108" s="493"/>
      <c r="CU108" s="492">
        <v>104</v>
      </c>
      <c r="CV108" s="492">
        <v>9</v>
      </c>
      <c r="CW108" s="497">
        <f>IF(('Comparison Calculator'!$E$11-CV108)&gt;=0,0,IFERROR(-PPMT($DA$66/12,(CU108-60),($F$1-5)*12,$DA$65),0))</f>
        <v>0</v>
      </c>
      <c r="CX108" s="497">
        <f>IF(('Comparison Calculator'!$E$11-CV108)&gt;=0,$C$1*$DA$66/12,IFERROR(-IPMT($DA$66/12,(CU108-60),($F$1-5)*12,$DA$65,0),0))</f>
        <v>0</v>
      </c>
      <c r="CY108" s="497">
        <f t="shared" si="49"/>
        <v>0</v>
      </c>
      <c r="CZ108" s="497">
        <f t="shared" si="62"/>
        <v>1800000</v>
      </c>
      <c r="DA108" s="493"/>
      <c r="DB108" s="493"/>
      <c r="DD108" s="492">
        <v>104</v>
      </c>
      <c r="DE108" s="492">
        <v>9</v>
      </c>
      <c r="DF108" s="497">
        <f>IF(('Comparison Calculator'!$E$11-DE108)&gt;=0,0,IFERROR(-PPMT($DJ$66/12,(DD108-60),($F$1-5)*12,$DJ$65),0))</f>
        <v>0</v>
      </c>
      <c r="DG108" s="497">
        <f>IF(('Comparison Calculator'!$E$11-DE108)&gt;=0,$C$1*$DJ$66/12,IFERROR(-IPMT($DJ$66/12,(DD108-60),($F$1-5)*12,$DJ$65,0),0))</f>
        <v>0</v>
      </c>
      <c r="DH108" s="497">
        <f t="shared" si="50"/>
        <v>0</v>
      </c>
      <c r="DI108" s="497">
        <f t="shared" si="63"/>
        <v>1800000</v>
      </c>
      <c r="DJ108" s="493"/>
      <c r="DK108" s="493"/>
    </row>
    <row r="109" spans="1:115">
      <c r="A109" s="492">
        <v>105</v>
      </c>
      <c r="B109" s="492">
        <v>9</v>
      </c>
      <c r="C109" s="497">
        <f>IF(('Comparison Calculator'!$E$11-B109)&gt;=0,0,IFERROR(-PPMT($G$66/12,(A109-60),($F$1-5)*12,$G$65),0))</f>
        <v>0</v>
      </c>
      <c r="D109" s="497">
        <f>IF(('Comparison Calculator'!$E$11-B109)&gt;=0,$C$1*$G$66/12,IFERROR(-IPMT($G$66/12,(A109-60),($F$1-5)*12,$G$65,0),0))</f>
        <v>0</v>
      </c>
      <c r="E109" s="497">
        <f t="shared" si="38"/>
        <v>0</v>
      </c>
      <c r="F109" s="497">
        <f t="shared" si="51"/>
        <v>1800000</v>
      </c>
      <c r="G109" s="493"/>
      <c r="H109" s="493"/>
      <c r="I109" s="489"/>
      <c r="J109" s="492">
        <v>105</v>
      </c>
      <c r="K109" s="492">
        <v>9</v>
      </c>
      <c r="L109" s="497">
        <f>IF(('Comparison Calculator'!$E$11-K109)&gt;=0,0,IFERROR(-PPMT($P$66/12,(J109-60),($F$1-5)*12,$P$65),0))</f>
        <v>0</v>
      </c>
      <c r="M109" s="497">
        <f>IF(('Comparison Calculator'!$E$11-K109)&gt;=0,$C$1*$P$66/12,IFERROR(-IPMT($P$66/12,(J109-60),($F$1-5)*12,$P$65,0),0))</f>
        <v>0</v>
      </c>
      <c r="N109" s="497">
        <f t="shared" si="39"/>
        <v>0</v>
      </c>
      <c r="O109" s="497">
        <f t="shared" si="52"/>
        <v>1800000</v>
      </c>
      <c r="P109" s="493"/>
      <c r="Q109" s="493"/>
      <c r="S109" s="492">
        <v>105</v>
      </c>
      <c r="T109" s="492">
        <v>9</v>
      </c>
      <c r="U109" s="497">
        <f>IF(('Comparison Calculator'!$E$11-T109)&gt;=0,0,IFERROR(-PPMT($Y$66/12,(S109-60),($F$1-5)*12,$Y$65),0))</f>
        <v>0</v>
      </c>
      <c r="V109" s="497">
        <f>IF(('Comparison Calculator'!$E$11-T109)&gt;=0,$C$1*$Y$66/12,IFERROR(-IPMT($Y$66/12,(S109-60),($F$1-5)*12,$Y$65,0),0))</f>
        <v>0</v>
      </c>
      <c r="W109" s="497">
        <f t="shared" si="40"/>
        <v>0</v>
      </c>
      <c r="X109" s="497">
        <f t="shared" si="53"/>
        <v>1800000</v>
      </c>
      <c r="Y109" s="493"/>
      <c r="Z109" s="493"/>
      <c r="AB109" s="492">
        <v>105</v>
      </c>
      <c r="AC109" s="492">
        <v>9</v>
      </c>
      <c r="AD109" s="497">
        <f>IF(('Comparison Calculator'!$E$11-AC109)&gt;=0,0,IFERROR(-PPMT($AH$66/12,(AB109-60),($F$1-5)*12,$AH$65),0))</f>
        <v>0</v>
      </c>
      <c r="AE109" s="497">
        <f>IF(('Comparison Calculator'!$E$11-AC109)&gt;=0,$C$1*$AH$66/12,IFERROR(-IPMT($AH$66/12,(AB109-60),($F$1-5)*12,$AH$65,0),0))</f>
        <v>0</v>
      </c>
      <c r="AF109" s="497">
        <f t="shared" si="41"/>
        <v>0</v>
      </c>
      <c r="AG109" s="497">
        <f t="shared" si="54"/>
        <v>1800000</v>
      </c>
      <c r="AH109" s="493"/>
      <c r="AI109" s="493"/>
      <c r="AK109" s="492">
        <v>105</v>
      </c>
      <c r="AL109" s="492">
        <v>9</v>
      </c>
      <c r="AM109" s="497">
        <f>IF(('Comparison Calculator'!$E$11-AL109)&gt;=0,0,IFERROR(-PPMT($AQ$66/12,(AK109-60),($F$1-5)*12,$AQ$65),0))</f>
        <v>0</v>
      </c>
      <c r="AN109" s="497">
        <f>IF(('Comparison Calculator'!$E$11-AL109)&gt;=0,$C$1*$AQ$66/12,IFERROR(-IPMT($AQ$66/12,(AK109-60),($F$1-5)*12,$AQ$65,0),0))</f>
        <v>0</v>
      </c>
      <c r="AO109" s="497">
        <f t="shared" si="42"/>
        <v>0</v>
      </c>
      <c r="AP109" s="497">
        <f t="shared" si="55"/>
        <v>1800000</v>
      </c>
      <c r="AQ109" s="493"/>
      <c r="AR109" s="493"/>
      <c r="AT109" s="492">
        <v>105</v>
      </c>
      <c r="AU109" s="492">
        <v>9</v>
      </c>
      <c r="AV109" s="497">
        <f>IF(('Comparison Calculator'!$E$11-AU109)&gt;=0,0,IFERROR(-PPMT($AZ$66/12,(AT109-60),($F$1-5)*12,$AZ$65),0))</f>
        <v>0</v>
      </c>
      <c r="AW109" s="497">
        <f>IF(('Comparison Calculator'!$E$11-AU109)&gt;=0,$C$1*$AZ$66/12,IFERROR(-IPMT($AZ$66/12,(AT109-60),($F$1-5)*12,$AZ$65,0),0))</f>
        <v>0</v>
      </c>
      <c r="AX109" s="497">
        <f t="shared" si="43"/>
        <v>0</v>
      </c>
      <c r="AY109" s="497">
        <f t="shared" si="56"/>
        <v>1800000</v>
      </c>
      <c r="AZ109" s="493"/>
      <c r="BA109" s="493"/>
      <c r="BC109" s="492">
        <v>105</v>
      </c>
      <c r="BD109" s="492">
        <v>9</v>
      </c>
      <c r="BE109" s="497">
        <f>IF(('Comparison Calculator'!$E$11-BD109)&gt;=0,0,IFERROR(-PPMT($BI$66/12,(BC109-60),($F$1-5)*12,$BI$65),0))</f>
        <v>0</v>
      </c>
      <c r="BF109" s="497">
        <f>IF(('Comparison Calculator'!$E$11-BD109)&gt;=0,$C$1*$BI$66/12,IFERROR(-IPMT($BI$66/12,(BC109-60),($F$1-5)*12,$BI$65,0),0))</f>
        <v>0</v>
      </c>
      <c r="BG109" s="497">
        <f t="shared" si="44"/>
        <v>0</v>
      </c>
      <c r="BH109" s="497">
        <f t="shared" si="57"/>
        <v>1800000</v>
      </c>
      <c r="BI109" s="493"/>
      <c r="BJ109" s="493"/>
      <c r="BK109" s="492">
        <v>105</v>
      </c>
      <c r="BL109" s="492">
        <v>9</v>
      </c>
      <c r="BM109" s="497">
        <f>IF(('Comparison Calculator'!$E$11-BL109)&gt;=0,0,IFERROR(-PPMT($BQ$66/12,(BK109-60),($F$1-5)*12,$BQ$65),0))</f>
        <v>0</v>
      </c>
      <c r="BN109" s="497">
        <f>IF(('Comparison Calculator'!$E$11-BL109)&gt;=0,$C$1*$BQ$66/12,IFERROR(-IPMT($BQ$66/12,(BK109-60),($F$1-5)*12,$BQ$65,0),0))</f>
        <v>0</v>
      </c>
      <c r="BO109" s="497">
        <f t="shared" si="45"/>
        <v>0</v>
      </c>
      <c r="BP109" s="497">
        <f t="shared" si="58"/>
        <v>1800000</v>
      </c>
      <c r="BQ109" s="493"/>
      <c r="BR109" s="493"/>
      <c r="BT109" s="492">
        <v>105</v>
      </c>
      <c r="BU109" s="492">
        <v>9</v>
      </c>
      <c r="BV109" s="497">
        <f>IF(('Comparison Calculator'!$E$11-BU109)&gt;=0,0,IFERROR(-PPMT($BZ$66/12,(BT109-60),($F$1-5)*12,$BZ$65),0))</f>
        <v>0</v>
      </c>
      <c r="BW109" s="497">
        <f>IF(('Comparison Calculator'!$E$11-BU109)&gt;=0,$C$1*$BZ$66/12,IFERROR(-IPMT($BZ$66/12,(BT109-60),($F$1-5)*12,$BZ$65,0),0))</f>
        <v>0</v>
      </c>
      <c r="BX109" s="497">
        <f t="shared" si="46"/>
        <v>0</v>
      </c>
      <c r="BY109" s="497">
        <f t="shared" si="59"/>
        <v>1800000</v>
      </c>
      <c r="BZ109" s="493"/>
      <c r="CA109" s="493"/>
      <c r="CC109" s="492">
        <v>105</v>
      </c>
      <c r="CD109" s="492">
        <v>9</v>
      </c>
      <c r="CE109" s="497">
        <f>IF(('Comparison Calculator'!$E$11-CD109)&gt;=0,0,IFERROR(-PPMT($CI$66/12,(CC109-60),($F$1-5)*12,$CI$65),0))</f>
        <v>0</v>
      </c>
      <c r="CF109" s="497">
        <f>IF(('Comparison Calculator'!$E$11-CD109)&gt;=0,$C$1*$CI$66/12,IFERROR(-IPMT($CI$66/12,(CC109-60),($F$1-5)*12,$CI$65,0),0))</f>
        <v>0</v>
      </c>
      <c r="CG109" s="497">
        <f t="shared" si="47"/>
        <v>0</v>
      </c>
      <c r="CH109" s="497">
        <f t="shared" si="60"/>
        <v>1800000</v>
      </c>
      <c r="CI109" s="493"/>
      <c r="CJ109" s="493"/>
      <c r="CL109" s="492">
        <v>105</v>
      </c>
      <c r="CM109" s="492">
        <v>9</v>
      </c>
      <c r="CN109" s="497">
        <f>IF(('Comparison Calculator'!$E$11-CM109)&gt;=0,0,IFERROR(-PPMT($CR$66/12,(CL109-60),($F$1-5)*12,$CR$65),0))</f>
        <v>0</v>
      </c>
      <c r="CO109" s="497">
        <f>IF(('Comparison Calculator'!$E$11-CM109)&gt;=0,$C$1*$CI$66/12,IFERROR(-IPMT($CI$66/12,(CL109-60),($F$1-5)*12,$CI$65,0),0))</f>
        <v>0</v>
      </c>
      <c r="CP109" s="497">
        <f t="shared" si="48"/>
        <v>0</v>
      </c>
      <c r="CQ109" s="497">
        <f t="shared" si="61"/>
        <v>1800000</v>
      </c>
      <c r="CR109" s="493"/>
      <c r="CS109" s="493"/>
      <c r="CU109" s="492">
        <v>105</v>
      </c>
      <c r="CV109" s="492">
        <v>9</v>
      </c>
      <c r="CW109" s="497">
        <f>IF(('Comparison Calculator'!$E$11-CV109)&gt;=0,0,IFERROR(-PPMT($DA$66/12,(CU109-60),($F$1-5)*12,$DA$65),0))</f>
        <v>0</v>
      </c>
      <c r="CX109" s="497">
        <f>IF(('Comparison Calculator'!$E$11-CV109)&gt;=0,$C$1*$DA$66/12,IFERROR(-IPMT($DA$66/12,(CU109-60),($F$1-5)*12,$DA$65,0),0))</f>
        <v>0</v>
      </c>
      <c r="CY109" s="497">
        <f t="shared" si="49"/>
        <v>0</v>
      </c>
      <c r="CZ109" s="497">
        <f t="shared" si="62"/>
        <v>1800000</v>
      </c>
      <c r="DA109" s="493"/>
      <c r="DB109" s="493"/>
      <c r="DD109" s="492">
        <v>105</v>
      </c>
      <c r="DE109" s="492">
        <v>9</v>
      </c>
      <c r="DF109" s="497">
        <f>IF(('Comparison Calculator'!$E$11-DE109)&gt;=0,0,IFERROR(-PPMT($DJ$66/12,(DD109-60),($F$1-5)*12,$DJ$65),0))</f>
        <v>0</v>
      </c>
      <c r="DG109" s="497">
        <f>IF(('Comparison Calculator'!$E$11-DE109)&gt;=0,$C$1*$DJ$66/12,IFERROR(-IPMT($DJ$66/12,(DD109-60),($F$1-5)*12,$DJ$65,0),0))</f>
        <v>0</v>
      </c>
      <c r="DH109" s="497">
        <f t="shared" si="50"/>
        <v>0</v>
      </c>
      <c r="DI109" s="497">
        <f t="shared" si="63"/>
        <v>1800000</v>
      </c>
      <c r="DJ109" s="493"/>
      <c r="DK109" s="493"/>
    </row>
    <row r="110" spans="1:115">
      <c r="A110" s="492">
        <v>106</v>
      </c>
      <c r="B110" s="492">
        <v>9</v>
      </c>
      <c r="C110" s="497">
        <f>IF(('Comparison Calculator'!$E$11-B110)&gt;=0,0,IFERROR(-PPMT($G$66/12,(A110-60),($F$1-5)*12,$G$65),0))</f>
        <v>0</v>
      </c>
      <c r="D110" s="497">
        <f>IF(('Comparison Calculator'!$E$11-B110)&gt;=0,$C$1*$G$66/12,IFERROR(-IPMT($G$66/12,(A110-60),($F$1-5)*12,$G$65,0),0))</f>
        <v>0</v>
      </c>
      <c r="E110" s="497">
        <f t="shared" si="38"/>
        <v>0</v>
      </c>
      <c r="F110" s="497">
        <f t="shared" si="51"/>
        <v>1800000</v>
      </c>
      <c r="G110" s="493"/>
      <c r="H110" s="493"/>
      <c r="I110" s="489"/>
      <c r="J110" s="492">
        <v>106</v>
      </c>
      <c r="K110" s="492">
        <v>9</v>
      </c>
      <c r="L110" s="497">
        <f>IF(('Comparison Calculator'!$E$11-K110)&gt;=0,0,IFERROR(-PPMT($P$66/12,(J110-60),($F$1-5)*12,$P$65),0))</f>
        <v>0</v>
      </c>
      <c r="M110" s="497">
        <f>IF(('Comparison Calculator'!$E$11-K110)&gt;=0,$C$1*$P$66/12,IFERROR(-IPMT($P$66/12,(J110-60),($F$1-5)*12,$P$65,0),0))</f>
        <v>0</v>
      </c>
      <c r="N110" s="497">
        <f t="shared" si="39"/>
        <v>0</v>
      </c>
      <c r="O110" s="497">
        <f t="shared" si="52"/>
        <v>1800000</v>
      </c>
      <c r="P110" s="493"/>
      <c r="Q110" s="493"/>
      <c r="S110" s="492">
        <v>106</v>
      </c>
      <c r="T110" s="492">
        <v>9</v>
      </c>
      <c r="U110" s="497">
        <f>IF(('Comparison Calculator'!$E$11-T110)&gt;=0,0,IFERROR(-PPMT($Y$66/12,(S110-60),($F$1-5)*12,$Y$65),0))</f>
        <v>0</v>
      </c>
      <c r="V110" s="497">
        <f>IF(('Comparison Calculator'!$E$11-T110)&gt;=0,$C$1*$Y$66/12,IFERROR(-IPMT($Y$66/12,(S110-60),($F$1-5)*12,$Y$65,0),0))</f>
        <v>0</v>
      </c>
      <c r="W110" s="497">
        <f t="shared" si="40"/>
        <v>0</v>
      </c>
      <c r="X110" s="497">
        <f t="shared" si="53"/>
        <v>1800000</v>
      </c>
      <c r="Y110" s="493"/>
      <c r="Z110" s="493"/>
      <c r="AB110" s="492">
        <v>106</v>
      </c>
      <c r="AC110" s="492">
        <v>9</v>
      </c>
      <c r="AD110" s="497">
        <f>IF(('Comparison Calculator'!$E$11-AC110)&gt;=0,0,IFERROR(-PPMT($AH$66/12,(AB110-60),($F$1-5)*12,$AH$65),0))</f>
        <v>0</v>
      </c>
      <c r="AE110" s="497">
        <f>IF(('Comparison Calculator'!$E$11-AC110)&gt;=0,$C$1*$AH$66/12,IFERROR(-IPMT($AH$66/12,(AB110-60),($F$1-5)*12,$AH$65,0),0))</f>
        <v>0</v>
      </c>
      <c r="AF110" s="497">
        <f t="shared" si="41"/>
        <v>0</v>
      </c>
      <c r="AG110" s="497">
        <f t="shared" si="54"/>
        <v>1800000</v>
      </c>
      <c r="AH110" s="493"/>
      <c r="AI110" s="493"/>
      <c r="AK110" s="492">
        <v>106</v>
      </c>
      <c r="AL110" s="492">
        <v>9</v>
      </c>
      <c r="AM110" s="497">
        <f>IF(('Comparison Calculator'!$E$11-AL110)&gt;=0,0,IFERROR(-PPMT($AQ$66/12,(AK110-60),($F$1-5)*12,$AQ$65),0))</f>
        <v>0</v>
      </c>
      <c r="AN110" s="497">
        <f>IF(('Comparison Calculator'!$E$11-AL110)&gt;=0,$C$1*$AQ$66/12,IFERROR(-IPMT($AQ$66/12,(AK110-60),($F$1-5)*12,$AQ$65,0),0))</f>
        <v>0</v>
      </c>
      <c r="AO110" s="497">
        <f t="shared" si="42"/>
        <v>0</v>
      </c>
      <c r="AP110" s="497">
        <f t="shared" si="55"/>
        <v>1800000</v>
      </c>
      <c r="AQ110" s="493"/>
      <c r="AR110" s="493"/>
      <c r="AT110" s="492">
        <v>106</v>
      </c>
      <c r="AU110" s="492">
        <v>9</v>
      </c>
      <c r="AV110" s="497">
        <f>IF(('Comparison Calculator'!$E$11-AU110)&gt;=0,0,IFERROR(-PPMT($AZ$66/12,(AT110-60),($F$1-5)*12,$AZ$65),0))</f>
        <v>0</v>
      </c>
      <c r="AW110" s="497">
        <f>IF(('Comparison Calculator'!$E$11-AU110)&gt;=0,$C$1*$AZ$66/12,IFERROR(-IPMT($AZ$66/12,(AT110-60),($F$1-5)*12,$AZ$65,0),0))</f>
        <v>0</v>
      </c>
      <c r="AX110" s="497">
        <f t="shared" si="43"/>
        <v>0</v>
      </c>
      <c r="AY110" s="497">
        <f t="shared" si="56"/>
        <v>1800000</v>
      </c>
      <c r="AZ110" s="493"/>
      <c r="BA110" s="493"/>
      <c r="BC110" s="492">
        <v>106</v>
      </c>
      <c r="BD110" s="492">
        <v>9</v>
      </c>
      <c r="BE110" s="497">
        <f>IF(('Comparison Calculator'!$E$11-BD110)&gt;=0,0,IFERROR(-PPMT($BI$66/12,(BC110-60),($F$1-5)*12,$BI$65),0))</f>
        <v>0</v>
      </c>
      <c r="BF110" s="497">
        <f>IF(('Comparison Calculator'!$E$11-BD110)&gt;=0,$C$1*$BI$66/12,IFERROR(-IPMT($BI$66/12,(BC110-60),($F$1-5)*12,$BI$65,0),0))</f>
        <v>0</v>
      </c>
      <c r="BG110" s="497">
        <f t="shared" si="44"/>
        <v>0</v>
      </c>
      <c r="BH110" s="497">
        <f t="shared" si="57"/>
        <v>1800000</v>
      </c>
      <c r="BI110" s="493"/>
      <c r="BJ110" s="493"/>
      <c r="BK110" s="492">
        <v>106</v>
      </c>
      <c r="BL110" s="492">
        <v>9</v>
      </c>
      <c r="BM110" s="497">
        <f>IF(('Comparison Calculator'!$E$11-BL110)&gt;=0,0,IFERROR(-PPMT($BQ$66/12,(BK110-60),($F$1-5)*12,$BQ$65),0))</f>
        <v>0</v>
      </c>
      <c r="BN110" s="497">
        <f>IF(('Comparison Calculator'!$E$11-BL110)&gt;=0,$C$1*$BQ$66/12,IFERROR(-IPMT($BQ$66/12,(BK110-60),($F$1-5)*12,$BQ$65,0),0))</f>
        <v>0</v>
      </c>
      <c r="BO110" s="497">
        <f t="shared" si="45"/>
        <v>0</v>
      </c>
      <c r="BP110" s="497">
        <f t="shared" si="58"/>
        <v>1800000</v>
      </c>
      <c r="BQ110" s="493"/>
      <c r="BR110" s="493"/>
      <c r="BT110" s="492">
        <v>106</v>
      </c>
      <c r="BU110" s="492">
        <v>9</v>
      </c>
      <c r="BV110" s="497">
        <f>IF(('Comparison Calculator'!$E$11-BU110)&gt;=0,0,IFERROR(-PPMT($BZ$66/12,(BT110-60),($F$1-5)*12,$BZ$65),0))</f>
        <v>0</v>
      </c>
      <c r="BW110" s="497">
        <f>IF(('Comparison Calculator'!$E$11-BU110)&gt;=0,$C$1*$BZ$66/12,IFERROR(-IPMT($BZ$66/12,(BT110-60),($F$1-5)*12,$BZ$65,0),0))</f>
        <v>0</v>
      </c>
      <c r="BX110" s="497">
        <f t="shared" si="46"/>
        <v>0</v>
      </c>
      <c r="BY110" s="497">
        <f t="shared" si="59"/>
        <v>1800000</v>
      </c>
      <c r="BZ110" s="493"/>
      <c r="CA110" s="493"/>
      <c r="CC110" s="492">
        <v>106</v>
      </c>
      <c r="CD110" s="492">
        <v>9</v>
      </c>
      <c r="CE110" s="497">
        <f>IF(('Comparison Calculator'!$E$11-CD110)&gt;=0,0,IFERROR(-PPMT($CI$66/12,(CC110-60),($F$1-5)*12,$CI$65),0))</f>
        <v>0</v>
      </c>
      <c r="CF110" s="497">
        <f>IF(('Comparison Calculator'!$E$11-CD110)&gt;=0,$C$1*$CI$66/12,IFERROR(-IPMT($CI$66/12,(CC110-60),($F$1-5)*12,$CI$65,0),0))</f>
        <v>0</v>
      </c>
      <c r="CG110" s="497">
        <f t="shared" si="47"/>
        <v>0</v>
      </c>
      <c r="CH110" s="497">
        <f t="shared" si="60"/>
        <v>1800000</v>
      </c>
      <c r="CI110" s="493"/>
      <c r="CJ110" s="493"/>
      <c r="CL110" s="492">
        <v>106</v>
      </c>
      <c r="CM110" s="492">
        <v>9</v>
      </c>
      <c r="CN110" s="497">
        <f>IF(('Comparison Calculator'!$E$11-CM110)&gt;=0,0,IFERROR(-PPMT($CR$66/12,(CL110-60),($F$1-5)*12,$CR$65),0))</f>
        <v>0</v>
      </c>
      <c r="CO110" s="497">
        <f>IF(('Comparison Calculator'!$E$11-CM110)&gt;=0,$C$1*$CI$66/12,IFERROR(-IPMT($CI$66/12,(CL110-60),($F$1-5)*12,$CI$65,0),0))</f>
        <v>0</v>
      </c>
      <c r="CP110" s="497">
        <f t="shared" si="48"/>
        <v>0</v>
      </c>
      <c r="CQ110" s="497">
        <f t="shared" si="61"/>
        <v>1800000</v>
      </c>
      <c r="CR110" s="493"/>
      <c r="CS110" s="493"/>
      <c r="CU110" s="492">
        <v>106</v>
      </c>
      <c r="CV110" s="492">
        <v>9</v>
      </c>
      <c r="CW110" s="497">
        <f>IF(('Comparison Calculator'!$E$11-CV110)&gt;=0,0,IFERROR(-PPMT($DA$66/12,(CU110-60),($F$1-5)*12,$DA$65),0))</f>
        <v>0</v>
      </c>
      <c r="CX110" s="497">
        <f>IF(('Comparison Calculator'!$E$11-CV110)&gt;=0,$C$1*$DA$66/12,IFERROR(-IPMT($DA$66/12,(CU110-60),($F$1-5)*12,$DA$65,0),0))</f>
        <v>0</v>
      </c>
      <c r="CY110" s="497">
        <f t="shared" si="49"/>
        <v>0</v>
      </c>
      <c r="CZ110" s="497">
        <f t="shared" si="62"/>
        <v>1800000</v>
      </c>
      <c r="DA110" s="493"/>
      <c r="DB110" s="493"/>
      <c r="DD110" s="492">
        <v>106</v>
      </c>
      <c r="DE110" s="492">
        <v>9</v>
      </c>
      <c r="DF110" s="497">
        <f>IF(('Comparison Calculator'!$E$11-DE110)&gt;=0,0,IFERROR(-PPMT($DJ$66/12,(DD110-60),($F$1-5)*12,$DJ$65),0))</f>
        <v>0</v>
      </c>
      <c r="DG110" s="497">
        <f>IF(('Comparison Calculator'!$E$11-DE110)&gt;=0,$C$1*$DJ$66/12,IFERROR(-IPMT($DJ$66/12,(DD110-60),($F$1-5)*12,$DJ$65,0),0))</f>
        <v>0</v>
      </c>
      <c r="DH110" s="497">
        <f t="shared" si="50"/>
        <v>0</v>
      </c>
      <c r="DI110" s="497">
        <f t="shared" si="63"/>
        <v>1800000</v>
      </c>
      <c r="DJ110" s="493"/>
      <c r="DK110" s="493"/>
    </row>
    <row r="111" spans="1:115">
      <c r="A111" s="492">
        <v>107</v>
      </c>
      <c r="B111" s="492">
        <v>9</v>
      </c>
      <c r="C111" s="497">
        <f>IF(('Comparison Calculator'!$E$11-B111)&gt;=0,0,IFERROR(-PPMT($G$66/12,(A111-60),($F$1-5)*12,$G$65),0))</f>
        <v>0</v>
      </c>
      <c r="D111" s="497">
        <f>IF(('Comparison Calculator'!$E$11-B111)&gt;=0,$C$1*$G$66/12,IFERROR(-IPMT($G$66/12,(A111-60),($F$1-5)*12,$G$65,0),0))</f>
        <v>0</v>
      </c>
      <c r="E111" s="497">
        <f t="shared" si="38"/>
        <v>0</v>
      </c>
      <c r="F111" s="497">
        <f t="shared" si="51"/>
        <v>1800000</v>
      </c>
      <c r="G111" s="493"/>
      <c r="H111" s="493"/>
      <c r="I111" s="489"/>
      <c r="J111" s="492">
        <v>107</v>
      </c>
      <c r="K111" s="492">
        <v>9</v>
      </c>
      <c r="L111" s="497">
        <f>IF(('Comparison Calculator'!$E$11-K111)&gt;=0,0,IFERROR(-PPMT($P$66/12,(J111-60),($F$1-5)*12,$P$65),0))</f>
        <v>0</v>
      </c>
      <c r="M111" s="497">
        <f>IF(('Comparison Calculator'!$E$11-K111)&gt;=0,$C$1*$P$66/12,IFERROR(-IPMT($P$66/12,(J111-60),($F$1-5)*12,$P$65,0),0))</f>
        <v>0</v>
      </c>
      <c r="N111" s="497">
        <f t="shared" si="39"/>
        <v>0</v>
      </c>
      <c r="O111" s="497">
        <f t="shared" si="52"/>
        <v>1800000</v>
      </c>
      <c r="P111" s="493"/>
      <c r="Q111" s="493"/>
      <c r="S111" s="492">
        <v>107</v>
      </c>
      <c r="T111" s="492">
        <v>9</v>
      </c>
      <c r="U111" s="497">
        <f>IF(('Comparison Calculator'!$E$11-T111)&gt;=0,0,IFERROR(-PPMT($Y$66/12,(S111-60),($F$1-5)*12,$Y$65),0))</f>
        <v>0</v>
      </c>
      <c r="V111" s="497">
        <f>IF(('Comparison Calculator'!$E$11-T111)&gt;=0,$C$1*$Y$66/12,IFERROR(-IPMT($Y$66/12,(S111-60),($F$1-5)*12,$Y$65,0),0))</f>
        <v>0</v>
      </c>
      <c r="W111" s="497">
        <f t="shared" si="40"/>
        <v>0</v>
      </c>
      <c r="X111" s="497">
        <f t="shared" si="53"/>
        <v>1800000</v>
      </c>
      <c r="Y111" s="493"/>
      <c r="Z111" s="493"/>
      <c r="AB111" s="492">
        <v>107</v>
      </c>
      <c r="AC111" s="492">
        <v>9</v>
      </c>
      <c r="AD111" s="497">
        <f>IF(('Comparison Calculator'!$E$11-AC111)&gt;=0,0,IFERROR(-PPMT($AH$66/12,(AB111-60),($F$1-5)*12,$AH$65),0))</f>
        <v>0</v>
      </c>
      <c r="AE111" s="497">
        <f>IF(('Comparison Calculator'!$E$11-AC111)&gt;=0,$C$1*$AH$66/12,IFERROR(-IPMT($AH$66/12,(AB111-60),($F$1-5)*12,$AH$65,0),0))</f>
        <v>0</v>
      </c>
      <c r="AF111" s="497">
        <f t="shared" si="41"/>
        <v>0</v>
      </c>
      <c r="AG111" s="497">
        <f t="shared" si="54"/>
        <v>1800000</v>
      </c>
      <c r="AH111" s="493"/>
      <c r="AI111" s="493"/>
      <c r="AK111" s="492">
        <v>107</v>
      </c>
      <c r="AL111" s="492">
        <v>9</v>
      </c>
      <c r="AM111" s="497">
        <f>IF(('Comparison Calculator'!$E$11-AL111)&gt;=0,0,IFERROR(-PPMT($AQ$66/12,(AK111-60),($F$1-5)*12,$AQ$65),0))</f>
        <v>0</v>
      </c>
      <c r="AN111" s="497">
        <f>IF(('Comparison Calculator'!$E$11-AL111)&gt;=0,$C$1*$AQ$66/12,IFERROR(-IPMT($AQ$66/12,(AK111-60),($F$1-5)*12,$AQ$65,0),0))</f>
        <v>0</v>
      </c>
      <c r="AO111" s="497">
        <f t="shared" si="42"/>
        <v>0</v>
      </c>
      <c r="AP111" s="497">
        <f t="shared" si="55"/>
        <v>1800000</v>
      </c>
      <c r="AQ111" s="493"/>
      <c r="AR111" s="493"/>
      <c r="AT111" s="492">
        <v>107</v>
      </c>
      <c r="AU111" s="492">
        <v>9</v>
      </c>
      <c r="AV111" s="497">
        <f>IF(('Comparison Calculator'!$E$11-AU111)&gt;=0,0,IFERROR(-PPMT($AZ$66/12,(AT111-60),($F$1-5)*12,$AZ$65),0))</f>
        <v>0</v>
      </c>
      <c r="AW111" s="497">
        <f>IF(('Comparison Calculator'!$E$11-AU111)&gt;=0,$C$1*$AZ$66/12,IFERROR(-IPMT($AZ$66/12,(AT111-60),($F$1-5)*12,$AZ$65,0),0))</f>
        <v>0</v>
      </c>
      <c r="AX111" s="497">
        <f t="shared" si="43"/>
        <v>0</v>
      </c>
      <c r="AY111" s="497">
        <f t="shared" si="56"/>
        <v>1800000</v>
      </c>
      <c r="AZ111" s="493"/>
      <c r="BA111" s="493"/>
      <c r="BC111" s="492">
        <v>107</v>
      </c>
      <c r="BD111" s="492">
        <v>9</v>
      </c>
      <c r="BE111" s="497">
        <f>IF(('Comparison Calculator'!$E$11-BD111)&gt;=0,0,IFERROR(-PPMT($BI$66/12,(BC111-60),($F$1-5)*12,$BI$65),0))</f>
        <v>0</v>
      </c>
      <c r="BF111" s="497">
        <f>IF(('Comparison Calculator'!$E$11-BD111)&gt;=0,$C$1*$BI$66/12,IFERROR(-IPMT($BI$66/12,(BC111-60),($F$1-5)*12,$BI$65,0),0))</f>
        <v>0</v>
      </c>
      <c r="BG111" s="497">
        <f t="shared" si="44"/>
        <v>0</v>
      </c>
      <c r="BH111" s="497">
        <f t="shared" si="57"/>
        <v>1800000</v>
      </c>
      <c r="BI111" s="493"/>
      <c r="BJ111" s="493"/>
      <c r="BK111" s="492">
        <v>107</v>
      </c>
      <c r="BL111" s="492">
        <v>9</v>
      </c>
      <c r="BM111" s="497">
        <f>IF(('Comparison Calculator'!$E$11-BL111)&gt;=0,0,IFERROR(-PPMT($BQ$66/12,(BK111-60),($F$1-5)*12,$BQ$65),0))</f>
        <v>0</v>
      </c>
      <c r="BN111" s="497">
        <f>IF(('Comparison Calculator'!$E$11-BL111)&gt;=0,$C$1*$BQ$66/12,IFERROR(-IPMT($BQ$66/12,(BK111-60),($F$1-5)*12,$BQ$65,0),0))</f>
        <v>0</v>
      </c>
      <c r="BO111" s="497">
        <f t="shared" si="45"/>
        <v>0</v>
      </c>
      <c r="BP111" s="497">
        <f t="shared" si="58"/>
        <v>1800000</v>
      </c>
      <c r="BQ111" s="493"/>
      <c r="BR111" s="493"/>
      <c r="BT111" s="492">
        <v>107</v>
      </c>
      <c r="BU111" s="492">
        <v>9</v>
      </c>
      <c r="BV111" s="497">
        <f>IF(('Comparison Calculator'!$E$11-BU111)&gt;=0,0,IFERROR(-PPMT($BZ$66/12,(BT111-60),($F$1-5)*12,$BZ$65),0))</f>
        <v>0</v>
      </c>
      <c r="BW111" s="497">
        <f>IF(('Comparison Calculator'!$E$11-BU111)&gt;=0,$C$1*$BZ$66/12,IFERROR(-IPMT($BZ$66/12,(BT111-60),($F$1-5)*12,$BZ$65,0),0))</f>
        <v>0</v>
      </c>
      <c r="BX111" s="497">
        <f t="shared" si="46"/>
        <v>0</v>
      </c>
      <c r="BY111" s="497">
        <f t="shared" si="59"/>
        <v>1800000</v>
      </c>
      <c r="BZ111" s="493"/>
      <c r="CA111" s="493"/>
      <c r="CC111" s="492">
        <v>107</v>
      </c>
      <c r="CD111" s="492">
        <v>9</v>
      </c>
      <c r="CE111" s="497">
        <f>IF(('Comparison Calculator'!$E$11-CD111)&gt;=0,0,IFERROR(-PPMT($CI$66/12,(CC111-60),($F$1-5)*12,$CI$65),0))</f>
        <v>0</v>
      </c>
      <c r="CF111" s="497">
        <f>IF(('Comparison Calculator'!$E$11-CD111)&gt;=0,$C$1*$CI$66/12,IFERROR(-IPMT($CI$66/12,(CC111-60),($F$1-5)*12,$CI$65,0),0))</f>
        <v>0</v>
      </c>
      <c r="CG111" s="497">
        <f t="shared" si="47"/>
        <v>0</v>
      </c>
      <c r="CH111" s="497">
        <f t="shared" si="60"/>
        <v>1800000</v>
      </c>
      <c r="CI111" s="493"/>
      <c r="CJ111" s="493"/>
      <c r="CL111" s="492">
        <v>107</v>
      </c>
      <c r="CM111" s="492">
        <v>9</v>
      </c>
      <c r="CN111" s="497">
        <f>IF(('Comparison Calculator'!$E$11-CM111)&gt;=0,0,IFERROR(-PPMT($CR$66/12,(CL111-60),($F$1-5)*12,$CR$65),0))</f>
        <v>0</v>
      </c>
      <c r="CO111" s="497">
        <f>IF(('Comparison Calculator'!$E$11-CM111)&gt;=0,$C$1*$CI$66/12,IFERROR(-IPMT($CI$66/12,(CL111-60),($F$1-5)*12,$CI$65,0),0))</f>
        <v>0</v>
      </c>
      <c r="CP111" s="497">
        <f t="shared" si="48"/>
        <v>0</v>
      </c>
      <c r="CQ111" s="497">
        <f t="shared" si="61"/>
        <v>1800000</v>
      </c>
      <c r="CR111" s="493"/>
      <c r="CS111" s="493"/>
      <c r="CU111" s="492">
        <v>107</v>
      </c>
      <c r="CV111" s="492">
        <v>9</v>
      </c>
      <c r="CW111" s="497">
        <f>IF(('Comparison Calculator'!$E$11-CV111)&gt;=0,0,IFERROR(-PPMT($DA$66/12,(CU111-60),($F$1-5)*12,$DA$65),0))</f>
        <v>0</v>
      </c>
      <c r="CX111" s="497">
        <f>IF(('Comparison Calculator'!$E$11-CV111)&gt;=0,$C$1*$DA$66/12,IFERROR(-IPMT($DA$66/12,(CU111-60),($F$1-5)*12,$DA$65,0),0))</f>
        <v>0</v>
      </c>
      <c r="CY111" s="497">
        <f t="shared" si="49"/>
        <v>0</v>
      </c>
      <c r="CZ111" s="497">
        <f t="shared" si="62"/>
        <v>1800000</v>
      </c>
      <c r="DA111" s="493"/>
      <c r="DB111" s="493"/>
      <c r="DD111" s="492">
        <v>107</v>
      </c>
      <c r="DE111" s="492">
        <v>9</v>
      </c>
      <c r="DF111" s="497">
        <f>IF(('Comparison Calculator'!$E$11-DE111)&gt;=0,0,IFERROR(-PPMT($DJ$66/12,(DD111-60),($F$1-5)*12,$DJ$65),0))</f>
        <v>0</v>
      </c>
      <c r="DG111" s="497">
        <f>IF(('Comparison Calculator'!$E$11-DE111)&gt;=0,$C$1*$DJ$66/12,IFERROR(-IPMT($DJ$66/12,(DD111-60),($F$1-5)*12,$DJ$65,0),0))</f>
        <v>0</v>
      </c>
      <c r="DH111" s="497">
        <f t="shared" si="50"/>
        <v>0</v>
      </c>
      <c r="DI111" s="497">
        <f t="shared" si="63"/>
        <v>1800000</v>
      </c>
      <c r="DJ111" s="493"/>
      <c r="DK111" s="493"/>
    </row>
    <row r="112" spans="1:115">
      <c r="A112" s="492">
        <v>108</v>
      </c>
      <c r="B112" s="492">
        <v>9</v>
      </c>
      <c r="C112" s="497">
        <f>IF(('Comparison Calculator'!$E$11-B112)&gt;=0,0,IFERROR(-PPMT($G$66/12,(A112-60),($F$1-5)*12,$G$65),0))</f>
        <v>0</v>
      </c>
      <c r="D112" s="497">
        <f>IF(('Comparison Calculator'!$E$11-B112)&gt;=0,$C$1*$G$66/12,IFERROR(-IPMT($G$66/12,(A112-60),($F$1-5)*12,$G$65,0),0))</f>
        <v>0</v>
      </c>
      <c r="E112" s="497">
        <f t="shared" si="38"/>
        <v>0</v>
      </c>
      <c r="F112" s="497">
        <f t="shared" si="51"/>
        <v>1800000</v>
      </c>
      <c r="G112" s="493"/>
      <c r="H112" s="493"/>
      <c r="I112" s="489"/>
      <c r="J112" s="492">
        <v>108</v>
      </c>
      <c r="K112" s="492">
        <v>9</v>
      </c>
      <c r="L112" s="497">
        <f>IF(('Comparison Calculator'!$E$11-K112)&gt;=0,0,IFERROR(-PPMT($P$66/12,(J112-60),($F$1-5)*12,$P$65),0))</f>
        <v>0</v>
      </c>
      <c r="M112" s="497">
        <f>IF(('Comparison Calculator'!$E$11-K112)&gt;=0,$C$1*$P$66/12,IFERROR(-IPMT($P$66/12,(J112-60),($F$1-5)*12,$P$65,0),0))</f>
        <v>0</v>
      </c>
      <c r="N112" s="497">
        <f t="shared" si="39"/>
        <v>0</v>
      </c>
      <c r="O112" s="497">
        <f t="shared" si="52"/>
        <v>1800000</v>
      </c>
      <c r="P112" s="493"/>
      <c r="Q112" s="493"/>
      <c r="S112" s="492">
        <v>108</v>
      </c>
      <c r="T112" s="492">
        <v>9</v>
      </c>
      <c r="U112" s="497">
        <f>IF(('Comparison Calculator'!$E$11-T112)&gt;=0,0,IFERROR(-PPMT($Y$66/12,(S112-60),($F$1-5)*12,$Y$65),0))</f>
        <v>0</v>
      </c>
      <c r="V112" s="497">
        <f>IF(('Comparison Calculator'!$E$11-T112)&gt;=0,$C$1*$Y$66/12,IFERROR(-IPMT($Y$66/12,(S112-60),($F$1-5)*12,$Y$65,0),0))</f>
        <v>0</v>
      </c>
      <c r="W112" s="497">
        <f t="shared" si="40"/>
        <v>0</v>
      </c>
      <c r="X112" s="497">
        <f t="shared" si="53"/>
        <v>1800000</v>
      </c>
      <c r="Y112" s="493"/>
      <c r="Z112" s="493"/>
      <c r="AB112" s="492">
        <v>108</v>
      </c>
      <c r="AC112" s="492">
        <v>9</v>
      </c>
      <c r="AD112" s="497">
        <f>IF(('Comparison Calculator'!$E$11-AC112)&gt;=0,0,IFERROR(-PPMT($AH$66/12,(AB112-60),($F$1-5)*12,$AH$65),0))</f>
        <v>0</v>
      </c>
      <c r="AE112" s="497">
        <f>IF(('Comparison Calculator'!$E$11-AC112)&gt;=0,$C$1*$AH$66/12,IFERROR(-IPMT($AH$66/12,(AB112-60),($F$1-5)*12,$AH$65,0),0))</f>
        <v>0</v>
      </c>
      <c r="AF112" s="497">
        <f t="shared" si="41"/>
        <v>0</v>
      </c>
      <c r="AG112" s="497">
        <f t="shared" si="54"/>
        <v>1800000</v>
      </c>
      <c r="AH112" s="493"/>
      <c r="AI112" s="493"/>
      <c r="AK112" s="492">
        <v>108</v>
      </c>
      <c r="AL112" s="492">
        <v>9</v>
      </c>
      <c r="AM112" s="497">
        <f>IF(('Comparison Calculator'!$E$11-AL112)&gt;=0,0,IFERROR(-PPMT($AQ$66/12,(AK112-60),($F$1-5)*12,$AQ$65),0))</f>
        <v>0</v>
      </c>
      <c r="AN112" s="497">
        <f>IF(('Comparison Calculator'!$E$11-AL112)&gt;=0,$C$1*$AQ$66/12,IFERROR(-IPMT($AQ$66/12,(AK112-60),($F$1-5)*12,$AQ$65,0),0))</f>
        <v>0</v>
      </c>
      <c r="AO112" s="497">
        <f t="shared" si="42"/>
        <v>0</v>
      </c>
      <c r="AP112" s="497">
        <f t="shared" si="55"/>
        <v>1800000</v>
      </c>
      <c r="AQ112" s="493"/>
      <c r="AR112" s="493"/>
      <c r="AT112" s="492">
        <v>108</v>
      </c>
      <c r="AU112" s="492">
        <v>9</v>
      </c>
      <c r="AV112" s="497">
        <f>IF(('Comparison Calculator'!$E$11-AU112)&gt;=0,0,IFERROR(-PPMT($AZ$66/12,(AT112-60),($F$1-5)*12,$AZ$65),0))</f>
        <v>0</v>
      </c>
      <c r="AW112" s="497">
        <f>IF(('Comparison Calculator'!$E$11-AU112)&gt;=0,$C$1*$AZ$66/12,IFERROR(-IPMT($AZ$66/12,(AT112-60),($F$1-5)*12,$AZ$65,0),0))</f>
        <v>0</v>
      </c>
      <c r="AX112" s="497">
        <f t="shared" si="43"/>
        <v>0</v>
      </c>
      <c r="AY112" s="497">
        <f t="shared" si="56"/>
        <v>1800000</v>
      </c>
      <c r="AZ112" s="493"/>
      <c r="BA112" s="493"/>
      <c r="BC112" s="492">
        <v>108</v>
      </c>
      <c r="BD112" s="492">
        <v>9</v>
      </c>
      <c r="BE112" s="497">
        <f>IF(('Comparison Calculator'!$E$11-BD112)&gt;=0,0,IFERROR(-PPMT($BI$66/12,(BC112-60),($F$1-5)*12,$BI$65),0))</f>
        <v>0</v>
      </c>
      <c r="BF112" s="497">
        <f>IF(('Comparison Calculator'!$E$11-BD112)&gt;=0,$C$1*$BI$66/12,IFERROR(-IPMT($BI$66/12,(BC112-60),($F$1-5)*12,$BI$65,0),0))</f>
        <v>0</v>
      </c>
      <c r="BG112" s="497">
        <f t="shared" si="44"/>
        <v>0</v>
      </c>
      <c r="BH112" s="497">
        <f t="shared" si="57"/>
        <v>1800000</v>
      </c>
      <c r="BI112" s="493"/>
      <c r="BJ112" s="493"/>
      <c r="BK112" s="492">
        <v>108</v>
      </c>
      <c r="BL112" s="492">
        <v>9</v>
      </c>
      <c r="BM112" s="497">
        <f>IF(('Comparison Calculator'!$E$11-BL112)&gt;=0,0,IFERROR(-PPMT($BQ$66/12,(BK112-60),($F$1-5)*12,$BQ$65),0))</f>
        <v>0</v>
      </c>
      <c r="BN112" s="497">
        <f>IF(('Comparison Calculator'!$E$11-BL112)&gt;=0,$C$1*$BQ$66/12,IFERROR(-IPMT($BQ$66/12,(BK112-60),($F$1-5)*12,$BQ$65,0),0))</f>
        <v>0</v>
      </c>
      <c r="BO112" s="497">
        <f t="shared" si="45"/>
        <v>0</v>
      </c>
      <c r="BP112" s="497">
        <f t="shared" si="58"/>
        <v>1800000</v>
      </c>
      <c r="BQ112" s="493"/>
      <c r="BR112" s="493"/>
      <c r="BT112" s="492">
        <v>108</v>
      </c>
      <c r="BU112" s="492">
        <v>9</v>
      </c>
      <c r="BV112" s="497">
        <f>IF(('Comparison Calculator'!$E$11-BU112)&gt;=0,0,IFERROR(-PPMT($BZ$66/12,(BT112-60),($F$1-5)*12,$BZ$65),0))</f>
        <v>0</v>
      </c>
      <c r="BW112" s="497">
        <f>IF(('Comparison Calculator'!$E$11-BU112)&gt;=0,$C$1*$BZ$66/12,IFERROR(-IPMT($BZ$66/12,(BT112-60),($F$1-5)*12,$BZ$65,0),0))</f>
        <v>0</v>
      </c>
      <c r="BX112" s="497">
        <f t="shared" si="46"/>
        <v>0</v>
      </c>
      <c r="BY112" s="497">
        <f t="shared" si="59"/>
        <v>1800000</v>
      </c>
      <c r="BZ112" s="493"/>
      <c r="CA112" s="493"/>
      <c r="CC112" s="492">
        <v>108</v>
      </c>
      <c r="CD112" s="492">
        <v>9</v>
      </c>
      <c r="CE112" s="497">
        <f>IF(('Comparison Calculator'!$E$11-CD112)&gt;=0,0,IFERROR(-PPMT($CI$66/12,(CC112-60),($F$1-5)*12,$CI$65),0))</f>
        <v>0</v>
      </c>
      <c r="CF112" s="497">
        <f>IF(('Comparison Calculator'!$E$11-CD112)&gt;=0,$C$1*$CI$66/12,IFERROR(-IPMT($CI$66/12,(CC112-60),($F$1-5)*12,$CI$65,0),0))</f>
        <v>0</v>
      </c>
      <c r="CG112" s="497">
        <f t="shared" si="47"/>
        <v>0</v>
      </c>
      <c r="CH112" s="497">
        <f t="shared" si="60"/>
        <v>1800000</v>
      </c>
      <c r="CI112" s="493"/>
      <c r="CJ112" s="493"/>
      <c r="CL112" s="492">
        <v>108</v>
      </c>
      <c r="CM112" s="492">
        <v>9</v>
      </c>
      <c r="CN112" s="497">
        <f>IF(('Comparison Calculator'!$E$11-CM112)&gt;=0,0,IFERROR(-PPMT($CR$66/12,(CL112-60),($F$1-5)*12,$CR$65),0))</f>
        <v>0</v>
      </c>
      <c r="CO112" s="497">
        <f>IF(('Comparison Calculator'!$E$11-CM112)&gt;=0,$C$1*$CI$66/12,IFERROR(-IPMT($CI$66/12,(CL112-60),($F$1-5)*12,$CI$65,0),0))</f>
        <v>0</v>
      </c>
      <c r="CP112" s="497">
        <f t="shared" si="48"/>
        <v>0</v>
      </c>
      <c r="CQ112" s="497">
        <f t="shared" si="61"/>
        <v>1800000</v>
      </c>
      <c r="CR112" s="493"/>
      <c r="CS112" s="493"/>
      <c r="CU112" s="492">
        <v>108</v>
      </c>
      <c r="CV112" s="492">
        <v>9</v>
      </c>
      <c r="CW112" s="497">
        <f>IF(('Comparison Calculator'!$E$11-CV112)&gt;=0,0,IFERROR(-PPMT($DA$66/12,(CU112-60),($F$1-5)*12,$DA$65),0))</f>
        <v>0</v>
      </c>
      <c r="CX112" s="497">
        <f>IF(('Comparison Calculator'!$E$11-CV112)&gt;=0,$C$1*$DA$66/12,IFERROR(-IPMT($DA$66/12,(CU112-60),($F$1-5)*12,$DA$65,0),0))</f>
        <v>0</v>
      </c>
      <c r="CY112" s="497">
        <f t="shared" si="49"/>
        <v>0</v>
      </c>
      <c r="CZ112" s="497">
        <f t="shared" si="62"/>
        <v>1800000</v>
      </c>
      <c r="DA112" s="493"/>
      <c r="DB112" s="493"/>
      <c r="DD112" s="492">
        <v>108</v>
      </c>
      <c r="DE112" s="492">
        <v>9</v>
      </c>
      <c r="DF112" s="497">
        <f>IF(('Comparison Calculator'!$E$11-DE112)&gt;=0,0,IFERROR(-PPMT($DJ$66/12,(DD112-60),($F$1-5)*12,$DJ$65),0))</f>
        <v>0</v>
      </c>
      <c r="DG112" s="497">
        <f>IF(('Comparison Calculator'!$E$11-DE112)&gt;=0,$C$1*$DJ$66/12,IFERROR(-IPMT($DJ$66/12,(DD112-60),($F$1-5)*12,$DJ$65,0),0))</f>
        <v>0</v>
      </c>
      <c r="DH112" s="497">
        <f t="shared" si="50"/>
        <v>0</v>
      </c>
      <c r="DI112" s="497">
        <f t="shared" si="63"/>
        <v>1800000</v>
      </c>
      <c r="DJ112" s="493"/>
      <c r="DK112" s="493"/>
    </row>
    <row r="113" spans="1:115">
      <c r="A113" s="492">
        <v>109</v>
      </c>
      <c r="B113" s="492">
        <v>10</v>
      </c>
      <c r="C113" s="497">
        <f>IF(('Comparison Calculator'!$E$11-B113)&gt;=0,0,IFERROR(-PPMT($G$66/12,(A113-60),($F$1-5)*12,$G$65),0))</f>
        <v>0</v>
      </c>
      <c r="D113" s="497">
        <f>IF(('Comparison Calculator'!$E$11-B113)&gt;=0,$C$1*$G$66/12,IFERROR(-IPMT($G$66/12,(A113-60),($F$1-5)*12,$G$65,0),0))</f>
        <v>0</v>
      </c>
      <c r="E113" s="497">
        <f t="shared" si="38"/>
        <v>0</v>
      </c>
      <c r="F113" s="497">
        <f t="shared" si="51"/>
        <v>1800000</v>
      </c>
      <c r="G113" s="493"/>
      <c r="H113" s="493"/>
      <c r="I113" s="489"/>
      <c r="J113" s="492">
        <v>109</v>
      </c>
      <c r="K113" s="492">
        <v>10</v>
      </c>
      <c r="L113" s="497">
        <f>IF(('Comparison Calculator'!$E$11-K113)&gt;=0,0,IFERROR(-PPMT($P$66/12,(J113-60),($F$1-5)*12,$P$65),0))</f>
        <v>0</v>
      </c>
      <c r="M113" s="497">
        <f>IF(('Comparison Calculator'!$E$11-K113)&gt;=0,$C$1*$P$66/12,IFERROR(-IPMT($P$66/12,(J113-60),($F$1-5)*12,$P$65,0),0))</f>
        <v>0</v>
      </c>
      <c r="N113" s="497">
        <f t="shared" si="39"/>
        <v>0</v>
      </c>
      <c r="O113" s="497">
        <f t="shared" si="52"/>
        <v>1800000</v>
      </c>
      <c r="P113" s="493"/>
      <c r="Q113" s="493"/>
      <c r="S113" s="492">
        <v>109</v>
      </c>
      <c r="T113" s="492">
        <v>10</v>
      </c>
      <c r="U113" s="497">
        <f>IF(('Comparison Calculator'!$E$11-T113)&gt;=0,0,IFERROR(-PPMT($Y$66/12,(S113-60),($F$1-5)*12,$Y$65),0))</f>
        <v>0</v>
      </c>
      <c r="V113" s="497">
        <f>IF(('Comparison Calculator'!$E$11-T113)&gt;=0,$C$1*$Y$66/12,IFERROR(-IPMT($Y$66/12,(S113-60),($F$1-5)*12,$Y$65,0),0))</f>
        <v>0</v>
      </c>
      <c r="W113" s="497">
        <f t="shared" si="40"/>
        <v>0</v>
      </c>
      <c r="X113" s="497">
        <f t="shared" si="53"/>
        <v>1800000</v>
      </c>
      <c r="Y113" s="493"/>
      <c r="Z113" s="493"/>
      <c r="AB113" s="492">
        <v>109</v>
      </c>
      <c r="AC113" s="492">
        <v>10</v>
      </c>
      <c r="AD113" s="497">
        <f>IF(('Comparison Calculator'!$E$11-AC113)&gt;=0,0,IFERROR(-PPMT($AH$66/12,(AB113-60),($F$1-5)*12,$AH$65),0))</f>
        <v>0</v>
      </c>
      <c r="AE113" s="497">
        <f>IF(('Comparison Calculator'!$E$11-AC113)&gt;=0,$C$1*$AH$66/12,IFERROR(-IPMT($AH$66/12,(AB113-60),($F$1-5)*12,$AH$65,0),0))</f>
        <v>0</v>
      </c>
      <c r="AF113" s="497">
        <f t="shared" si="41"/>
        <v>0</v>
      </c>
      <c r="AG113" s="497">
        <f t="shared" si="54"/>
        <v>1800000</v>
      </c>
      <c r="AH113" s="493"/>
      <c r="AI113" s="493"/>
      <c r="AK113" s="492">
        <v>109</v>
      </c>
      <c r="AL113" s="492">
        <v>10</v>
      </c>
      <c r="AM113" s="497">
        <f>IF(('Comparison Calculator'!$E$11-AL113)&gt;=0,0,IFERROR(-PPMT($AQ$66/12,(AK113-60),($F$1-5)*12,$AQ$65),0))</f>
        <v>0</v>
      </c>
      <c r="AN113" s="497">
        <f>IF(('Comparison Calculator'!$E$11-AL113)&gt;=0,$C$1*$AQ$66/12,IFERROR(-IPMT($AQ$66/12,(AK113-60),($F$1-5)*12,$AQ$65,0),0))</f>
        <v>0</v>
      </c>
      <c r="AO113" s="497">
        <f t="shared" si="42"/>
        <v>0</v>
      </c>
      <c r="AP113" s="497">
        <f t="shared" si="55"/>
        <v>1800000</v>
      </c>
      <c r="AQ113" s="493"/>
      <c r="AR113" s="493"/>
      <c r="AT113" s="492">
        <v>109</v>
      </c>
      <c r="AU113" s="492">
        <v>10</v>
      </c>
      <c r="AV113" s="497">
        <f>IF(('Comparison Calculator'!$E$11-AU113)&gt;=0,0,IFERROR(-PPMT($AZ$66/12,(AT113-60),($F$1-5)*12,$AZ$65),0))</f>
        <v>0</v>
      </c>
      <c r="AW113" s="497">
        <f>IF(('Comparison Calculator'!$E$11-AU113)&gt;=0,$C$1*$AZ$66/12,IFERROR(-IPMT($AZ$66/12,(AT113-60),($F$1-5)*12,$AZ$65,0),0))</f>
        <v>0</v>
      </c>
      <c r="AX113" s="497">
        <f t="shared" si="43"/>
        <v>0</v>
      </c>
      <c r="AY113" s="497">
        <f t="shared" si="56"/>
        <v>1800000</v>
      </c>
      <c r="AZ113" s="493"/>
      <c r="BA113" s="493"/>
      <c r="BC113" s="492">
        <v>109</v>
      </c>
      <c r="BD113" s="492">
        <v>10</v>
      </c>
      <c r="BE113" s="497">
        <f>IF(('Comparison Calculator'!$E$11-BD113)&gt;=0,0,IFERROR(-PPMT($BI$66/12,(BC113-60),($F$1-5)*12,$BI$65),0))</f>
        <v>0</v>
      </c>
      <c r="BF113" s="497">
        <f>IF(('Comparison Calculator'!$E$11-BD113)&gt;=0,$C$1*$BI$66/12,IFERROR(-IPMT($BI$66/12,(BC113-60),($F$1-5)*12,$BI$65,0),0))</f>
        <v>0</v>
      </c>
      <c r="BG113" s="497">
        <f t="shared" si="44"/>
        <v>0</v>
      </c>
      <c r="BH113" s="497">
        <f t="shared" si="57"/>
        <v>1800000</v>
      </c>
      <c r="BI113" s="493"/>
      <c r="BJ113" s="493"/>
      <c r="BK113" s="492">
        <v>109</v>
      </c>
      <c r="BL113" s="492">
        <v>10</v>
      </c>
      <c r="BM113" s="497">
        <f>IF(('Comparison Calculator'!$E$11-BL113)&gt;=0,0,IFERROR(-PPMT($BQ$66/12,(BK113-60),($F$1-5)*12,$BQ$65),0))</f>
        <v>0</v>
      </c>
      <c r="BN113" s="497">
        <f>IF(('Comparison Calculator'!$E$11-BL113)&gt;=0,$C$1*$BQ$66/12,IFERROR(-IPMT($BQ$66/12,(BK113-60),($F$1-5)*12,$BQ$65,0),0))</f>
        <v>0</v>
      </c>
      <c r="BO113" s="497">
        <f t="shared" si="45"/>
        <v>0</v>
      </c>
      <c r="BP113" s="497">
        <f t="shared" si="58"/>
        <v>1800000</v>
      </c>
      <c r="BQ113" s="493"/>
      <c r="BR113" s="493"/>
      <c r="BT113" s="492">
        <v>109</v>
      </c>
      <c r="BU113" s="492">
        <v>10</v>
      </c>
      <c r="BV113" s="497">
        <f>IF(('Comparison Calculator'!$E$11-BU113)&gt;=0,0,IFERROR(-PPMT($BZ$66/12,(BT113-60),($F$1-5)*12,$BZ$65),0))</f>
        <v>0</v>
      </c>
      <c r="BW113" s="497">
        <f>IF(('Comparison Calculator'!$E$11-BU113)&gt;=0,$C$1*$BZ$66/12,IFERROR(-IPMT($BZ$66/12,(BT113-60),($F$1-5)*12,$BZ$65,0),0))</f>
        <v>0</v>
      </c>
      <c r="BX113" s="497">
        <f t="shared" si="46"/>
        <v>0</v>
      </c>
      <c r="BY113" s="497">
        <f t="shared" si="59"/>
        <v>1800000</v>
      </c>
      <c r="BZ113" s="493"/>
      <c r="CA113" s="493"/>
      <c r="CC113" s="492">
        <v>109</v>
      </c>
      <c r="CD113" s="492">
        <v>10</v>
      </c>
      <c r="CE113" s="497">
        <f>IF(('Comparison Calculator'!$E$11-CD113)&gt;=0,0,IFERROR(-PPMT($CI$66/12,(CC113-60),($F$1-5)*12,$CI$65),0))</f>
        <v>0</v>
      </c>
      <c r="CF113" s="497">
        <f>IF(('Comparison Calculator'!$E$11-CD113)&gt;=0,$C$1*$CI$66/12,IFERROR(-IPMT($CI$66/12,(CC113-60),($F$1-5)*12,$CI$65,0),0))</f>
        <v>0</v>
      </c>
      <c r="CG113" s="497">
        <f t="shared" si="47"/>
        <v>0</v>
      </c>
      <c r="CH113" s="497">
        <f t="shared" si="60"/>
        <v>1800000</v>
      </c>
      <c r="CI113" s="493"/>
      <c r="CJ113" s="493"/>
      <c r="CL113" s="492">
        <v>109</v>
      </c>
      <c r="CM113" s="492">
        <v>10</v>
      </c>
      <c r="CN113" s="497">
        <f>IF(('Comparison Calculator'!$E$11-CM113)&gt;=0,0,IFERROR(-PPMT($CR$66/12,(CL113-60),($F$1-5)*12,$CR$65),0))</f>
        <v>0</v>
      </c>
      <c r="CO113" s="497">
        <f>IF(('Comparison Calculator'!$E$11-CM113)&gt;=0,$C$1*$CI$66/12,IFERROR(-IPMT($CI$66/12,(CL113-60),($F$1-5)*12,$CI$65,0),0))</f>
        <v>0</v>
      </c>
      <c r="CP113" s="497">
        <f t="shared" si="48"/>
        <v>0</v>
      </c>
      <c r="CQ113" s="497">
        <f t="shared" si="61"/>
        <v>1800000</v>
      </c>
      <c r="CR113" s="493"/>
      <c r="CS113" s="493"/>
      <c r="CU113" s="492">
        <v>109</v>
      </c>
      <c r="CV113" s="492">
        <v>10</v>
      </c>
      <c r="CW113" s="497">
        <f>IF(('Comparison Calculator'!$E$11-CV113)&gt;=0,0,IFERROR(-PPMT($DA$66/12,(CU113-60),($F$1-5)*12,$DA$65),0))</f>
        <v>0</v>
      </c>
      <c r="CX113" s="497">
        <f>IF(('Comparison Calculator'!$E$11-CV113)&gt;=0,$C$1*$DA$66/12,IFERROR(-IPMT($DA$66/12,(CU113-60),($F$1-5)*12,$DA$65,0),0))</f>
        <v>0</v>
      </c>
      <c r="CY113" s="497">
        <f t="shared" si="49"/>
        <v>0</v>
      </c>
      <c r="CZ113" s="497">
        <f t="shared" si="62"/>
        <v>1800000</v>
      </c>
      <c r="DA113" s="493"/>
      <c r="DB113" s="493"/>
      <c r="DD113" s="492">
        <v>109</v>
      </c>
      <c r="DE113" s="492">
        <v>10</v>
      </c>
      <c r="DF113" s="497">
        <f>IF(('Comparison Calculator'!$E$11-DE113)&gt;=0,0,IFERROR(-PPMT($DJ$66/12,(DD113-60),($F$1-5)*12,$DJ$65),0))</f>
        <v>0</v>
      </c>
      <c r="DG113" s="497">
        <f>IF(('Comparison Calculator'!$E$11-DE113)&gt;=0,$C$1*$DJ$66/12,IFERROR(-IPMT($DJ$66/12,(DD113-60),($F$1-5)*12,$DJ$65,0),0))</f>
        <v>0</v>
      </c>
      <c r="DH113" s="497">
        <f t="shared" si="50"/>
        <v>0</v>
      </c>
      <c r="DI113" s="497">
        <f t="shared" si="63"/>
        <v>1800000</v>
      </c>
      <c r="DJ113" s="493"/>
      <c r="DK113" s="493"/>
    </row>
    <row r="114" spans="1:115">
      <c r="A114" s="492">
        <v>110</v>
      </c>
      <c r="B114" s="492">
        <v>10</v>
      </c>
      <c r="C114" s="497">
        <f>IF(('Comparison Calculator'!$E$11-B114)&gt;=0,0,IFERROR(-PPMT($G$66/12,(A114-60),($F$1-5)*12,$G$65),0))</f>
        <v>0</v>
      </c>
      <c r="D114" s="497">
        <f>IF(('Comparison Calculator'!$E$11-B114)&gt;=0,$C$1*$G$66/12,IFERROR(-IPMT($G$66/12,(A114-60),($F$1-5)*12,$G$65,0),0))</f>
        <v>0</v>
      </c>
      <c r="E114" s="497">
        <f t="shared" si="38"/>
        <v>0</v>
      </c>
      <c r="F114" s="497">
        <f t="shared" si="51"/>
        <v>1800000</v>
      </c>
      <c r="G114" s="493"/>
      <c r="H114" s="493"/>
      <c r="I114" s="489"/>
      <c r="J114" s="492">
        <v>110</v>
      </c>
      <c r="K114" s="492">
        <v>10</v>
      </c>
      <c r="L114" s="497">
        <f>IF(('Comparison Calculator'!$E$11-K114)&gt;=0,0,IFERROR(-PPMT($P$66/12,(J114-60),($F$1-5)*12,$P$65),0))</f>
        <v>0</v>
      </c>
      <c r="M114" s="497">
        <f>IF(('Comparison Calculator'!$E$11-K114)&gt;=0,$C$1*$P$66/12,IFERROR(-IPMT($P$66/12,(J114-60),($F$1-5)*12,$P$65,0),0))</f>
        <v>0</v>
      </c>
      <c r="N114" s="497">
        <f t="shared" si="39"/>
        <v>0</v>
      </c>
      <c r="O114" s="497">
        <f t="shared" si="52"/>
        <v>1800000</v>
      </c>
      <c r="P114" s="493"/>
      <c r="Q114" s="493"/>
      <c r="S114" s="492">
        <v>110</v>
      </c>
      <c r="T114" s="492">
        <v>10</v>
      </c>
      <c r="U114" s="497">
        <f>IF(('Comparison Calculator'!$E$11-T114)&gt;=0,0,IFERROR(-PPMT($Y$66/12,(S114-60),($F$1-5)*12,$Y$65),0))</f>
        <v>0</v>
      </c>
      <c r="V114" s="497">
        <f>IF(('Comparison Calculator'!$E$11-T114)&gt;=0,$C$1*$Y$66/12,IFERROR(-IPMT($Y$66/12,(S114-60),($F$1-5)*12,$Y$65,0),0))</f>
        <v>0</v>
      </c>
      <c r="W114" s="497">
        <f t="shared" si="40"/>
        <v>0</v>
      </c>
      <c r="X114" s="497">
        <f t="shared" si="53"/>
        <v>1800000</v>
      </c>
      <c r="Y114" s="493"/>
      <c r="Z114" s="493"/>
      <c r="AB114" s="492">
        <v>110</v>
      </c>
      <c r="AC114" s="492">
        <v>10</v>
      </c>
      <c r="AD114" s="497">
        <f>IF(('Comparison Calculator'!$E$11-AC114)&gt;=0,0,IFERROR(-PPMT($AH$66/12,(AB114-60),($F$1-5)*12,$AH$65),0))</f>
        <v>0</v>
      </c>
      <c r="AE114" s="497">
        <f>IF(('Comparison Calculator'!$E$11-AC114)&gt;=0,$C$1*$AH$66/12,IFERROR(-IPMT($AH$66/12,(AB114-60),($F$1-5)*12,$AH$65,0),0))</f>
        <v>0</v>
      </c>
      <c r="AF114" s="497">
        <f t="shared" si="41"/>
        <v>0</v>
      </c>
      <c r="AG114" s="497">
        <f t="shared" si="54"/>
        <v>1800000</v>
      </c>
      <c r="AH114" s="493"/>
      <c r="AI114" s="493"/>
      <c r="AK114" s="492">
        <v>110</v>
      </c>
      <c r="AL114" s="492">
        <v>10</v>
      </c>
      <c r="AM114" s="497">
        <f>IF(('Comparison Calculator'!$E$11-AL114)&gt;=0,0,IFERROR(-PPMT($AQ$66/12,(AK114-60),($F$1-5)*12,$AQ$65),0))</f>
        <v>0</v>
      </c>
      <c r="AN114" s="497">
        <f>IF(('Comparison Calculator'!$E$11-AL114)&gt;=0,$C$1*$AQ$66/12,IFERROR(-IPMT($AQ$66/12,(AK114-60),($F$1-5)*12,$AQ$65,0),0))</f>
        <v>0</v>
      </c>
      <c r="AO114" s="497">
        <f t="shared" si="42"/>
        <v>0</v>
      </c>
      <c r="AP114" s="497">
        <f t="shared" si="55"/>
        <v>1800000</v>
      </c>
      <c r="AQ114" s="493"/>
      <c r="AR114" s="493"/>
      <c r="AT114" s="492">
        <v>110</v>
      </c>
      <c r="AU114" s="492">
        <v>10</v>
      </c>
      <c r="AV114" s="497">
        <f>IF(('Comparison Calculator'!$E$11-AU114)&gt;=0,0,IFERROR(-PPMT($AZ$66/12,(AT114-60),($F$1-5)*12,$AZ$65),0))</f>
        <v>0</v>
      </c>
      <c r="AW114" s="497">
        <f>IF(('Comparison Calculator'!$E$11-AU114)&gt;=0,$C$1*$AZ$66/12,IFERROR(-IPMT($AZ$66/12,(AT114-60),($F$1-5)*12,$AZ$65,0),0))</f>
        <v>0</v>
      </c>
      <c r="AX114" s="497">
        <f t="shared" si="43"/>
        <v>0</v>
      </c>
      <c r="AY114" s="497">
        <f t="shared" si="56"/>
        <v>1800000</v>
      </c>
      <c r="AZ114" s="493"/>
      <c r="BA114" s="493"/>
      <c r="BC114" s="492">
        <v>110</v>
      </c>
      <c r="BD114" s="492">
        <v>10</v>
      </c>
      <c r="BE114" s="497">
        <f>IF(('Comparison Calculator'!$E$11-BD114)&gt;=0,0,IFERROR(-PPMT($BI$66/12,(BC114-60),($F$1-5)*12,$BI$65),0))</f>
        <v>0</v>
      </c>
      <c r="BF114" s="497">
        <f>IF(('Comparison Calculator'!$E$11-BD114)&gt;=0,$C$1*$BI$66/12,IFERROR(-IPMT($BI$66/12,(BC114-60),($F$1-5)*12,$BI$65,0),0))</f>
        <v>0</v>
      </c>
      <c r="BG114" s="497">
        <f t="shared" si="44"/>
        <v>0</v>
      </c>
      <c r="BH114" s="497">
        <f t="shared" si="57"/>
        <v>1800000</v>
      </c>
      <c r="BI114" s="493"/>
      <c r="BJ114" s="493"/>
      <c r="BK114" s="492">
        <v>110</v>
      </c>
      <c r="BL114" s="492">
        <v>10</v>
      </c>
      <c r="BM114" s="497">
        <f>IF(('Comparison Calculator'!$E$11-BL114)&gt;=0,0,IFERROR(-PPMT($BQ$66/12,(BK114-60),($F$1-5)*12,$BQ$65),0))</f>
        <v>0</v>
      </c>
      <c r="BN114" s="497">
        <f>IF(('Comparison Calculator'!$E$11-BL114)&gt;=0,$C$1*$BQ$66/12,IFERROR(-IPMT($BQ$66/12,(BK114-60),($F$1-5)*12,$BQ$65,0),0))</f>
        <v>0</v>
      </c>
      <c r="BO114" s="497">
        <f t="shared" si="45"/>
        <v>0</v>
      </c>
      <c r="BP114" s="497">
        <f t="shared" si="58"/>
        <v>1800000</v>
      </c>
      <c r="BQ114" s="493"/>
      <c r="BR114" s="493"/>
      <c r="BT114" s="492">
        <v>110</v>
      </c>
      <c r="BU114" s="492">
        <v>10</v>
      </c>
      <c r="BV114" s="497">
        <f>IF(('Comparison Calculator'!$E$11-BU114)&gt;=0,0,IFERROR(-PPMT($BZ$66/12,(BT114-60),($F$1-5)*12,$BZ$65),0))</f>
        <v>0</v>
      </c>
      <c r="BW114" s="497">
        <f>IF(('Comparison Calculator'!$E$11-BU114)&gt;=0,$C$1*$BZ$66/12,IFERROR(-IPMT($BZ$66/12,(BT114-60),($F$1-5)*12,$BZ$65,0),0))</f>
        <v>0</v>
      </c>
      <c r="BX114" s="497">
        <f t="shared" si="46"/>
        <v>0</v>
      </c>
      <c r="BY114" s="497">
        <f t="shared" si="59"/>
        <v>1800000</v>
      </c>
      <c r="BZ114" s="493"/>
      <c r="CA114" s="493"/>
      <c r="CC114" s="492">
        <v>110</v>
      </c>
      <c r="CD114" s="492">
        <v>10</v>
      </c>
      <c r="CE114" s="497">
        <f>IF(('Comparison Calculator'!$E$11-CD114)&gt;=0,0,IFERROR(-PPMT($CI$66/12,(CC114-60),($F$1-5)*12,$CI$65),0))</f>
        <v>0</v>
      </c>
      <c r="CF114" s="497">
        <f>IF(('Comparison Calculator'!$E$11-CD114)&gt;=0,$C$1*$CI$66/12,IFERROR(-IPMT($CI$66/12,(CC114-60),($F$1-5)*12,$CI$65,0),0))</f>
        <v>0</v>
      </c>
      <c r="CG114" s="497">
        <f t="shared" si="47"/>
        <v>0</v>
      </c>
      <c r="CH114" s="497">
        <f t="shared" si="60"/>
        <v>1800000</v>
      </c>
      <c r="CI114" s="493"/>
      <c r="CJ114" s="493"/>
      <c r="CL114" s="492">
        <v>110</v>
      </c>
      <c r="CM114" s="492">
        <v>10</v>
      </c>
      <c r="CN114" s="497">
        <f>IF(('Comparison Calculator'!$E$11-CM114)&gt;=0,0,IFERROR(-PPMT($CR$66/12,(CL114-60),($F$1-5)*12,$CR$65),0))</f>
        <v>0</v>
      </c>
      <c r="CO114" s="497">
        <f>IF(('Comparison Calculator'!$E$11-CM114)&gt;=0,$C$1*$CI$66/12,IFERROR(-IPMT($CI$66/12,(CL114-60),($F$1-5)*12,$CI$65,0),0))</f>
        <v>0</v>
      </c>
      <c r="CP114" s="497">
        <f t="shared" si="48"/>
        <v>0</v>
      </c>
      <c r="CQ114" s="497">
        <f t="shared" si="61"/>
        <v>1800000</v>
      </c>
      <c r="CR114" s="493"/>
      <c r="CS114" s="493"/>
      <c r="CU114" s="492">
        <v>110</v>
      </c>
      <c r="CV114" s="492">
        <v>10</v>
      </c>
      <c r="CW114" s="497">
        <f>IF(('Comparison Calculator'!$E$11-CV114)&gt;=0,0,IFERROR(-PPMT($DA$66/12,(CU114-60),($F$1-5)*12,$DA$65),0))</f>
        <v>0</v>
      </c>
      <c r="CX114" s="497">
        <f>IF(('Comparison Calculator'!$E$11-CV114)&gt;=0,$C$1*$DA$66/12,IFERROR(-IPMT($DA$66/12,(CU114-60),($F$1-5)*12,$DA$65,0),0))</f>
        <v>0</v>
      </c>
      <c r="CY114" s="497">
        <f t="shared" si="49"/>
        <v>0</v>
      </c>
      <c r="CZ114" s="497">
        <f t="shared" si="62"/>
        <v>1800000</v>
      </c>
      <c r="DA114" s="493"/>
      <c r="DB114" s="493"/>
      <c r="DD114" s="492">
        <v>110</v>
      </c>
      <c r="DE114" s="492">
        <v>10</v>
      </c>
      <c r="DF114" s="497">
        <f>IF(('Comparison Calculator'!$E$11-DE114)&gt;=0,0,IFERROR(-PPMT($DJ$66/12,(DD114-60),($F$1-5)*12,$DJ$65),0))</f>
        <v>0</v>
      </c>
      <c r="DG114" s="497">
        <f>IF(('Comparison Calculator'!$E$11-DE114)&gt;=0,$C$1*$DJ$66/12,IFERROR(-IPMT($DJ$66/12,(DD114-60),($F$1-5)*12,$DJ$65,0),0))</f>
        <v>0</v>
      </c>
      <c r="DH114" s="497">
        <f t="shared" si="50"/>
        <v>0</v>
      </c>
      <c r="DI114" s="497">
        <f t="shared" si="63"/>
        <v>1800000</v>
      </c>
      <c r="DJ114" s="493"/>
      <c r="DK114" s="493"/>
    </row>
    <row r="115" spans="1:115">
      <c r="A115" s="492">
        <v>111</v>
      </c>
      <c r="B115" s="492">
        <v>10</v>
      </c>
      <c r="C115" s="497">
        <f>IF(('Comparison Calculator'!$E$11-B115)&gt;=0,0,IFERROR(-PPMT($G$66/12,(A115-60),($F$1-5)*12,$G$65),0))</f>
        <v>0</v>
      </c>
      <c r="D115" s="497">
        <f>IF(('Comparison Calculator'!$E$11-B115)&gt;=0,$C$1*$G$66/12,IFERROR(-IPMT($G$66/12,(A115-60),($F$1-5)*12,$G$65,0),0))</f>
        <v>0</v>
      </c>
      <c r="E115" s="497">
        <f t="shared" si="38"/>
        <v>0</v>
      </c>
      <c r="F115" s="497">
        <f t="shared" si="51"/>
        <v>1800000</v>
      </c>
      <c r="G115" s="493"/>
      <c r="H115" s="493"/>
      <c r="I115" s="489"/>
      <c r="J115" s="492">
        <v>111</v>
      </c>
      <c r="K115" s="492">
        <v>10</v>
      </c>
      <c r="L115" s="497">
        <f>IF(('Comparison Calculator'!$E$11-K115)&gt;=0,0,IFERROR(-PPMT($P$66/12,(J115-60),($F$1-5)*12,$P$65),0))</f>
        <v>0</v>
      </c>
      <c r="M115" s="497">
        <f>IF(('Comparison Calculator'!$E$11-K115)&gt;=0,$C$1*$P$66/12,IFERROR(-IPMT($P$66/12,(J115-60),($F$1-5)*12,$P$65,0),0))</f>
        <v>0</v>
      </c>
      <c r="N115" s="497">
        <f t="shared" si="39"/>
        <v>0</v>
      </c>
      <c r="O115" s="497">
        <f t="shared" si="52"/>
        <v>1800000</v>
      </c>
      <c r="P115" s="493"/>
      <c r="Q115" s="493"/>
      <c r="S115" s="492">
        <v>111</v>
      </c>
      <c r="T115" s="492">
        <v>10</v>
      </c>
      <c r="U115" s="497">
        <f>IF(('Comparison Calculator'!$E$11-T115)&gt;=0,0,IFERROR(-PPMT($Y$66/12,(S115-60),($F$1-5)*12,$Y$65),0))</f>
        <v>0</v>
      </c>
      <c r="V115" s="497">
        <f>IF(('Comparison Calculator'!$E$11-T115)&gt;=0,$C$1*$Y$66/12,IFERROR(-IPMT($Y$66/12,(S115-60),($F$1-5)*12,$Y$65,0),0))</f>
        <v>0</v>
      </c>
      <c r="W115" s="497">
        <f t="shared" si="40"/>
        <v>0</v>
      </c>
      <c r="X115" s="497">
        <f t="shared" si="53"/>
        <v>1800000</v>
      </c>
      <c r="Y115" s="493"/>
      <c r="Z115" s="493"/>
      <c r="AB115" s="492">
        <v>111</v>
      </c>
      <c r="AC115" s="492">
        <v>10</v>
      </c>
      <c r="AD115" s="497">
        <f>IF(('Comparison Calculator'!$E$11-AC115)&gt;=0,0,IFERROR(-PPMT($AH$66/12,(AB115-60),($F$1-5)*12,$AH$65),0))</f>
        <v>0</v>
      </c>
      <c r="AE115" s="497">
        <f>IF(('Comparison Calculator'!$E$11-AC115)&gt;=0,$C$1*$AH$66/12,IFERROR(-IPMT($AH$66/12,(AB115-60),($F$1-5)*12,$AH$65,0),0))</f>
        <v>0</v>
      </c>
      <c r="AF115" s="497">
        <f t="shared" si="41"/>
        <v>0</v>
      </c>
      <c r="AG115" s="497">
        <f t="shared" si="54"/>
        <v>1800000</v>
      </c>
      <c r="AH115" s="493"/>
      <c r="AI115" s="493"/>
      <c r="AK115" s="492">
        <v>111</v>
      </c>
      <c r="AL115" s="492">
        <v>10</v>
      </c>
      <c r="AM115" s="497">
        <f>IF(('Comparison Calculator'!$E$11-AL115)&gt;=0,0,IFERROR(-PPMT($AQ$66/12,(AK115-60),($F$1-5)*12,$AQ$65),0))</f>
        <v>0</v>
      </c>
      <c r="AN115" s="497">
        <f>IF(('Comparison Calculator'!$E$11-AL115)&gt;=0,$C$1*$AQ$66/12,IFERROR(-IPMT($AQ$66/12,(AK115-60),($F$1-5)*12,$AQ$65,0),0))</f>
        <v>0</v>
      </c>
      <c r="AO115" s="497">
        <f t="shared" si="42"/>
        <v>0</v>
      </c>
      <c r="AP115" s="497">
        <f t="shared" si="55"/>
        <v>1800000</v>
      </c>
      <c r="AQ115" s="493"/>
      <c r="AR115" s="493"/>
      <c r="AT115" s="492">
        <v>111</v>
      </c>
      <c r="AU115" s="492">
        <v>10</v>
      </c>
      <c r="AV115" s="497">
        <f>IF(('Comparison Calculator'!$E$11-AU115)&gt;=0,0,IFERROR(-PPMT($AZ$66/12,(AT115-60),($F$1-5)*12,$AZ$65),0))</f>
        <v>0</v>
      </c>
      <c r="AW115" s="497">
        <f>IF(('Comparison Calculator'!$E$11-AU115)&gt;=0,$C$1*$AZ$66/12,IFERROR(-IPMT($AZ$66/12,(AT115-60),($F$1-5)*12,$AZ$65,0),0))</f>
        <v>0</v>
      </c>
      <c r="AX115" s="497">
        <f t="shared" si="43"/>
        <v>0</v>
      </c>
      <c r="AY115" s="497">
        <f t="shared" si="56"/>
        <v>1800000</v>
      </c>
      <c r="AZ115" s="493"/>
      <c r="BA115" s="493"/>
      <c r="BC115" s="492">
        <v>111</v>
      </c>
      <c r="BD115" s="492">
        <v>10</v>
      </c>
      <c r="BE115" s="497">
        <f>IF(('Comparison Calculator'!$E$11-BD115)&gt;=0,0,IFERROR(-PPMT($BI$66/12,(BC115-60),($F$1-5)*12,$BI$65),0))</f>
        <v>0</v>
      </c>
      <c r="BF115" s="497">
        <f>IF(('Comparison Calculator'!$E$11-BD115)&gt;=0,$C$1*$BI$66/12,IFERROR(-IPMT($BI$66/12,(BC115-60),($F$1-5)*12,$BI$65,0),0))</f>
        <v>0</v>
      </c>
      <c r="BG115" s="497">
        <f t="shared" si="44"/>
        <v>0</v>
      </c>
      <c r="BH115" s="497">
        <f t="shared" si="57"/>
        <v>1800000</v>
      </c>
      <c r="BI115" s="493"/>
      <c r="BJ115" s="493"/>
      <c r="BK115" s="492">
        <v>111</v>
      </c>
      <c r="BL115" s="492">
        <v>10</v>
      </c>
      <c r="BM115" s="497">
        <f>IF(('Comparison Calculator'!$E$11-BL115)&gt;=0,0,IFERROR(-PPMT($BQ$66/12,(BK115-60),($F$1-5)*12,$BQ$65),0))</f>
        <v>0</v>
      </c>
      <c r="BN115" s="497">
        <f>IF(('Comparison Calculator'!$E$11-BL115)&gt;=0,$C$1*$BQ$66/12,IFERROR(-IPMT($BQ$66/12,(BK115-60),($F$1-5)*12,$BQ$65,0),0))</f>
        <v>0</v>
      </c>
      <c r="BO115" s="497">
        <f t="shared" si="45"/>
        <v>0</v>
      </c>
      <c r="BP115" s="497">
        <f t="shared" si="58"/>
        <v>1800000</v>
      </c>
      <c r="BQ115" s="493"/>
      <c r="BR115" s="493"/>
      <c r="BT115" s="492">
        <v>111</v>
      </c>
      <c r="BU115" s="492">
        <v>10</v>
      </c>
      <c r="BV115" s="497">
        <f>IF(('Comparison Calculator'!$E$11-BU115)&gt;=0,0,IFERROR(-PPMT($BZ$66/12,(BT115-60),($F$1-5)*12,$BZ$65),0))</f>
        <v>0</v>
      </c>
      <c r="BW115" s="497">
        <f>IF(('Comparison Calculator'!$E$11-BU115)&gt;=0,$C$1*$BZ$66/12,IFERROR(-IPMT($BZ$66/12,(BT115-60),($F$1-5)*12,$BZ$65,0),0))</f>
        <v>0</v>
      </c>
      <c r="BX115" s="497">
        <f t="shared" si="46"/>
        <v>0</v>
      </c>
      <c r="BY115" s="497">
        <f t="shared" si="59"/>
        <v>1800000</v>
      </c>
      <c r="BZ115" s="493"/>
      <c r="CA115" s="493"/>
      <c r="CC115" s="492">
        <v>111</v>
      </c>
      <c r="CD115" s="492">
        <v>10</v>
      </c>
      <c r="CE115" s="497">
        <f>IF(('Comparison Calculator'!$E$11-CD115)&gt;=0,0,IFERROR(-PPMT($CI$66/12,(CC115-60),($F$1-5)*12,$CI$65),0))</f>
        <v>0</v>
      </c>
      <c r="CF115" s="497">
        <f>IF(('Comparison Calculator'!$E$11-CD115)&gt;=0,$C$1*$CI$66/12,IFERROR(-IPMT($CI$66/12,(CC115-60),($F$1-5)*12,$CI$65,0),0))</f>
        <v>0</v>
      </c>
      <c r="CG115" s="497">
        <f t="shared" si="47"/>
        <v>0</v>
      </c>
      <c r="CH115" s="497">
        <f t="shared" si="60"/>
        <v>1800000</v>
      </c>
      <c r="CI115" s="493"/>
      <c r="CJ115" s="493"/>
      <c r="CL115" s="492">
        <v>111</v>
      </c>
      <c r="CM115" s="492">
        <v>10</v>
      </c>
      <c r="CN115" s="497">
        <f>IF(('Comparison Calculator'!$E$11-CM115)&gt;=0,0,IFERROR(-PPMT($CR$66/12,(CL115-60),($F$1-5)*12,$CR$65),0))</f>
        <v>0</v>
      </c>
      <c r="CO115" s="497">
        <f>IF(('Comparison Calculator'!$E$11-CM115)&gt;=0,$C$1*$CI$66/12,IFERROR(-IPMT($CI$66/12,(CL115-60),($F$1-5)*12,$CI$65,0),0))</f>
        <v>0</v>
      </c>
      <c r="CP115" s="497">
        <f t="shared" si="48"/>
        <v>0</v>
      </c>
      <c r="CQ115" s="497">
        <f t="shared" si="61"/>
        <v>1800000</v>
      </c>
      <c r="CR115" s="493"/>
      <c r="CS115" s="493"/>
      <c r="CU115" s="492">
        <v>111</v>
      </c>
      <c r="CV115" s="492">
        <v>10</v>
      </c>
      <c r="CW115" s="497">
        <f>IF(('Comparison Calculator'!$E$11-CV115)&gt;=0,0,IFERROR(-PPMT($DA$66/12,(CU115-60),($F$1-5)*12,$DA$65),0))</f>
        <v>0</v>
      </c>
      <c r="CX115" s="497">
        <f>IF(('Comparison Calculator'!$E$11-CV115)&gt;=0,$C$1*$DA$66/12,IFERROR(-IPMT($DA$66/12,(CU115-60),($F$1-5)*12,$DA$65,0),0))</f>
        <v>0</v>
      </c>
      <c r="CY115" s="497">
        <f t="shared" si="49"/>
        <v>0</v>
      </c>
      <c r="CZ115" s="497">
        <f t="shared" si="62"/>
        <v>1800000</v>
      </c>
      <c r="DA115" s="493"/>
      <c r="DB115" s="493"/>
      <c r="DD115" s="492">
        <v>111</v>
      </c>
      <c r="DE115" s="492">
        <v>10</v>
      </c>
      <c r="DF115" s="497">
        <f>IF(('Comparison Calculator'!$E$11-DE115)&gt;=0,0,IFERROR(-PPMT($DJ$66/12,(DD115-60),($F$1-5)*12,$DJ$65),0))</f>
        <v>0</v>
      </c>
      <c r="DG115" s="497">
        <f>IF(('Comparison Calculator'!$E$11-DE115)&gt;=0,$C$1*$DJ$66/12,IFERROR(-IPMT($DJ$66/12,(DD115-60),($F$1-5)*12,$DJ$65,0),0))</f>
        <v>0</v>
      </c>
      <c r="DH115" s="497">
        <f t="shared" si="50"/>
        <v>0</v>
      </c>
      <c r="DI115" s="497">
        <f t="shared" si="63"/>
        <v>1800000</v>
      </c>
      <c r="DJ115" s="493"/>
      <c r="DK115" s="493"/>
    </row>
    <row r="116" spans="1:115">
      <c r="A116" s="492">
        <v>112</v>
      </c>
      <c r="B116" s="492">
        <v>10</v>
      </c>
      <c r="C116" s="497">
        <f>IF(('Comparison Calculator'!$E$11-B116)&gt;=0,0,IFERROR(-PPMT($G$66/12,(A116-60),($F$1-5)*12,$G$65),0))</f>
        <v>0</v>
      </c>
      <c r="D116" s="497">
        <f>IF(('Comparison Calculator'!$E$11-B116)&gt;=0,$C$1*$G$66/12,IFERROR(-IPMT($G$66/12,(A116-60),($F$1-5)*12,$G$65,0),0))</f>
        <v>0</v>
      </c>
      <c r="E116" s="497">
        <f t="shared" si="38"/>
        <v>0</v>
      </c>
      <c r="F116" s="497">
        <f t="shared" si="51"/>
        <v>1800000</v>
      </c>
      <c r="G116" s="493"/>
      <c r="H116" s="493"/>
      <c r="I116" s="489"/>
      <c r="J116" s="492">
        <v>112</v>
      </c>
      <c r="K116" s="492">
        <v>10</v>
      </c>
      <c r="L116" s="497">
        <f>IF(('Comparison Calculator'!$E$11-K116)&gt;=0,0,IFERROR(-PPMT($P$66/12,(J116-60),($F$1-5)*12,$P$65),0))</f>
        <v>0</v>
      </c>
      <c r="M116" s="497">
        <f>IF(('Comparison Calculator'!$E$11-K116)&gt;=0,$C$1*$P$66/12,IFERROR(-IPMT($P$66/12,(J116-60),($F$1-5)*12,$P$65,0),0))</f>
        <v>0</v>
      </c>
      <c r="N116" s="497">
        <f t="shared" si="39"/>
        <v>0</v>
      </c>
      <c r="O116" s="497">
        <f t="shared" si="52"/>
        <v>1800000</v>
      </c>
      <c r="P116" s="493"/>
      <c r="Q116" s="493"/>
      <c r="S116" s="492">
        <v>112</v>
      </c>
      <c r="T116" s="492">
        <v>10</v>
      </c>
      <c r="U116" s="497">
        <f>IF(('Comparison Calculator'!$E$11-T116)&gt;=0,0,IFERROR(-PPMT($Y$66/12,(S116-60),($F$1-5)*12,$Y$65),0))</f>
        <v>0</v>
      </c>
      <c r="V116" s="497">
        <f>IF(('Comparison Calculator'!$E$11-T116)&gt;=0,$C$1*$Y$66/12,IFERROR(-IPMT($Y$66/12,(S116-60),($F$1-5)*12,$Y$65,0),0))</f>
        <v>0</v>
      </c>
      <c r="W116" s="497">
        <f t="shared" si="40"/>
        <v>0</v>
      </c>
      <c r="X116" s="497">
        <f t="shared" si="53"/>
        <v>1800000</v>
      </c>
      <c r="Y116" s="493"/>
      <c r="Z116" s="493"/>
      <c r="AB116" s="492">
        <v>112</v>
      </c>
      <c r="AC116" s="492">
        <v>10</v>
      </c>
      <c r="AD116" s="497">
        <f>IF(('Comparison Calculator'!$E$11-AC116)&gt;=0,0,IFERROR(-PPMT($AH$66/12,(AB116-60),($F$1-5)*12,$AH$65),0))</f>
        <v>0</v>
      </c>
      <c r="AE116" s="497">
        <f>IF(('Comparison Calculator'!$E$11-AC116)&gt;=0,$C$1*$AH$66/12,IFERROR(-IPMT($AH$66/12,(AB116-60),($F$1-5)*12,$AH$65,0),0))</f>
        <v>0</v>
      </c>
      <c r="AF116" s="497">
        <f t="shared" si="41"/>
        <v>0</v>
      </c>
      <c r="AG116" s="497">
        <f t="shared" si="54"/>
        <v>1800000</v>
      </c>
      <c r="AH116" s="493"/>
      <c r="AI116" s="493"/>
      <c r="AK116" s="492">
        <v>112</v>
      </c>
      <c r="AL116" s="492">
        <v>10</v>
      </c>
      <c r="AM116" s="497">
        <f>IF(('Comparison Calculator'!$E$11-AL116)&gt;=0,0,IFERROR(-PPMT($AQ$66/12,(AK116-60),($F$1-5)*12,$AQ$65),0))</f>
        <v>0</v>
      </c>
      <c r="AN116" s="497">
        <f>IF(('Comparison Calculator'!$E$11-AL116)&gt;=0,$C$1*$AQ$66/12,IFERROR(-IPMT($AQ$66/12,(AK116-60),($F$1-5)*12,$AQ$65,0),0))</f>
        <v>0</v>
      </c>
      <c r="AO116" s="497">
        <f t="shared" si="42"/>
        <v>0</v>
      </c>
      <c r="AP116" s="497">
        <f t="shared" si="55"/>
        <v>1800000</v>
      </c>
      <c r="AQ116" s="493"/>
      <c r="AR116" s="493"/>
      <c r="AT116" s="492">
        <v>112</v>
      </c>
      <c r="AU116" s="492">
        <v>10</v>
      </c>
      <c r="AV116" s="497">
        <f>IF(('Comparison Calculator'!$E$11-AU116)&gt;=0,0,IFERROR(-PPMT($AZ$66/12,(AT116-60),($F$1-5)*12,$AZ$65),0))</f>
        <v>0</v>
      </c>
      <c r="AW116" s="497">
        <f>IF(('Comparison Calculator'!$E$11-AU116)&gt;=0,$C$1*$AZ$66/12,IFERROR(-IPMT($AZ$66/12,(AT116-60),($F$1-5)*12,$AZ$65,0),0))</f>
        <v>0</v>
      </c>
      <c r="AX116" s="497">
        <f t="shared" si="43"/>
        <v>0</v>
      </c>
      <c r="AY116" s="497">
        <f t="shared" si="56"/>
        <v>1800000</v>
      </c>
      <c r="AZ116" s="493"/>
      <c r="BA116" s="493"/>
      <c r="BC116" s="492">
        <v>112</v>
      </c>
      <c r="BD116" s="492">
        <v>10</v>
      </c>
      <c r="BE116" s="497">
        <f>IF(('Comparison Calculator'!$E$11-BD116)&gt;=0,0,IFERROR(-PPMT($BI$66/12,(BC116-60),($F$1-5)*12,$BI$65),0))</f>
        <v>0</v>
      </c>
      <c r="BF116" s="497">
        <f>IF(('Comparison Calculator'!$E$11-BD116)&gt;=0,$C$1*$BI$66/12,IFERROR(-IPMT($BI$66/12,(BC116-60),($F$1-5)*12,$BI$65,0),0))</f>
        <v>0</v>
      </c>
      <c r="BG116" s="497">
        <f t="shared" si="44"/>
        <v>0</v>
      </c>
      <c r="BH116" s="497">
        <f t="shared" si="57"/>
        <v>1800000</v>
      </c>
      <c r="BI116" s="493"/>
      <c r="BJ116" s="493"/>
      <c r="BK116" s="492">
        <v>112</v>
      </c>
      <c r="BL116" s="492">
        <v>10</v>
      </c>
      <c r="BM116" s="497">
        <f>IF(('Comparison Calculator'!$E$11-BL116)&gt;=0,0,IFERROR(-PPMT($BQ$66/12,(BK116-60),($F$1-5)*12,$BQ$65),0))</f>
        <v>0</v>
      </c>
      <c r="BN116" s="497">
        <f>IF(('Comparison Calculator'!$E$11-BL116)&gt;=0,$C$1*$BQ$66/12,IFERROR(-IPMT($BQ$66/12,(BK116-60),($F$1-5)*12,$BQ$65,0),0))</f>
        <v>0</v>
      </c>
      <c r="BO116" s="497">
        <f t="shared" si="45"/>
        <v>0</v>
      </c>
      <c r="BP116" s="497">
        <f t="shared" si="58"/>
        <v>1800000</v>
      </c>
      <c r="BQ116" s="493"/>
      <c r="BR116" s="493"/>
      <c r="BT116" s="492">
        <v>112</v>
      </c>
      <c r="BU116" s="492">
        <v>10</v>
      </c>
      <c r="BV116" s="497">
        <f>IF(('Comparison Calculator'!$E$11-BU116)&gt;=0,0,IFERROR(-PPMT($BZ$66/12,(BT116-60),($F$1-5)*12,$BZ$65),0))</f>
        <v>0</v>
      </c>
      <c r="BW116" s="497">
        <f>IF(('Comparison Calculator'!$E$11-BU116)&gt;=0,$C$1*$BZ$66/12,IFERROR(-IPMT($BZ$66/12,(BT116-60),($F$1-5)*12,$BZ$65,0),0))</f>
        <v>0</v>
      </c>
      <c r="BX116" s="497">
        <f t="shared" si="46"/>
        <v>0</v>
      </c>
      <c r="BY116" s="497">
        <f t="shared" si="59"/>
        <v>1800000</v>
      </c>
      <c r="BZ116" s="493"/>
      <c r="CA116" s="493"/>
      <c r="CC116" s="492">
        <v>112</v>
      </c>
      <c r="CD116" s="492">
        <v>10</v>
      </c>
      <c r="CE116" s="497">
        <f>IF(('Comparison Calculator'!$E$11-CD116)&gt;=0,0,IFERROR(-PPMT($CI$66/12,(CC116-60),($F$1-5)*12,$CI$65),0))</f>
        <v>0</v>
      </c>
      <c r="CF116" s="497">
        <f>IF(('Comparison Calculator'!$E$11-CD116)&gt;=0,$C$1*$CI$66/12,IFERROR(-IPMT($CI$66/12,(CC116-60),($F$1-5)*12,$CI$65,0),0))</f>
        <v>0</v>
      </c>
      <c r="CG116" s="497">
        <f t="shared" si="47"/>
        <v>0</v>
      </c>
      <c r="CH116" s="497">
        <f t="shared" si="60"/>
        <v>1800000</v>
      </c>
      <c r="CI116" s="493"/>
      <c r="CJ116" s="493"/>
      <c r="CL116" s="492">
        <v>112</v>
      </c>
      <c r="CM116" s="492">
        <v>10</v>
      </c>
      <c r="CN116" s="497">
        <f>IF(('Comparison Calculator'!$E$11-CM116)&gt;=0,0,IFERROR(-PPMT($CR$66/12,(CL116-60),($F$1-5)*12,$CR$65),0))</f>
        <v>0</v>
      </c>
      <c r="CO116" s="497">
        <f>IF(('Comparison Calculator'!$E$11-CM116)&gt;=0,$C$1*$CI$66/12,IFERROR(-IPMT($CI$66/12,(CL116-60),($F$1-5)*12,$CI$65,0),0))</f>
        <v>0</v>
      </c>
      <c r="CP116" s="497">
        <f t="shared" si="48"/>
        <v>0</v>
      </c>
      <c r="CQ116" s="497">
        <f t="shared" si="61"/>
        <v>1800000</v>
      </c>
      <c r="CR116" s="493"/>
      <c r="CS116" s="493"/>
      <c r="CU116" s="492">
        <v>112</v>
      </c>
      <c r="CV116" s="492">
        <v>10</v>
      </c>
      <c r="CW116" s="497">
        <f>IF(('Comparison Calculator'!$E$11-CV116)&gt;=0,0,IFERROR(-PPMT($DA$66/12,(CU116-60),($F$1-5)*12,$DA$65),0))</f>
        <v>0</v>
      </c>
      <c r="CX116" s="497">
        <f>IF(('Comparison Calculator'!$E$11-CV116)&gt;=0,$C$1*$DA$66/12,IFERROR(-IPMT($DA$66/12,(CU116-60),($F$1-5)*12,$DA$65,0),0))</f>
        <v>0</v>
      </c>
      <c r="CY116" s="497">
        <f t="shared" si="49"/>
        <v>0</v>
      </c>
      <c r="CZ116" s="497">
        <f t="shared" si="62"/>
        <v>1800000</v>
      </c>
      <c r="DA116" s="493"/>
      <c r="DB116" s="493"/>
      <c r="DD116" s="492">
        <v>112</v>
      </c>
      <c r="DE116" s="492">
        <v>10</v>
      </c>
      <c r="DF116" s="497">
        <f>IF(('Comparison Calculator'!$E$11-DE116)&gt;=0,0,IFERROR(-PPMT($DJ$66/12,(DD116-60),($F$1-5)*12,$DJ$65),0))</f>
        <v>0</v>
      </c>
      <c r="DG116" s="497">
        <f>IF(('Comparison Calculator'!$E$11-DE116)&gt;=0,$C$1*$DJ$66/12,IFERROR(-IPMT($DJ$66/12,(DD116-60),($F$1-5)*12,$DJ$65,0),0))</f>
        <v>0</v>
      </c>
      <c r="DH116" s="497">
        <f t="shared" si="50"/>
        <v>0</v>
      </c>
      <c r="DI116" s="497">
        <f t="shared" si="63"/>
        <v>1800000</v>
      </c>
      <c r="DJ116" s="493"/>
      <c r="DK116" s="493"/>
    </row>
    <row r="117" spans="1:115">
      <c r="A117" s="492">
        <v>113</v>
      </c>
      <c r="B117" s="492">
        <v>10</v>
      </c>
      <c r="C117" s="497">
        <f>IF(('Comparison Calculator'!$E$11-B117)&gt;=0,0,IFERROR(-PPMT($G$66/12,(A117-60),($F$1-5)*12,$G$65),0))</f>
        <v>0</v>
      </c>
      <c r="D117" s="497">
        <f>IF(('Comparison Calculator'!$E$11-B117)&gt;=0,$C$1*$G$66/12,IFERROR(-IPMT($G$66/12,(A117-60),($F$1-5)*12,$G$65,0),0))</f>
        <v>0</v>
      </c>
      <c r="E117" s="497">
        <f t="shared" si="38"/>
        <v>0</v>
      </c>
      <c r="F117" s="497">
        <f t="shared" si="51"/>
        <v>1800000</v>
      </c>
      <c r="G117" s="493"/>
      <c r="H117" s="493"/>
      <c r="I117" s="489"/>
      <c r="J117" s="492">
        <v>113</v>
      </c>
      <c r="K117" s="492">
        <v>10</v>
      </c>
      <c r="L117" s="497">
        <f>IF(('Comparison Calculator'!$E$11-K117)&gt;=0,0,IFERROR(-PPMT($P$66/12,(J117-60),($F$1-5)*12,$P$65),0))</f>
        <v>0</v>
      </c>
      <c r="M117" s="497">
        <f>IF(('Comparison Calculator'!$E$11-K117)&gt;=0,$C$1*$P$66/12,IFERROR(-IPMT($P$66/12,(J117-60),($F$1-5)*12,$P$65,0),0))</f>
        <v>0</v>
      </c>
      <c r="N117" s="497">
        <f t="shared" si="39"/>
        <v>0</v>
      </c>
      <c r="O117" s="497">
        <f t="shared" si="52"/>
        <v>1800000</v>
      </c>
      <c r="P117" s="493"/>
      <c r="Q117" s="493"/>
      <c r="S117" s="492">
        <v>113</v>
      </c>
      <c r="T117" s="492">
        <v>10</v>
      </c>
      <c r="U117" s="497">
        <f>IF(('Comparison Calculator'!$E$11-T117)&gt;=0,0,IFERROR(-PPMT($Y$66/12,(S117-60),($F$1-5)*12,$Y$65),0))</f>
        <v>0</v>
      </c>
      <c r="V117" s="497">
        <f>IF(('Comparison Calculator'!$E$11-T117)&gt;=0,$C$1*$Y$66/12,IFERROR(-IPMT($Y$66/12,(S117-60),($F$1-5)*12,$Y$65,0),0))</f>
        <v>0</v>
      </c>
      <c r="W117" s="497">
        <f t="shared" si="40"/>
        <v>0</v>
      </c>
      <c r="X117" s="497">
        <f t="shared" si="53"/>
        <v>1800000</v>
      </c>
      <c r="Y117" s="493"/>
      <c r="Z117" s="493"/>
      <c r="AB117" s="492">
        <v>113</v>
      </c>
      <c r="AC117" s="492">
        <v>10</v>
      </c>
      <c r="AD117" s="497">
        <f>IF(('Comparison Calculator'!$E$11-AC117)&gt;=0,0,IFERROR(-PPMT($AH$66/12,(AB117-60),($F$1-5)*12,$AH$65),0))</f>
        <v>0</v>
      </c>
      <c r="AE117" s="497">
        <f>IF(('Comparison Calculator'!$E$11-AC117)&gt;=0,$C$1*$AH$66/12,IFERROR(-IPMT($AH$66/12,(AB117-60),($F$1-5)*12,$AH$65,0),0))</f>
        <v>0</v>
      </c>
      <c r="AF117" s="497">
        <f t="shared" si="41"/>
        <v>0</v>
      </c>
      <c r="AG117" s="497">
        <f t="shared" si="54"/>
        <v>1800000</v>
      </c>
      <c r="AH117" s="493"/>
      <c r="AI117" s="493"/>
      <c r="AK117" s="492">
        <v>113</v>
      </c>
      <c r="AL117" s="492">
        <v>10</v>
      </c>
      <c r="AM117" s="497">
        <f>IF(('Comparison Calculator'!$E$11-AL117)&gt;=0,0,IFERROR(-PPMT($AQ$66/12,(AK117-60),($F$1-5)*12,$AQ$65),0))</f>
        <v>0</v>
      </c>
      <c r="AN117" s="497">
        <f>IF(('Comparison Calculator'!$E$11-AL117)&gt;=0,$C$1*$AQ$66/12,IFERROR(-IPMT($AQ$66/12,(AK117-60),($F$1-5)*12,$AQ$65,0),0))</f>
        <v>0</v>
      </c>
      <c r="AO117" s="497">
        <f t="shared" si="42"/>
        <v>0</v>
      </c>
      <c r="AP117" s="497">
        <f t="shared" si="55"/>
        <v>1800000</v>
      </c>
      <c r="AQ117" s="493"/>
      <c r="AR117" s="493"/>
      <c r="AT117" s="492">
        <v>113</v>
      </c>
      <c r="AU117" s="492">
        <v>10</v>
      </c>
      <c r="AV117" s="497">
        <f>IF(('Comparison Calculator'!$E$11-AU117)&gt;=0,0,IFERROR(-PPMT($AZ$66/12,(AT117-60),($F$1-5)*12,$AZ$65),0))</f>
        <v>0</v>
      </c>
      <c r="AW117" s="497">
        <f>IF(('Comparison Calculator'!$E$11-AU117)&gt;=0,$C$1*$AZ$66/12,IFERROR(-IPMT($AZ$66/12,(AT117-60),($F$1-5)*12,$AZ$65,0),0))</f>
        <v>0</v>
      </c>
      <c r="AX117" s="497">
        <f t="shared" si="43"/>
        <v>0</v>
      </c>
      <c r="AY117" s="497">
        <f t="shared" si="56"/>
        <v>1800000</v>
      </c>
      <c r="AZ117" s="493"/>
      <c r="BA117" s="493"/>
      <c r="BC117" s="492">
        <v>113</v>
      </c>
      <c r="BD117" s="492">
        <v>10</v>
      </c>
      <c r="BE117" s="497">
        <f>IF(('Comparison Calculator'!$E$11-BD117)&gt;=0,0,IFERROR(-PPMT($BI$66/12,(BC117-60),($F$1-5)*12,$BI$65),0))</f>
        <v>0</v>
      </c>
      <c r="BF117" s="497">
        <f>IF(('Comparison Calculator'!$E$11-BD117)&gt;=0,$C$1*$BI$66/12,IFERROR(-IPMT($BI$66/12,(BC117-60),($F$1-5)*12,$BI$65,0),0))</f>
        <v>0</v>
      </c>
      <c r="BG117" s="497">
        <f t="shared" si="44"/>
        <v>0</v>
      </c>
      <c r="BH117" s="497">
        <f t="shared" si="57"/>
        <v>1800000</v>
      </c>
      <c r="BI117" s="493"/>
      <c r="BJ117" s="493"/>
      <c r="BK117" s="492">
        <v>113</v>
      </c>
      <c r="BL117" s="492">
        <v>10</v>
      </c>
      <c r="BM117" s="497">
        <f>IF(('Comparison Calculator'!$E$11-BL117)&gt;=0,0,IFERROR(-PPMT($BQ$66/12,(BK117-60),($F$1-5)*12,$BQ$65),0))</f>
        <v>0</v>
      </c>
      <c r="BN117" s="497">
        <f>IF(('Comparison Calculator'!$E$11-BL117)&gt;=0,$C$1*$BQ$66/12,IFERROR(-IPMT($BQ$66/12,(BK117-60),($F$1-5)*12,$BQ$65,0),0))</f>
        <v>0</v>
      </c>
      <c r="BO117" s="497">
        <f t="shared" si="45"/>
        <v>0</v>
      </c>
      <c r="BP117" s="497">
        <f t="shared" si="58"/>
        <v>1800000</v>
      </c>
      <c r="BQ117" s="493"/>
      <c r="BR117" s="493"/>
      <c r="BT117" s="492">
        <v>113</v>
      </c>
      <c r="BU117" s="492">
        <v>10</v>
      </c>
      <c r="BV117" s="497">
        <f>IF(('Comparison Calculator'!$E$11-BU117)&gt;=0,0,IFERROR(-PPMT($BZ$66/12,(BT117-60),($F$1-5)*12,$BZ$65),0))</f>
        <v>0</v>
      </c>
      <c r="BW117" s="497">
        <f>IF(('Comparison Calculator'!$E$11-BU117)&gt;=0,$C$1*$BZ$66/12,IFERROR(-IPMT($BZ$66/12,(BT117-60),($F$1-5)*12,$BZ$65,0),0))</f>
        <v>0</v>
      </c>
      <c r="BX117" s="497">
        <f t="shared" si="46"/>
        <v>0</v>
      </c>
      <c r="BY117" s="497">
        <f t="shared" si="59"/>
        <v>1800000</v>
      </c>
      <c r="BZ117" s="493"/>
      <c r="CA117" s="493"/>
      <c r="CC117" s="492">
        <v>113</v>
      </c>
      <c r="CD117" s="492">
        <v>10</v>
      </c>
      <c r="CE117" s="497">
        <f>IF(('Comparison Calculator'!$E$11-CD117)&gt;=0,0,IFERROR(-PPMT($CI$66/12,(CC117-60),($F$1-5)*12,$CI$65),0))</f>
        <v>0</v>
      </c>
      <c r="CF117" s="497">
        <f>IF(('Comparison Calculator'!$E$11-CD117)&gt;=0,$C$1*$CI$66/12,IFERROR(-IPMT($CI$66/12,(CC117-60),($F$1-5)*12,$CI$65,0),0))</f>
        <v>0</v>
      </c>
      <c r="CG117" s="497">
        <f t="shared" si="47"/>
        <v>0</v>
      </c>
      <c r="CH117" s="497">
        <f t="shared" si="60"/>
        <v>1800000</v>
      </c>
      <c r="CI117" s="493"/>
      <c r="CJ117" s="493"/>
      <c r="CL117" s="492">
        <v>113</v>
      </c>
      <c r="CM117" s="492">
        <v>10</v>
      </c>
      <c r="CN117" s="497">
        <f>IF(('Comparison Calculator'!$E$11-CM117)&gt;=0,0,IFERROR(-PPMT($CR$66/12,(CL117-60),($F$1-5)*12,$CR$65),0))</f>
        <v>0</v>
      </c>
      <c r="CO117" s="497">
        <f>IF(('Comparison Calculator'!$E$11-CM117)&gt;=0,$C$1*$CI$66/12,IFERROR(-IPMT($CI$66/12,(CL117-60),($F$1-5)*12,$CI$65,0),0))</f>
        <v>0</v>
      </c>
      <c r="CP117" s="497">
        <f t="shared" si="48"/>
        <v>0</v>
      </c>
      <c r="CQ117" s="497">
        <f t="shared" si="61"/>
        <v>1800000</v>
      </c>
      <c r="CR117" s="493"/>
      <c r="CS117" s="493"/>
      <c r="CU117" s="492">
        <v>113</v>
      </c>
      <c r="CV117" s="492">
        <v>10</v>
      </c>
      <c r="CW117" s="497">
        <f>IF(('Comparison Calculator'!$E$11-CV117)&gt;=0,0,IFERROR(-PPMT($DA$66/12,(CU117-60),($F$1-5)*12,$DA$65),0))</f>
        <v>0</v>
      </c>
      <c r="CX117" s="497">
        <f>IF(('Comparison Calculator'!$E$11-CV117)&gt;=0,$C$1*$DA$66/12,IFERROR(-IPMT($DA$66/12,(CU117-60),($F$1-5)*12,$DA$65,0),0))</f>
        <v>0</v>
      </c>
      <c r="CY117" s="497">
        <f t="shared" si="49"/>
        <v>0</v>
      </c>
      <c r="CZ117" s="497">
        <f t="shared" si="62"/>
        <v>1800000</v>
      </c>
      <c r="DA117" s="493"/>
      <c r="DB117" s="493"/>
      <c r="DD117" s="492">
        <v>113</v>
      </c>
      <c r="DE117" s="492">
        <v>10</v>
      </c>
      <c r="DF117" s="497">
        <f>IF(('Comparison Calculator'!$E$11-DE117)&gt;=0,0,IFERROR(-PPMT($DJ$66/12,(DD117-60),($F$1-5)*12,$DJ$65),0))</f>
        <v>0</v>
      </c>
      <c r="DG117" s="497">
        <f>IF(('Comparison Calculator'!$E$11-DE117)&gt;=0,$C$1*$DJ$66/12,IFERROR(-IPMT($DJ$66/12,(DD117-60),($F$1-5)*12,$DJ$65,0),0))</f>
        <v>0</v>
      </c>
      <c r="DH117" s="497">
        <f t="shared" si="50"/>
        <v>0</v>
      </c>
      <c r="DI117" s="497">
        <f t="shared" si="63"/>
        <v>1800000</v>
      </c>
      <c r="DJ117" s="493"/>
      <c r="DK117" s="493"/>
    </row>
    <row r="118" spans="1:115">
      <c r="A118" s="492">
        <v>114</v>
      </c>
      <c r="B118" s="492">
        <v>10</v>
      </c>
      <c r="C118" s="497">
        <f>IF(('Comparison Calculator'!$E$11-B118)&gt;=0,0,IFERROR(-PPMT($G$66/12,(A118-60),($F$1-5)*12,$G$65),0))</f>
        <v>0</v>
      </c>
      <c r="D118" s="497">
        <f>IF(('Comparison Calculator'!$E$11-B118)&gt;=0,$C$1*$G$66/12,IFERROR(-IPMT($G$66/12,(A118-60),($F$1-5)*12,$G$65,0),0))</f>
        <v>0</v>
      </c>
      <c r="E118" s="497">
        <f t="shared" si="38"/>
        <v>0</v>
      </c>
      <c r="F118" s="497">
        <f t="shared" si="51"/>
        <v>1800000</v>
      </c>
      <c r="G118" s="493"/>
      <c r="H118" s="493"/>
      <c r="I118" s="489"/>
      <c r="J118" s="492">
        <v>114</v>
      </c>
      <c r="K118" s="492">
        <v>10</v>
      </c>
      <c r="L118" s="497">
        <f>IF(('Comparison Calculator'!$E$11-K118)&gt;=0,0,IFERROR(-PPMT($P$66/12,(J118-60),($F$1-5)*12,$P$65),0))</f>
        <v>0</v>
      </c>
      <c r="M118" s="497">
        <f>IF(('Comparison Calculator'!$E$11-K118)&gt;=0,$C$1*$P$66/12,IFERROR(-IPMT($P$66/12,(J118-60),($F$1-5)*12,$P$65,0),0))</f>
        <v>0</v>
      </c>
      <c r="N118" s="497">
        <f t="shared" si="39"/>
        <v>0</v>
      </c>
      <c r="O118" s="497">
        <f t="shared" si="52"/>
        <v>1800000</v>
      </c>
      <c r="P118" s="493"/>
      <c r="Q118" s="493"/>
      <c r="S118" s="492">
        <v>114</v>
      </c>
      <c r="T118" s="492">
        <v>10</v>
      </c>
      <c r="U118" s="497">
        <f>IF(('Comparison Calculator'!$E$11-T118)&gt;=0,0,IFERROR(-PPMT($Y$66/12,(S118-60),($F$1-5)*12,$Y$65),0))</f>
        <v>0</v>
      </c>
      <c r="V118" s="497">
        <f>IF(('Comparison Calculator'!$E$11-T118)&gt;=0,$C$1*$Y$66/12,IFERROR(-IPMT($Y$66/12,(S118-60),($F$1-5)*12,$Y$65,0),0))</f>
        <v>0</v>
      </c>
      <c r="W118" s="497">
        <f t="shared" si="40"/>
        <v>0</v>
      </c>
      <c r="X118" s="497">
        <f t="shared" si="53"/>
        <v>1800000</v>
      </c>
      <c r="Y118" s="493"/>
      <c r="Z118" s="493"/>
      <c r="AB118" s="492">
        <v>114</v>
      </c>
      <c r="AC118" s="492">
        <v>10</v>
      </c>
      <c r="AD118" s="497">
        <f>IF(('Comparison Calculator'!$E$11-AC118)&gt;=0,0,IFERROR(-PPMT($AH$66/12,(AB118-60),($F$1-5)*12,$AH$65),0))</f>
        <v>0</v>
      </c>
      <c r="AE118" s="497">
        <f>IF(('Comparison Calculator'!$E$11-AC118)&gt;=0,$C$1*$AH$66/12,IFERROR(-IPMT($AH$66/12,(AB118-60),($F$1-5)*12,$AH$65,0),0))</f>
        <v>0</v>
      </c>
      <c r="AF118" s="497">
        <f t="shared" si="41"/>
        <v>0</v>
      </c>
      <c r="AG118" s="497">
        <f t="shared" si="54"/>
        <v>1800000</v>
      </c>
      <c r="AH118" s="493"/>
      <c r="AI118" s="493"/>
      <c r="AK118" s="492">
        <v>114</v>
      </c>
      <c r="AL118" s="492">
        <v>10</v>
      </c>
      <c r="AM118" s="497">
        <f>IF(('Comparison Calculator'!$E$11-AL118)&gt;=0,0,IFERROR(-PPMT($AQ$66/12,(AK118-60),($F$1-5)*12,$AQ$65),0))</f>
        <v>0</v>
      </c>
      <c r="AN118" s="497">
        <f>IF(('Comparison Calculator'!$E$11-AL118)&gt;=0,$C$1*$AQ$66/12,IFERROR(-IPMT($AQ$66/12,(AK118-60),($F$1-5)*12,$AQ$65,0),0))</f>
        <v>0</v>
      </c>
      <c r="AO118" s="497">
        <f t="shared" si="42"/>
        <v>0</v>
      </c>
      <c r="AP118" s="497">
        <f t="shared" si="55"/>
        <v>1800000</v>
      </c>
      <c r="AQ118" s="493"/>
      <c r="AR118" s="493"/>
      <c r="AT118" s="492">
        <v>114</v>
      </c>
      <c r="AU118" s="492">
        <v>10</v>
      </c>
      <c r="AV118" s="497">
        <f>IF(('Comparison Calculator'!$E$11-AU118)&gt;=0,0,IFERROR(-PPMT($AZ$66/12,(AT118-60),($F$1-5)*12,$AZ$65),0))</f>
        <v>0</v>
      </c>
      <c r="AW118" s="497">
        <f>IF(('Comparison Calculator'!$E$11-AU118)&gt;=0,$C$1*$AZ$66/12,IFERROR(-IPMT($AZ$66/12,(AT118-60),($F$1-5)*12,$AZ$65,0),0))</f>
        <v>0</v>
      </c>
      <c r="AX118" s="497">
        <f t="shared" si="43"/>
        <v>0</v>
      </c>
      <c r="AY118" s="497">
        <f t="shared" si="56"/>
        <v>1800000</v>
      </c>
      <c r="AZ118" s="493"/>
      <c r="BA118" s="493"/>
      <c r="BC118" s="492">
        <v>114</v>
      </c>
      <c r="BD118" s="492">
        <v>10</v>
      </c>
      <c r="BE118" s="497">
        <f>IF(('Comparison Calculator'!$E$11-BD118)&gt;=0,0,IFERROR(-PPMT($BI$66/12,(BC118-60),($F$1-5)*12,$BI$65),0))</f>
        <v>0</v>
      </c>
      <c r="BF118" s="497">
        <f>IF(('Comparison Calculator'!$E$11-BD118)&gt;=0,$C$1*$BI$66/12,IFERROR(-IPMT($BI$66/12,(BC118-60),($F$1-5)*12,$BI$65,0),0))</f>
        <v>0</v>
      </c>
      <c r="BG118" s="497">
        <f t="shared" si="44"/>
        <v>0</v>
      </c>
      <c r="BH118" s="497">
        <f t="shared" si="57"/>
        <v>1800000</v>
      </c>
      <c r="BI118" s="493"/>
      <c r="BJ118" s="493"/>
      <c r="BK118" s="492">
        <v>114</v>
      </c>
      <c r="BL118" s="492">
        <v>10</v>
      </c>
      <c r="BM118" s="497">
        <f>IF(('Comparison Calculator'!$E$11-BL118)&gt;=0,0,IFERROR(-PPMT($BQ$66/12,(BK118-60),($F$1-5)*12,$BQ$65),0))</f>
        <v>0</v>
      </c>
      <c r="BN118" s="497">
        <f>IF(('Comparison Calculator'!$E$11-BL118)&gt;=0,$C$1*$BQ$66/12,IFERROR(-IPMT($BQ$66/12,(BK118-60),($F$1-5)*12,$BQ$65,0),0))</f>
        <v>0</v>
      </c>
      <c r="BO118" s="497">
        <f t="shared" si="45"/>
        <v>0</v>
      </c>
      <c r="BP118" s="497">
        <f t="shared" si="58"/>
        <v>1800000</v>
      </c>
      <c r="BQ118" s="493"/>
      <c r="BR118" s="493"/>
      <c r="BT118" s="492">
        <v>114</v>
      </c>
      <c r="BU118" s="492">
        <v>10</v>
      </c>
      <c r="BV118" s="497">
        <f>IF(('Comparison Calculator'!$E$11-BU118)&gt;=0,0,IFERROR(-PPMT($BZ$66/12,(BT118-60),($F$1-5)*12,$BZ$65),0))</f>
        <v>0</v>
      </c>
      <c r="BW118" s="497">
        <f>IF(('Comparison Calculator'!$E$11-BU118)&gt;=0,$C$1*$BZ$66/12,IFERROR(-IPMT($BZ$66/12,(BT118-60),($F$1-5)*12,$BZ$65,0),0))</f>
        <v>0</v>
      </c>
      <c r="BX118" s="497">
        <f t="shared" si="46"/>
        <v>0</v>
      </c>
      <c r="BY118" s="497">
        <f t="shared" si="59"/>
        <v>1800000</v>
      </c>
      <c r="BZ118" s="493"/>
      <c r="CA118" s="493"/>
      <c r="CC118" s="492">
        <v>114</v>
      </c>
      <c r="CD118" s="492">
        <v>10</v>
      </c>
      <c r="CE118" s="497">
        <f>IF(('Comparison Calculator'!$E$11-CD118)&gt;=0,0,IFERROR(-PPMT($CI$66/12,(CC118-60),($F$1-5)*12,$CI$65),0))</f>
        <v>0</v>
      </c>
      <c r="CF118" s="497">
        <f>IF(('Comparison Calculator'!$E$11-CD118)&gt;=0,$C$1*$CI$66/12,IFERROR(-IPMT($CI$66/12,(CC118-60),($F$1-5)*12,$CI$65,0),0))</f>
        <v>0</v>
      </c>
      <c r="CG118" s="497">
        <f t="shared" si="47"/>
        <v>0</v>
      </c>
      <c r="CH118" s="497">
        <f t="shared" si="60"/>
        <v>1800000</v>
      </c>
      <c r="CI118" s="493"/>
      <c r="CJ118" s="493"/>
      <c r="CL118" s="492">
        <v>114</v>
      </c>
      <c r="CM118" s="492">
        <v>10</v>
      </c>
      <c r="CN118" s="497">
        <f>IF(('Comparison Calculator'!$E$11-CM118)&gt;=0,0,IFERROR(-PPMT($CR$66/12,(CL118-60),($F$1-5)*12,$CR$65),0))</f>
        <v>0</v>
      </c>
      <c r="CO118" s="497">
        <f>IF(('Comparison Calculator'!$E$11-CM118)&gt;=0,$C$1*$CI$66/12,IFERROR(-IPMT($CI$66/12,(CL118-60),($F$1-5)*12,$CI$65,0),0))</f>
        <v>0</v>
      </c>
      <c r="CP118" s="497">
        <f t="shared" si="48"/>
        <v>0</v>
      </c>
      <c r="CQ118" s="497">
        <f t="shared" si="61"/>
        <v>1800000</v>
      </c>
      <c r="CR118" s="493"/>
      <c r="CS118" s="493"/>
      <c r="CU118" s="492">
        <v>114</v>
      </c>
      <c r="CV118" s="492">
        <v>10</v>
      </c>
      <c r="CW118" s="497">
        <f>IF(('Comparison Calculator'!$E$11-CV118)&gt;=0,0,IFERROR(-PPMT($DA$66/12,(CU118-60),($F$1-5)*12,$DA$65),0))</f>
        <v>0</v>
      </c>
      <c r="CX118" s="497">
        <f>IF(('Comparison Calculator'!$E$11-CV118)&gt;=0,$C$1*$DA$66/12,IFERROR(-IPMT($DA$66/12,(CU118-60),($F$1-5)*12,$DA$65,0),0))</f>
        <v>0</v>
      </c>
      <c r="CY118" s="497">
        <f t="shared" si="49"/>
        <v>0</v>
      </c>
      <c r="CZ118" s="497">
        <f t="shared" si="62"/>
        <v>1800000</v>
      </c>
      <c r="DA118" s="493"/>
      <c r="DB118" s="493"/>
      <c r="DD118" s="492">
        <v>114</v>
      </c>
      <c r="DE118" s="492">
        <v>10</v>
      </c>
      <c r="DF118" s="497">
        <f>IF(('Comparison Calculator'!$E$11-DE118)&gt;=0,0,IFERROR(-PPMT($DJ$66/12,(DD118-60),($F$1-5)*12,$DJ$65),0))</f>
        <v>0</v>
      </c>
      <c r="DG118" s="497">
        <f>IF(('Comparison Calculator'!$E$11-DE118)&gt;=0,$C$1*$DJ$66/12,IFERROR(-IPMT($DJ$66/12,(DD118-60),($F$1-5)*12,$DJ$65,0),0))</f>
        <v>0</v>
      </c>
      <c r="DH118" s="497">
        <f t="shared" si="50"/>
        <v>0</v>
      </c>
      <c r="DI118" s="497">
        <f t="shared" si="63"/>
        <v>1800000</v>
      </c>
      <c r="DJ118" s="493"/>
      <c r="DK118" s="493"/>
    </row>
    <row r="119" spans="1:115">
      <c r="A119" s="492">
        <v>115</v>
      </c>
      <c r="B119" s="492">
        <v>10</v>
      </c>
      <c r="C119" s="497">
        <f>IF(('Comparison Calculator'!$E$11-B119)&gt;=0,0,IFERROR(-PPMT($G$66/12,(A119-60),($F$1-5)*12,$G$65),0))</f>
        <v>0</v>
      </c>
      <c r="D119" s="497">
        <f>IF(('Comparison Calculator'!$E$11-B119)&gt;=0,$C$1*$G$66/12,IFERROR(-IPMT($G$66/12,(A119-60),($F$1-5)*12,$G$65,0),0))</f>
        <v>0</v>
      </c>
      <c r="E119" s="497">
        <f t="shared" si="38"/>
        <v>0</v>
      </c>
      <c r="F119" s="497">
        <f t="shared" si="51"/>
        <v>1800000</v>
      </c>
      <c r="G119" s="493"/>
      <c r="H119" s="493"/>
      <c r="I119" s="489"/>
      <c r="J119" s="492">
        <v>115</v>
      </c>
      <c r="K119" s="492">
        <v>10</v>
      </c>
      <c r="L119" s="497">
        <f>IF(('Comparison Calculator'!$E$11-K119)&gt;=0,0,IFERROR(-PPMT($P$66/12,(J119-60),($F$1-5)*12,$P$65),0))</f>
        <v>0</v>
      </c>
      <c r="M119" s="497">
        <f>IF(('Comparison Calculator'!$E$11-K119)&gt;=0,$C$1*$P$66/12,IFERROR(-IPMT($P$66/12,(J119-60),($F$1-5)*12,$P$65,0),0))</f>
        <v>0</v>
      </c>
      <c r="N119" s="497">
        <f t="shared" si="39"/>
        <v>0</v>
      </c>
      <c r="O119" s="497">
        <f t="shared" si="52"/>
        <v>1800000</v>
      </c>
      <c r="P119" s="493"/>
      <c r="Q119" s="493"/>
      <c r="S119" s="492">
        <v>115</v>
      </c>
      <c r="T119" s="492">
        <v>10</v>
      </c>
      <c r="U119" s="497">
        <f>IF(('Comparison Calculator'!$E$11-T119)&gt;=0,0,IFERROR(-PPMT($Y$66/12,(S119-60),($F$1-5)*12,$Y$65),0))</f>
        <v>0</v>
      </c>
      <c r="V119" s="497">
        <f>IF(('Comparison Calculator'!$E$11-T119)&gt;=0,$C$1*$Y$66/12,IFERROR(-IPMT($Y$66/12,(S119-60),($F$1-5)*12,$Y$65,0),0))</f>
        <v>0</v>
      </c>
      <c r="W119" s="497">
        <f t="shared" si="40"/>
        <v>0</v>
      </c>
      <c r="X119" s="497">
        <f t="shared" si="53"/>
        <v>1800000</v>
      </c>
      <c r="Y119" s="493"/>
      <c r="Z119" s="493"/>
      <c r="AB119" s="492">
        <v>115</v>
      </c>
      <c r="AC119" s="492">
        <v>10</v>
      </c>
      <c r="AD119" s="497">
        <f>IF(('Comparison Calculator'!$E$11-AC119)&gt;=0,0,IFERROR(-PPMT($AH$66/12,(AB119-60),($F$1-5)*12,$AH$65),0))</f>
        <v>0</v>
      </c>
      <c r="AE119" s="497">
        <f>IF(('Comparison Calculator'!$E$11-AC119)&gt;=0,$C$1*$AH$66/12,IFERROR(-IPMT($AH$66/12,(AB119-60),($F$1-5)*12,$AH$65,0),0))</f>
        <v>0</v>
      </c>
      <c r="AF119" s="497">
        <f t="shared" si="41"/>
        <v>0</v>
      </c>
      <c r="AG119" s="497">
        <f t="shared" si="54"/>
        <v>1800000</v>
      </c>
      <c r="AH119" s="493"/>
      <c r="AI119" s="493"/>
      <c r="AK119" s="492">
        <v>115</v>
      </c>
      <c r="AL119" s="492">
        <v>10</v>
      </c>
      <c r="AM119" s="497">
        <f>IF(('Comparison Calculator'!$E$11-AL119)&gt;=0,0,IFERROR(-PPMT($AQ$66/12,(AK119-60),($F$1-5)*12,$AQ$65),0))</f>
        <v>0</v>
      </c>
      <c r="AN119" s="497">
        <f>IF(('Comparison Calculator'!$E$11-AL119)&gt;=0,$C$1*$AQ$66/12,IFERROR(-IPMT($AQ$66/12,(AK119-60),($F$1-5)*12,$AQ$65,0),0))</f>
        <v>0</v>
      </c>
      <c r="AO119" s="497">
        <f t="shared" si="42"/>
        <v>0</v>
      </c>
      <c r="AP119" s="497">
        <f t="shared" si="55"/>
        <v>1800000</v>
      </c>
      <c r="AQ119" s="493"/>
      <c r="AR119" s="493"/>
      <c r="AT119" s="492">
        <v>115</v>
      </c>
      <c r="AU119" s="492">
        <v>10</v>
      </c>
      <c r="AV119" s="497">
        <f>IF(('Comparison Calculator'!$E$11-AU119)&gt;=0,0,IFERROR(-PPMT($AZ$66/12,(AT119-60),($F$1-5)*12,$AZ$65),0))</f>
        <v>0</v>
      </c>
      <c r="AW119" s="497">
        <f>IF(('Comparison Calculator'!$E$11-AU119)&gt;=0,$C$1*$AZ$66/12,IFERROR(-IPMT($AZ$66/12,(AT119-60),($F$1-5)*12,$AZ$65,0),0))</f>
        <v>0</v>
      </c>
      <c r="AX119" s="497">
        <f t="shared" si="43"/>
        <v>0</v>
      </c>
      <c r="AY119" s="497">
        <f t="shared" si="56"/>
        <v>1800000</v>
      </c>
      <c r="AZ119" s="493"/>
      <c r="BA119" s="493"/>
      <c r="BC119" s="492">
        <v>115</v>
      </c>
      <c r="BD119" s="492">
        <v>10</v>
      </c>
      <c r="BE119" s="497">
        <f>IF(('Comparison Calculator'!$E$11-BD119)&gt;=0,0,IFERROR(-PPMT($BI$66/12,(BC119-60),($F$1-5)*12,$BI$65),0))</f>
        <v>0</v>
      </c>
      <c r="BF119" s="497">
        <f>IF(('Comparison Calculator'!$E$11-BD119)&gt;=0,$C$1*$BI$66/12,IFERROR(-IPMT($BI$66/12,(BC119-60),($F$1-5)*12,$BI$65,0),0))</f>
        <v>0</v>
      </c>
      <c r="BG119" s="497">
        <f t="shared" si="44"/>
        <v>0</v>
      </c>
      <c r="BH119" s="497">
        <f t="shared" si="57"/>
        <v>1800000</v>
      </c>
      <c r="BI119" s="493"/>
      <c r="BJ119" s="493"/>
      <c r="BK119" s="492">
        <v>115</v>
      </c>
      <c r="BL119" s="492">
        <v>10</v>
      </c>
      <c r="BM119" s="497">
        <f>IF(('Comparison Calculator'!$E$11-BL119)&gt;=0,0,IFERROR(-PPMT($BQ$66/12,(BK119-60),($F$1-5)*12,$BQ$65),0))</f>
        <v>0</v>
      </c>
      <c r="BN119" s="497">
        <f>IF(('Comparison Calculator'!$E$11-BL119)&gt;=0,$C$1*$BQ$66/12,IFERROR(-IPMT($BQ$66/12,(BK119-60),($F$1-5)*12,$BQ$65,0),0))</f>
        <v>0</v>
      </c>
      <c r="BO119" s="497">
        <f t="shared" si="45"/>
        <v>0</v>
      </c>
      <c r="BP119" s="497">
        <f t="shared" si="58"/>
        <v>1800000</v>
      </c>
      <c r="BQ119" s="493"/>
      <c r="BR119" s="493"/>
      <c r="BT119" s="492">
        <v>115</v>
      </c>
      <c r="BU119" s="492">
        <v>10</v>
      </c>
      <c r="BV119" s="497">
        <f>IF(('Comparison Calculator'!$E$11-BU119)&gt;=0,0,IFERROR(-PPMT($BZ$66/12,(BT119-60),($F$1-5)*12,$BZ$65),0))</f>
        <v>0</v>
      </c>
      <c r="BW119" s="497">
        <f>IF(('Comparison Calculator'!$E$11-BU119)&gt;=0,$C$1*$BZ$66/12,IFERROR(-IPMT($BZ$66/12,(BT119-60),($F$1-5)*12,$BZ$65,0),0))</f>
        <v>0</v>
      </c>
      <c r="BX119" s="497">
        <f t="shared" si="46"/>
        <v>0</v>
      </c>
      <c r="BY119" s="497">
        <f t="shared" si="59"/>
        <v>1800000</v>
      </c>
      <c r="BZ119" s="493"/>
      <c r="CA119" s="493"/>
      <c r="CC119" s="492">
        <v>115</v>
      </c>
      <c r="CD119" s="492">
        <v>10</v>
      </c>
      <c r="CE119" s="497">
        <f>IF(('Comparison Calculator'!$E$11-CD119)&gt;=0,0,IFERROR(-PPMT($CI$66/12,(CC119-60),($F$1-5)*12,$CI$65),0))</f>
        <v>0</v>
      </c>
      <c r="CF119" s="497">
        <f>IF(('Comparison Calculator'!$E$11-CD119)&gt;=0,$C$1*$CI$66/12,IFERROR(-IPMT($CI$66/12,(CC119-60),($F$1-5)*12,$CI$65,0),0))</f>
        <v>0</v>
      </c>
      <c r="CG119" s="497">
        <f t="shared" si="47"/>
        <v>0</v>
      </c>
      <c r="CH119" s="497">
        <f t="shared" si="60"/>
        <v>1800000</v>
      </c>
      <c r="CI119" s="493"/>
      <c r="CJ119" s="493"/>
      <c r="CL119" s="492">
        <v>115</v>
      </c>
      <c r="CM119" s="492">
        <v>10</v>
      </c>
      <c r="CN119" s="497">
        <f>IF(('Comparison Calculator'!$E$11-CM119)&gt;=0,0,IFERROR(-PPMT($CR$66/12,(CL119-60),($F$1-5)*12,$CR$65),0))</f>
        <v>0</v>
      </c>
      <c r="CO119" s="497">
        <f>IF(('Comparison Calculator'!$E$11-CM119)&gt;=0,$C$1*$CI$66/12,IFERROR(-IPMT($CI$66/12,(CL119-60),($F$1-5)*12,$CI$65,0),0))</f>
        <v>0</v>
      </c>
      <c r="CP119" s="497">
        <f t="shared" si="48"/>
        <v>0</v>
      </c>
      <c r="CQ119" s="497">
        <f t="shared" si="61"/>
        <v>1800000</v>
      </c>
      <c r="CR119" s="493"/>
      <c r="CS119" s="493"/>
      <c r="CU119" s="492">
        <v>115</v>
      </c>
      <c r="CV119" s="492">
        <v>10</v>
      </c>
      <c r="CW119" s="497">
        <f>IF(('Comparison Calculator'!$E$11-CV119)&gt;=0,0,IFERROR(-PPMT($DA$66/12,(CU119-60),($F$1-5)*12,$DA$65),0))</f>
        <v>0</v>
      </c>
      <c r="CX119" s="497">
        <f>IF(('Comparison Calculator'!$E$11-CV119)&gt;=0,$C$1*$DA$66/12,IFERROR(-IPMT($DA$66/12,(CU119-60),($F$1-5)*12,$DA$65,0),0))</f>
        <v>0</v>
      </c>
      <c r="CY119" s="497">
        <f t="shared" si="49"/>
        <v>0</v>
      </c>
      <c r="CZ119" s="497">
        <f t="shared" si="62"/>
        <v>1800000</v>
      </c>
      <c r="DA119" s="493"/>
      <c r="DB119" s="493"/>
      <c r="DD119" s="492">
        <v>115</v>
      </c>
      <c r="DE119" s="492">
        <v>10</v>
      </c>
      <c r="DF119" s="497">
        <f>IF(('Comparison Calculator'!$E$11-DE119)&gt;=0,0,IFERROR(-PPMT($DJ$66/12,(DD119-60),($F$1-5)*12,$DJ$65),0))</f>
        <v>0</v>
      </c>
      <c r="DG119" s="497">
        <f>IF(('Comparison Calculator'!$E$11-DE119)&gt;=0,$C$1*$DJ$66/12,IFERROR(-IPMT($DJ$66/12,(DD119-60),($F$1-5)*12,$DJ$65,0),0))</f>
        <v>0</v>
      </c>
      <c r="DH119" s="497">
        <f t="shared" si="50"/>
        <v>0</v>
      </c>
      <c r="DI119" s="497">
        <f t="shared" si="63"/>
        <v>1800000</v>
      </c>
      <c r="DJ119" s="493"/>
      <c r="DK119" s="493"/>
    </row>
    <row r="120" spans="1:115">
      <c r="A120" s="492">
        <v>116</v>
      </c>
      <c r="B120" s="492">
        <v>10</v>
      </c>
      <c r="C120" s="497">
        <f>IF(('Comparison Calculator'!$E$11-B120)&gt;=0,0,IFERROR(-PPMT($G$66/12,(A120-60),($F$1-5)*12,$G$65),0))</f>
        <v>0</v>
      </c>
      <c r="D120" s="497">
        <f>IF(('Comparison Calculator'!$E$11-B120)&gt;=0,$C$1*$G$66/12,IFERROR(-IPMT($G$66/12,(A120-60),($F$1-5)*12,$G$65,0),0))</f>
        <v>0</v>
      </c>
      <c r="E120" s="497">
        <f t="shared" si="38"/>
        <v>0</v>
      </c>
      <c r="F120" s="497">
        <f t="shared" si="51"/>
        <v>1800000</v>
      </c>
      <c r="G120" s="493"/>
      <c r="H120" s="493"/>
      <c r="I120" s="489"/>
      <c r="J120" s="492">
        <v>116</v>
      </c>
      <c r="K120" s="492">
        <v>10</v>
      </c>
      <c r="L120" s="497">
        <f>IF(('Comparison Calculator'!$E$11-K120)&gt;=0,0,IFERROR(-PPMT($P$66/12,(J120-60),($F$1-5)*12,$P$65),0))</f>
        <v>0</v>
      </c>
      <c r="M120" s="497">
        <f>IF(('Comparison Calculator'!$E$11-K120)&gt;=0,$C$1*$P$66/12,IFERROR(-IPMT($P$66/12,(J120-60),($F$1-5)*12,$P$65,0),0))</f>
        <v>0</v>
      </c>
      <c r="N120" s="497">
        <f t="shared" si="39"/>
        <v>0</v>
      </c>
      <c r="O120" s="497">
        <f t="shared" si="52"/>
        <v>1800000</v>
      </c>
      <c r="P120" s="493"/>
      <c r="Q120" s="493"/>
      <c r="S120" s="492">
        <v>116</v>
      </c>
      <c r="T120" s="492">
        <v>10</v>
      </c>
      <c r="U120" s="497">
        <f>IF(('Comparison Calculator'!$E$11-T120)&gt;=0,0,IFERROR(-PPMT($Y$66/12,(S120-60),($F$1-5)*12,$Y$65),0))</f>
        <v>0</v>
      </c>
      <c r="V120" s="497">
        <f>IF(('Comparison Calculator'!$E$11-T120)&gt;=0,$C$1*$Y$66/12,IFERROR(-IPMT($Y$66/12,(S120-60),($F$1-5)*12,$Y$65,0),0))</f>
        <v>0</v>
      </c>
      <c r="W120" s="497">
        <f t="shared" si="40"/>
        <v>0</v>
      </c>
      <c r="X120" s="497">
        <f t="shared" si="53"/>
        <v>1800000</v>
      </c>
      <c r="Y120" s="493"/>
      <c r="Z120" s="493"/>
      <c r="AB120" s="492">
        <v>116</v>
      </c>
      <c r="AC120" s="492">
        <v>10</v>
      </c>
      <c r="AD120" s="497">
        <f>IF(('Comparison Calculator'!$E$11-AC120)&gt;=0,0,IFERROR(-PPMT($AH$66/12,(AB120-60),($F$1-5)*12,$AH$65),0))</f>
        <v>0</v>
      </c>
      <c r="AE120" s="497">
        <f>IF(('Comparison Calculator'!$E$11-AC120)&gt;=0,$C$1*$AH$66/12,IFERROR(-IPMT($AH$66/12,(AB120-60),($F$1-5)*12,$AH$65,0),0))</f>
        <v>0</v>
      </c>
      <c r="AF120" s="497">
        <f t="shared" si="41"/>
        <v>0</v>
      </c>
      <c r="AG120" s="497">
        <f t="shared" si="54"/>
        <v>1800000</v>
      </c>
      <c r="AH120" s="493"/>
      <c r="AI120" s="493"/>
      <c r="AK120" s="492">
        <v>116</v>
      </c>
      <c r="AL120" s="492">
        <v>10</v>
      </c>
      <c r="AM120" s="497">
        <f>IF(('Comparison Calculator'!$E$11-AL120)&gt;=0,0,IFERROR(-PPMT($AQ$66/12,(AK120-60),($F$1-5)*12,$AQ$65),0))</f>
        <v>0</v>
      </c>
      <c r="AN120" s="497">
        <f>IF(('Comparison Calculator'!$E$11-AL120)&gt;=0,$C$1*$AQ$66/12,IFERROR(-IPMT($AQ$66/12,(AK120-60),($F$1-5)*12,$AQ$65,0),0))</f>
        <v>0</v>
      </c>
      <c r="AO120" s="497">
        <f t="shared" si="42"/>
        <v>0</v>
      </c>
      <c r="AP120" s="497">
        <f t="shared" si="55"/>
        <v>1800000</v>
      </c>
      <c r="AQ120" s="493"/>
      <c r="AR120" s="493"/>
      <c r="AT120" s="492">
        <v>116</v>
      </c>
      <c r="AU120" s="492">
        <v>10</v>
      </c>
      <c r="AV120" s="497">
        <f>IF(('Comparison Calculator'!$E$11-AU120)&gt;=0,0,IFERROR(-PPMT($AZ$66/12,(AT120-60),($F$1-5)*12,$AZ$65),0))</f>
        <v>0</v>
      </c>
      <c r="AW120" s="497">
        <f>IF(('Comparison Calculator'!$E$11-AU120)&gt;=0,$C$1*$AZ$66/12,IFERROR(-IPMT($AZ$66/12,(AT120-60),($F$1-5)*12,$AZ$65,0),0))</f>
        <v>0</v>
      </c>
      <c r="AX120" s="497">
        <f t="shared" si="43"/>
        <v>0</v>
      </c>
      <c r="AY120" s="497">
        <f t="shared" si="56"/>
        <v>1800000</v>
      </c>
      <c r="AZ120" s="493"/>
      <c r="BA120" s="493"/>
      <c r="BC120" s="492">
        <v>116</v>
      </c>
      <c r="BD120" s="492">
        <v>10</v>
      </c>
      <c r="BE120" s="497">
        <f>IF(('Comparison Calculator'!$E$11-BD120)&gt;=0,0,IFERROR(-PPMT($BI$66/12,(BC120-60),($F$1-5)*12,$BI$65),0))</f>
        <v>0</v>
      </c>
      <c r="BF120" s="497">
        <f>IF(('Comparison Calculator'!$E$11-BD120)&gt;=0,$C$1*$BI$66/12,IFERROR(-IPMT($BI$66/12,(BC120-60),($F$1-5)*12,$BI$65,0),0))</f>
        <v>0</v>
      </c>
      <c r="BG120" s="497">
        <f t="shared" si="44"/>
        <v>0</v>
      </c>
      <c r="BH120" s="497">
        <f t="shared" si="57"/>
        <v>1800000</v>
      </c>
      <c r="BI120" s="493"/>
      <c r="BJ120" s="493"/>
      <c r="BK120" s="492">
        <v>116</v>
      </c>
      <c r="BL120" s="492">
        <v>10</v>
      </c>
      <c r="BM120" s="497">
        <f>IF(('Comparison Calculator'!$E$11-BL120)&gt;=0,0,IFERROR(-PPMT($BQ$66/12,(BK120-60),($F$1-5)*12,$BQ$65),0))</f>
        <v>0</v>
      </c>
      <c r="BN120" s="497">
        <f>IF(('Comparison Calculator'!$E$11-BL120)&gt;=0,$C$1*$BQ$66/12,IFERROR(-IPMT($BQ$66/12,(BK120-60),($F$1-5)*12,$BQ$65,0),0))</f>
        <v>0</v>
      </c>
      <c r="BO120" s="497">
        <f t="shared" si="45"/>
        <v>0</v>
      </c>
      <c r="BP120" s="497">
        <f t="shared" si="58"/>
        <v>1800000</v>
      </c>
      <c r="BQ120" s="493"/>
      <c r="BR120" s="493"/>
      <c r="BT120" s="492">
        <v>116</v>
      </c>
      <c r="BU120" s="492">
        <v>10</v>
      </c>
      <c r="BV120" s="497">
        <f>IF(('Comparison Calculator'!$E$11-BU120)&gt;=0,0,IFERROR(-PPMT($BZ$66/12,(BT120-60),($F$1-5)*12,$BZ$65),0))</f>
        <v>0</v>
      </c>
      <c r="BW120" s="497">
        <f>IF(('Comparison Calculator'!$E$11-BU120)&gt;=0,$C$1*$BZ$66/12,IFERROR(-IPMT($BZ$66/12,(BT120-60),($F$1-5)*12,$BZ$65,0),0))</f>
        <v>0</v>
      </c>
      <c r="BX120" s="497">
        <f t="shared" si="46"/>
        <v>0</v>
      </c>
      <c r="BY120" s="497">
        <f t="shared" si="59"/>
        <v>1800000</v>
      </c>
      <c r="BZ120" s="493"/>
      <c r="CA120" s="493"/>
      <c r="CC120" s="492">
        <v>116</v>
      </c>
      <c r="CD120" s="492">
        <v>10</v>
      </c>
      <c r="CE120" s="497">
        <f>IF(('Comparison Calculator'!$E$11-CD120)&gt;=0,0,IFERROR(-PPMT($CI$66/12,(CC120-60),($F$1-5)*12,$CI$65),0))</f>
        <v>0</v>
      </c>
      <c r="CF120" s="497">
        <f>IF(('Comparison Calculator'!$E$11-CD120)&gt;=0,$C$1*$CI$66/12,IFERROR(-IPMT($CI$66/12,(CC120-60),($F$1-5)*12,$CI$65,0),0))</f>
        <v>0</v>
      </c>
      <c r="CG120" s="497">
        <f t="shared" si="47"/>
        <v>0</v>
      </c>
      <c r="CH120" s="497">
        <f t="shared" si="60"/>
        <v>1800000</v>
      </c>
      <c r="CI120" s="493"/>
      <c r="CJ120" s="493"/>
      <c r="CL120" s="492">
        <v>116</v>
      </c>
      <c r="CM120" s="492">
        <v>10</v>
      </c>
      <c r="CN120" s="497">
        <f>IF(('Comparison Calculator'!$E$11-CM120)&gt;=0,0,IFERROR(-PPMT($CR$66/12,(CL120-60),($F$1-5)*12,$CR$65),0))</f>
        <v>0</v>
      </c>
      <c r="CO120" s="497">
        <f>IF(('Comparison Calculator'!$E$11-CM120)&gt;=0,$C$1*$CI$66/12,IFERROR(-IPMT($CI$66/12,(CL120-60),($F$1-5)*12,$CI$65,0),0))</f>
        <v>0</v>
      </c>
      <c r="CP120" s="497">
        <f t="shared" si="48"/>
        <v>0</v>
      </c>
      <c r="CQ120" s="497">
        <f t="shared" si="61"/>
        <v>1800000</v>
      </c>
      <c r="CR120" s="493"/>
      <c r="CS120" s="493"/>
      <c r="CU120" s="492">
        <v>116</v>
      </c>
      <c r="CV120" s="492">
        <v>10</v>
      </c>
      <c r="CW120" s="497">
        <f>IF(('Comparison Calculator'!$E$11-CV120)&gt;=0,0,IFERROR(-PPMT($DA$66/12,(CU120-60),($F$1-5)*12,$DA$65),0))</f>
        <v>0</v>
      </c>
      <c r="CX120" s="497">
        <f>IF(('Comparison Calculator'!$E$11-CV120)&gt;=0,$C$1*$DA$66/12,IFERROR(-IPMT($DA$66/12,(CU120-60),($F$1-5)*12,$DA$65,0),0))</f>
        <v>0</v>
      </c>
      <c r="CY120" s="497">
        <f t="shared" si="49"/>
        <v>0</v>
      </c>
      <c r="CZ120" s="497">
        <f t="shared" si="62"/>
        <v>1800000</v>
      </c>
      <c r="DA120" s="493"/>
      <c r="DB120" s="493"/>
      <c r="DD120" s="492">
        <v>116</v>
      </c>
      <c r="DE120" s="492">
        <v>10</v>
      </c>
      <c r="DF120" s="497">
        <f>IF(('Comparison Calculator'!$E$11-DE120)&gt;=0,0,IFERROR(-PPMT($DJ$66/12,(DD120-60),($F$1-5)*12,$DJ$65),0))</f>
        <v>0</v>
      </c>
      <c r="DG120" s="497">
        <f>IF(('Comparison Calculator'!$E$11-DE120)&gt;=0,$C$1*$DJ$66/12,IFERROR(-IPMT($DJ$66/12,(DD120-60),($F$1-5)*12,$DJ$65,0),0))</f>
        <v>0</v>
      </c>
      <c r="DH120" s="497">
        <f t="shared" si="50"/>
        <v>0</v>
      </c>
      <c r="DI120" s="497">
        <f t="shared" si="63"/>
        <v>1800000</v>
      </c>
      <c r="DJ120" s="493"/>
      <c r="DK120" s="493"/>
    </row>
    <row r="121" spans="1:115">
      <c r="A121" s="492">
        <v>117</v>
      </c>
      <c r="B121" s="492">
        <v>10</v>
      </c>
      <c r="C121" s="497">
        <f>IF(('Comparison Calculator'!$E$11-B121)&gt;=0,0,IFERROR(-PPMT($G$66/12,(A121-60),($F$1-5)*12,$G$65),0))</f>
        <v>0</v>
      </c>
      <c r="D121" s="497">
        <f>IF(('Comparison Calculator'!$E$11-B121)&gt;=0,$C$1*$G$66/12,IFERROR(-IPMT($G$66/12,(A121-60),($F$1-5)*12,$G$65,0),0))</f>
        <v>0</v>
      </c>
      <c r="E121" s="497">
        <f t="shared" si="38"/>
        <v>0</v>
      </c>
      <c r="F121" s="497">
        <f t="shared" si="51"/>
        <v>1800000</v>
      </c>
      <c r="G121" s="493"/>
      <c r="H121" s="493"/>
      <c r="I121" s="489"/>
      <c r="J121" s="492">
        <v>117</v>
      </c>
      <c r="K121" s="492">
        <v>10</v>
      </c>
      <c r="L121" s="497">
        <f>IF(('Comparison Calculator'!$E$11-K121)&gt;=0,0,IFERROR(-PPMT($P$66/12,(J121-60),($F$1-5)*12,$P$65),0))</f>
        <v>0</v>
      </c>
      <c r="M121" s="497">
        <f>IF(('Comparison Calculator'!$E$11-K121)&gt;=0,$C$1*$P$66/12,IFERROR(-IPMT($P$66/12,(J121-60),($F$1-5)*12,$P$65,0),0))</f>
        <v>0</v>
      </c>
      <c r="N121" s="497">
        <f t="shared" si="39"/>
        <v>0</v>
      </c>
      <c r="O121" s="497">
        <f t="shared" si="52"/>
        <v>1800000</v>
      </c>
      <c r="P121" s="493"/>
      <c r="Q121" s="493"/>
      <c r="S121" s="492">
        <v>117</v>
      </c>
      <c r="T121" s="492">
        <v>10</v>
      </c>
      <c r="U121" s="497">
        <f>IF(('Comparison Calculator'!$E$11-T121)&gt;=0,0,IFERROR(-PPMT($Y$66/12,(S121-60),($F$1-5)*12,$Y$65),0))</f>
        <v>0</v>
      </c>
      <c r="V121" s="497">
        <f>IF(('Comparison Calculator'!$E$11-T121)&gt;=0,$C$1*$Y$66/12,IFERROR(-IPMT($Y$66/12,(S121-60),($F$1-5)*12,$Y$65,0),0))</f>
        <v>0</v>
      </c>
      <c r="W121" s="497">
        <f t="shared" si="40"/>
        <v>0</v>
      </c>
      <c r="X121" s="497">
        <f t="shared" si="53"/>
        <v>1800000</v>
      </c>
      <c r="Y121" s="493"/>
      <c r="Z121" s="493"/>
      <c r="AB121" s="492">
        <v>117</v>
      </c>
      <c r="AC121" s="492">
        <v>10</v>
      </c>
      <c r="AD121" s="497">
        <f>IF(('Comparison Calculator'!$E$11-AC121)&gt;=0,0,IFERROR(-PPMT($AH$66/12,(AB121-60),($F$1-5)*12,$AH$65),0))</f>
        <v>0</v>
      </c>
      <c r="AE121" s="497">
        <f>IF(('Comparison Calculator'!$E$11-AC121)&gt;=0,$C$1*$AH$66/12,IFERROR(-IPMT($AH$66/12,(AB121-60),($F$1-5)*12,$AH$65,0),0))</f>
        <v>0</v>
      </c>
      <c r="AF121" s="497">
        <f t="shared" si="41"/>
        <v>0</v>
      </c>
      <c r="AG121" s="497">
        <f t="shared" si="54"/>
        <v>1800000</v>
      </c>
      <c r="AH121" s="493"/>
      <c r="AI121" s="493"/>
      <c r="AK121" s="492">
        <v>117</v>
      </c>
      <c r="AL121" s="492">
        <v>10</v>
      </c>
      <c r="AM121" s="497">
        <f>IF(('Comparison Calculator'!$E$11-AL121)&gt;=0,0,IFERROR(-PPMT($AQ$66/12,(AK121-60),($F$1-5)*12,$AQ$65),0))</f>
        <v>0</v>
      </c>
      <c r="AN121" s="497">
        <f>IF(('Comparison Calculator'!$E$11-AL121)&gt;=0,$C$1*$AQ$66/12,IFERROR(-IPMT($AQ$66/12,(AK121-60),($F$1-5)*12,$AQ$65,0),0))</f>
        <v>0</v>
      </c>
      <c r="AO121" s="497">
        <f t="shared" si="42"/>
        <v>0</v>
      </c>
      <c r="AP121" s="497">
        <f t="shared" si="55"/>
        <v>1800000</v>
      </c>
      <c r="AQ121" s="493"/>
      <c r="AR121" s="493"/>
      <c r="AT121" s="492">
        <v>117</v>
      </c>
      <c r="AU121" s="492">
        <v>10</v>
      </c>
      <c r="AV121" s="497">
        <f>IF(('Comparison Calculator'!$E$11-AU121)&gt;=0,0,IFERROR(-PPMT($AZ$66/12,(AT121-60),($F$1-5)*12,$AZ$65),0))</f>
        <v>0</v>
      </c>
      <c r="AW121" s="497">
        <f>IF(('Comparison Calculator'!$E$11-AU121)&gt;=0,$C$1*$AZ$66/12,IFERROR(-IPMT($AZ$66/12,(AT121-60),($F$1-5)*12,$AZ$65,0),0))</f>
        <v>0</v>
      </c>
      <c r="AX121" s="497">
        <f t="shared" si="43"/>
        <v>0</v>
      </c>
      <c r="AY121" s="497">
        <f t="shared" si="56"/>
        <v>1800000</v>
      </c>
      <c r="AZ121" s="493"/>
      <c r="BA121" s="493"/>
      <c r="BC121" s="492">
        <v>117</v>
      </c>
      <c r="BD121" s="492">
        <v>10</v>
      </c>
      <c r="BE121" s="497">
        <f>IF(('Comparison Calculator'!$E$11-BD121)&gt;=0,0,IFERROR(-PPMT($BI$66/12,(BC121-60),($F$1-5)*12,$BI$65),0))</f>
        <v>0</v>
      </c>
      <c r="BF121" s="497">
        <f>IF(('Comparison Calculator'!$E$11-BD121)&gt;=0,$C$1*$BI$66/12,IFERROR(-IPMT($BI$66/12,(BC121-60),($F$1-5)*12,$BI$65,0),0))</f>
        <v>0</v>
      </c>
      <c r="BG121" s="497">
        <f t="shared" si="44"/>
        <v>0</v>
      </c>
      <c r="BH121" s="497">
        <f t="shared" si="57"/>
        <v>1800000</v>
      </c>
      <c r="BI121" s="493"/>
      <c r="BJ121" s="493"/>
      <c r="BK121" s="492">
        <v>117</v>
      </c>
      <c r="BL121" s="492">
        <v>10</v>
      </c>
      <c r="BM121" s="497">
        <f>IF(('Comparison Calculator'!$E$11-BL121)&gt;=0,0,IFERROR(-PPMT($BQ$66/12,(BK121-60),($F$1-5)*12,$BQ$65),0))</f>
        <v>0</v>
      </c>
      <c r="BN121" s="497">
        <f>IF(('Comparison Calculator'!$E$11-BL121)&gt;=0,$C$1*$BQ$66/12,IFERROR(-IPMT($BQ$66/12,(BK121-60),($F$1-5)*12,$BQ$65,0),0))</f>
        <v>0</v>
      </c>
      <c r="BO121" s="497">
        <f t="shared" si="45"/>
        <v>0</v>
      </c>
      <c r="BP121" s="497">
        <f t="shared" si="58"/>
        <v>1800000</v>
      </c>
      <c r="BQ121" s="493"/>
      <c r="BR121" s="493"/>
      <c r="BT121" s="492">
        <v>117</v>
      </c>
      <c r="BU121" s="492">
        <v>10</v>
      </c>
      <c r="BV121" s="497">
        <f>IF(('Comparison Calculator'!$E$11-BU121)&gt;=0,0,IFERROR(-PPMT($BZ$66/12,(BT121-60),($F$1-5)*12,$BZ$65),0))</f>
        <v>0</v>
      </c>
      <c r="BW121" s="497">
        <f>IF(('Comparison Calculator'!$E$11-BU121)&gt;=0,$C$1*$BZ$66/12,IFERROR(-IPMT($BZ$66/12,(BT121-60),($F$1-5)*12,$BZ$65,0),0))</f>
        <v>0</v>
      </c>
      <c r="BX121" s="497">
        <f t="shared" si="46"/>
        <v>0</v>
      </c>
      <c r="BY121" s="497">
        <f t="shared" si="59"/>
        <v>1800000</v>
      </c>
      <c r="BZ121" s="493"/>
      <c r="CA121" s="493"/>
      <c r="CC121" s="492">
        <v>117</v>
      </c>
      <c r="CD121" s="492">
        <v>10</v>
      </c>
      <c r="CE121" s="497">
        <f>IF(('Comparison Calculator'!$E$11-CD121)&gt;=0,0,IFERROR(-PPMT($CI$66/12,(CC121-60),($F$1-5)*12,$CI$65),0))</f>
        <v>0</v>
      </c>
      <c r="CF121" s="497">
        <f>IF(('Comparison Calculator'!$E$11-CD121)&gt;=0,$C$1*$CI$66/12,IFERROR(-IPMT($CI$66/12,(CC121-60),($F$1-5)*12,$CI$65,0),0))</f>
        <v>0</v>
      </c>
      <c r="CG121" s="497">
        <f t="shared" si="47"/>
        <v>0</v>
      </c>
      <c r="CH121" s="497">
        <f t="shared" si="60"/>
        <v>1800000</v>
      </c>
      <c r="CI121" s="493"/>
      <c r="CJ121" s="493"/>
      <c r="CL121" s="492">
        <v>117</v>
      </c>
      <c r="CM121" s="492">
        <v>10</v>
      </c>
      <c r="CN121" s="497">
        <f>IF(('Comparison Calculator'!$E$11-CM121)&gt;=0,0,IFERROR(-PPMT($CR$66/12,(CL121-60),($F$1-5)*12,$CR$65),0))</f>
        <v>0</v>
      </c>
      <c r="CO121" s="497">
        <f>IF(('Comparison Calculator'!$E$11-CM121)&gt;=0,$C$1*$CI$66/12,IFERROR(-IPMT($CI$66/12,(CL121-60),($F$1-5)*12,$CI$65,0),0))</f>
        <v>0</v>
      </c>
      <c r="CP121" s="497">
        <f t="shared" si="48"/>
        <v>0</v>
      </c>
      <c r="CQ121" s="497">
        <f t="shared" si="61"/>
        <v>1800000</v>
      </c>
      <c r="CR121" s="493"/>
      <c r="CS121" s="493"/>
      <c r="CU121" s="492">
        <v>117</v>
      </c>
      <c r="CV121" s="492">
        <v>10</v>
      </c>
      <c r="CW121" s="497">
        <f>IF(('Comparison Calculator'!$E$11-CV121)&gt;=0,0,IFERROR(-PPMT($DA$66/12,(CU121-60),($F$1-5)*12,$DA$65),0))</f>
        <v>0</v>
      </c>
      <c r="CX121" s="497">
        <f>IF(('Comparison Calculator'!$E$11-CV121)&gt;=0,$C$1*$DA$66/12,IFERROR(-IPMT($DA$66/12,(CU121-60),($F$1-5)*12,$DA$65,0),0))</f>
        <v>0</v>
      </c>
      <c r="CY121" s="497">
        <f t="shared" si="49"/>
        <v>0</v>
      </c>
      <c r="CZ121" s="497">
        <f t="shared" si="62"/>
        <v>1800000</v>
      </c>
      <c r="DA121" s="493"/>
      <c r="DB121" s="493"/>
      <c r="DD121" s="492">
        <v>117</v>
      </c>
      <c r="DE121" s="492">
        <v>10</v>
      </c>
      <c r="DF121" s="497">
        <f>IF(('Comparison Calculator'!$E$11-DE121)&gt;=0,0,IFERROR(-PPMT($DJ$66/12,(DD121-60),($F$1-5)*12,$DJ$65),0))</f>
        <v>0</v>
      </c>
      <c r="DG121" s="497">
        <f>IF(('Comparison Calculator'!$E$11-DE121)&gt;=0,$C$1*$DJ$66/12,IFERROR(-IPMT($DJ$66/12,(DD121-60),($F$1-5)*12,$DJ$65,0),0))</f>
        <v>0</v>
      </c>
      <c r="DH121" s="497">
        <f t="shared" si="50"/>
        <v>0</v>
      </c>
      <c r="DI121" s="497">
        <f t="shared" si="63"/>
        <v>1800000</v>
      </c>
      <c r="DJ121" s="493"/>
      <c r="DK121" s="493"/>
    </row>
    <row r="122" spans="1:115">
      <c r="A122" s="492">
        <v>118</v>
      </c>
      <c r="B122" s="492">
        <v>10</v>
      </c>
      <c r="C122" s="497">
        <f>IF(('Comparison Calculator'!$E$11-B122)&gt;=0,0,IFERROR(-PPMT($G$66/12,(A122-60),($F$1-5)*12,$G$65),0))</f>
        <v>0</v>
      </c>
      <c r="D122" s="497">
        <f>IF(('Comparison Calculator'!$E$11-B122)&gt;=0,$C$1*$G$66/12,IFERROR(-IPMT($G$66/12,(A122-60),($F$1-5)*12,$G$65,0),0))</f>
        <v>0</v>
      </c>
      <c r="E122" s="497">
        <f t="shared" si="38"/>
        <v>0</v>
      </c>
      <c r="F122" s="497">
        <f t="shared" si="51"/>
        <v>1800000</v>
      </c>
      <c r="G122" s="493"/>
      <c r="H122" s="493"/>
      <c r="I122" s="489"/>
      <c r="J122" s="492">
        <v>118</v>
      </c>
      <c r="K122" s="492">
        <v>10</v>
      </c>
      <c r="L122" s="497">
        <f>IF(('Comparison Calculator'!$E$11-K122)&gt;=0,0,IFERROR(-PPMT($P$66/12,(J122-60),($F$1-5)*12,$P$65),0))</f>
        <v>0</v>
      </c>
      <c r="M122" s="497">
        <f>IF(('Comparison Calculator'!$E$11-K122)&gt;=0,$C$1*$P$66/12,IFERROR(-IPMT($P$66/12,(J122-60),($F$1-5)*12,$P$65,0),0))</f>
        <v>0</v>
      </c>
      <c r="N122" s="497">
        <f t="shared" si="39"/>
        <v>0</v>
      </c>
      <c r="O122" s="497">
        <f t="shared" si="52"/>
        <v>1800000</v>
      </c>
      <c r="P122" s="493"/>
      <c r="Q122" s="493"/>
      <c r="S122" s="492">
        <v>118</v>
      </c>
      <c r="T122" s="492">
        <v>10</v>
      </c>
      <c r="U122" s="497">
        <f>IF(('Comparison Calculator'!$E$11-T122)&gt;=0,0,IFERROR(-PPMT($Y$66/12,(S122-60),($F$1-5)*12,$Y$65),0))</f>
        <v>0</v>
      </c>
      <c r="V122" s="497">
        <f>IF(('Comparison Calculator'!$E$11-T122)&gt;=0,$C$1*$Y$66/12,IFERROR(-IPMT($Y$66/12,(S122-60),($F$1-5)*12,$Y$65,0),0))</f>
        <v>0</v>
      </c>
      <c r="W122" s="497">
        <f t="shared" si="40"/>
        <v>0</v>
      </c>
      <c r="X122" s="497">
        <f t="shared" si="53"/>
        <v>1800000</v>
      </c>
      <c r="Y122" s="493"/>
      <c r="Z122" s="493"/>
      <c r="AB122" s="492">
        <v>118</v>
      </c>
      <c r="AC122" s="492">
        <v>10</v>
      </c>
      <c r="AD122" s="497">
        <f>IF(('Comparison Calculator'!$E$11-AC122)&gt;=0,0,IFERROR(-PPMT($AH$66/12,(AB122-60),($F$1-5)*12,$AH$65),0))</f>
        <v>0</v>
      </c>
      <c r="AE122" s="497">
        <f>IF(('Comparison Calculator'!$E$11-AC122)&gt;=0,$C$1*$AH$66/12,IFERROR(-IPMT($AH$66/12,(AB122-60),($F$1-5)*12,$AH$65,0),0))</f>
        <v>0</v>
      </c>
      <c r="AF122" s="497">
        <f t="shared" si="41"/>
        <v>0</v>
      </c>
      <c r="AG122" s="497">
        <f t="shared" si="54"/>
        <v>1800000</v>
      </c>
      <c r="AH122" s="493"/>
      <c r="AI122" s="493"/>
      <c r="AK122" s="492">
        <v>118</v>
      </c>
      <c r="AL122" s="492">
        <v>10</v>
      </c>
      <c r="AM122" s="497">
        <f>IF(('Comparison Calculator'!$E$11-AL122)&gt;=0,0,IFERROR(-PPMT($AQ$66/12,(AK122-60),($F$1-5)*12,$AQ$65),0))</f>
        <v>0</v>
      </c>
      <c r="AN122" s="497">
        <f>IF(('Comparison Calculator'!$E$11-AL122)&gt;=0,$C$1*$AQ$66/12,IFERROR(-IPMT($AQ$66/12,(AK122-60),($F$1-5)*12,$AQ$65,0),0))</f>
        <v>0</v>
      </c>
      <c r="AO122" s="497">
        <f t="shared" si="42"/>
        <v>0</v>
      </c>
      <c r="AP122" s="497">
        <f t="shared" si="55"/>
        <v>1800000</v>
      </c>
      <c r="AQ122" s="493"/>
      <c r="AR122" s="493"/>
      <c r="AT122" s="492">
        <v>118</v>
      </c>
      <c r="AU122" s="492">
        <v>10</v>
      </c>
      <c r="AV122" s="497">
        <f>IF(('Comparison Calculator'!$E$11-AU122)&gt;=0,0,IFERROR(-PPMT($AZ$66/12,(AT122-60),($F$1-5)*12,$AZ$65),0))</f>
        <v>0</v>
      </c>
      <c r="AW122" s="497">
        <f>IF(('Comparison Calculator'!$E$11-AU122)&gt;=0,$C$1*$AZ$66/12,IFERROR(-IPMT($AZ$66/12,(AT122-60),($F$1-5)*12,$AZ$65,0),0))</f>
        <v>0</v>
      </c>
      <c r="AX122" s="497">
        <f t="shared" si="43"/>
        <v>0</v>
      </c>
      <c r="AY122" s="497">
        <f t="shared" si="56"/>
        <v>1800000</v>
      </c>
      <c r="AZ122" s="493"/>
      <c r="BA122" s="493"/>
      <c r="BC122" s="492">
        <v>118</v>
      </c>
      <c r="BD122" s="492">
        <v>10</v>
      </c>
      <c r="BE122" s="497">
        <f>IF(('Comparison Calculator'!$E$11-BD122)&gt;=0,0,IFERROR(-PPMT($BI$66/12,(BC122-60),($F$1-5)*12,$BI$65),0))</f>
        <v>0</v>
      </c>
      <c r="BF122" s="497">
        <f>IF(('Comparison Calculator'!$E$11-BD122)&gt;=0,$C$1*$BI$66/12,IFERROR(-IPMT($BI$66/12,(BC122-60),($F$1-5)*12,$BI$65,0),0))</f>
        <v>0</v>
      </c>
      <c r="BG122" s="497">
        <f t="shared" si="44"/>
        <v>0</v>
      </c>
      <c r="BH122" s="497">
        <f t="shared" si="57"/>
        <v>1800000</v>
      </c>
      <c r="BI122" s="493"/>
      <c r="BJ122" s="493"/>
      <c r="BK122" s="492">
        <v>118</v>
      </c>
      <c r="BL122" s="492">
        <v>10</v>
      </c>
      <c r="BM122" s="497">
        <f>IF(('Comparison Calculator'!$E$11-BL122)&gt;=0,0,IFERROR(-PPMT($BQ$66/12,(BK122-60),($F$1-5)*12,$BQ$65),0))</f>
        <v>0</v>
      </c>
      <c r="BN122" s="497">
        <f>IF(('Comparison Calculator'!$E$11-BL122)&gt;=0,$C$1*$BQ$66/12,IFERROR(-IPMT($BQ$66/12,(BK122-60),($F$1-5)*12,$BQ$65,0),0))</f>
        <v>0</v>
      </c>
      <c r="BO122" s="497">
        <f t="shared" si="45"/>
        <v>0</v>
      </c>
      <c r="BP122" s="497">
        <f t="shared" si="58"/>
        <v>1800000</v>
      </c>
      <c r="BQ122" s="493"/>
      <c r="BR122" s="493"/>
      <c r="BT122" s="492">
        <v>118</v>
      </c>
      <c r="BU122" s="492">
        <v>10</v>
      </c>
      <c r="BV122" s="497">
        <f>IF(('Comparison Calculator'!$E$11-BU122)&gt;=0,0,IFERROR(-PPMT($BZ$66/12,(BT122-60),($F$1-5)*12,$BZ$65),0))</f>
        <v>0</v>
      </c>
      <c r="BW122" s="497">
        <f>IF(('Comparison Calculator'!$E$11-BU122)&gt;=0,$C$1*$BZ$66/12,IFERROR(-IPMT($BZ$66/12,(BT122-60),($F$1-5)*12,$BZ$65,0),0))</f>
        <v>0</v>
      </c>
      <c r="BX122" s="497">
        <f t="shared" si="46"/>
        <v>0</v>
      </c>
      <c r="BY122" s="497">
        <f t="shared" si="59"/>
        <v>1800000</v>
      </c>
      <c r="BZ122" s="493"/>
      <c r="CA122" s="493"/>
      <c r="CC122" s="492">
        <v>118</v>
      </c>
      <c r="CD122" s="492">
        <v>10</v>
      </c>
      <c r="CE122" s="497">
        <f>IF(('Comparison Calculator'!$E$11-CD122)&gt;=0,0,IFERROR(-PPMT($CI$66/12,(CC122-60),($F$1-5)*12,$CI$65),0))</f>
        <v>0</v>
      </c>
      <c r="CF122" s="497">
        <f>IF(('Comparison Calculator'!$E$11-CD122)&gt;=0,$C$1*$CI$66/12,IFERROR(-IPMT($CI$66/12,(CC122-60),($F$1-5)*12,$CI$65,0),0))</f>
        <v>0</v>
      </c>
      <c r="CG122" s="497">
        <f t="shared" si="47"/>
        <v>0</v>
      </c>
      <c r="CH122" s="497">
        <f t="shared" si="60"/>
        <v>1800000</v>
      </c>
      <c r="CI122" s="493"/>
      <c r="CJ122" s="493"/>
      <c r="CL122" s="492">
        <v>118</v>
      </c>
      <c r="CM122" s="492">
        <v>10</v>
      </c>
      <c r="CN122" s="497">
        <f>IF(('Comparison Calculator'!$E$11-CM122)&gt;=0,0,IFERROR(-PPMT($CR$66/12,(CL122-60),($F$1-5)*12,$CR$65),0))</f>
        <v>0</v>
      </c>
      <c r="CO122" s="497">
        <f>IF(('Comparison Calculator'!$E$11-CM122)&gt;=0,$C$1*$CI$66/12,IFERROR(-IPMT($CI$66/12,(CL122-60),($F$1-5)*12,$CI$65,0),0))</f>
        <v>0</v>
      </c>
      <c r="CP122" s="497">
        <f t="shared" si="48"/>
        <v>0</v>
      </c>
      <c r="CQ122" s="497">
        <f t="shared" si="61"/>
        <v>1800000</v>
      </c>
      <c r="CR122" s="493"/>
      <c r="CS122" s="493"/>
      <c r="CU122" s="492">
        <v>118</v>
      </c>
      <c r="CV122" s="492">
        <v>10</v>
      </c>
      <c r="CW122" s="497">
        <f>IF(('Comparison Calculator'!$E$11-CV122)&gt;=0,0,IFERROR(-PPMT($DA$66/12,(CU122-60),($F$1-5)*12,$DA$65),0))</f>
        <v>0</v>
      </c>
      <c r="CX122" s="497">
        <f>IF(('Comparison Calculator'!$E$11-CV122)&gt;=0,$C$1*$DA$66/12,IFERROR(-IPMT($DA$66/12,(CU122-60),($F$1-5)*12,$DA$65,0),0))</f>
        <v>0</v>
      </c>
      <c r="CY122" s="497">
        <f t="shared" si="49"/>
        <v>0</v>
      </c>
      <c r="CZ122" s="497">
        <f t="shared" si="62"/>
        <v>1800000</v>
      </c>
      <c r="DA122" s="493"/>
      <c r="DB122" s="493"/>
      <c r="DD122" s="492">
        <v>118</v>
      </c>
      <c r="DE122" s="492">
        <v>10</v>
      </c>
      <c r="DF122" s="497">
        <f>IF(('Comparison Calculator'!$E$11-DE122)&gt;=0,0,IFERROR(-PPMT($DJ$66/12,(DD122-60),($F$1-5)*12,$DJ$65),0))</f>
        <v>0</v>
      </c>
      <c r="DG122" s="497">
        <f>IF(('Comparison Calculator'!$E$11-DE122)&gt;=0,$C$1*$DJ$66/12,IFERROR(-IPMT($DJ$66/12,(DD122-60),($F$1-5)*12,$DJ$65,0),0))</f>
        <v>0</v>
      </c>
      <c r="DH122" s="497">
        <f t="shared" si="50"/>
        <v>0</v>
      </c>
      <c r="DI122" s="497">
        <f t="shared" si="63"/>
        <v>1800000</v>
      </c>
      <c r="DJ122" s="493"/>
      <c r="DK122" s="493"/>
    </row>
    <row r="123" spans="1:115">
      <c r="A123" s="492">
        <v>119</v>
      </c>
      <c r="B123" s="492">
        <v>10</v>
      </c>
      <c r="C123" s="497">
        <f>IF(('Comparison Calculator'!$E$11-B123)&gt;=0,0,IFERROR(-PPMT($G$66/12,(A123-60),($F$1-5)*12,$G$65),0))</f>
        <v>0</v>
      </c>
      <c r="D123" s="497">
        <f>IF(('Comparison Calculator'!$E$11-B123)&gt;=0,$C$1*$G$66/12,IFERROR(-IPMT($G$66/12,(A123-60),($F$1-5)*12,$G$65,0),0))</f>
        <v>0</v>
      </c>
      <c r="E123" s="497">
        <f t="shared" si="38"/>
        <v>0</v>
      </c>
      <c r="F123" s="497">
        <f t="shared" si="51"/>
        <v>1800000</v>
      </c>
      <c r="G123" s="493"/>
      <c r="H123" s="493"/>
      <c r="I123" s="489"/>
      <c r="J123" s="492">
        <v>119</v>
      </c>
      <c r="K123" s="492">
        <v>10</v>
      </c>
      <c r="L123" s="497">
        <f>IF(('Comparison Calculator'!$E$11-K123)&gt;=0,0,IFERROR(-PPMT($P$66/12,(J123-60),($F$1-5)*12,$P$65),0))</f>
        <v>0</v>
      </c>
      <c r="M123" s="497">
        <f>IF(('Comparison Calculator'!$E$11-K123)&gt;=0,$C$1*$P$66/12,IFERROR(-IPMT($P$66/12,(J123-60),($F$1-5)*12,$P$65,0),0))</f>
        <v>0</v>
      </c>
      <c r="N123" s="497">
        <f t="shared" si="39"/>
        <v>0</v>
      </c>
      <c r="O123" s="497">
        <f t="shared" si="52"/>
        <v>1800000</v>
      </c>
      <c r="P123" s="493"/>
      <c r="Q123" s="493"/>
      <c r="S123" s="492">
        <v>119</v>
      </c>
      <c r="T123" s="492">
        <v>10</v>
      </c>
      <c r="U123" s="497">
        <f>IF(('Comparison Calculator'!$E$11-T123)&gt;=0,0,IFERROR(-PPMT($Y$66/12,(S123-60),($F$1-5)*12,$Y$65),0))</f>
        <v>0</v>
      </c>
      <c r="V123" s="497">
        <f>IF(('Comparison Calculator'!$E$11-T123)&gt;=0,$C$1*$Y$66/12,IFERROR(-IPMT($Y$66/12,(S123-60),($F$1-5)*12,$Y$65,0),0))</f>
        <v>0</v>
      </c>
      <c r="W123" s="497">
        <f t="shared" si="40"/>
        <v>0</v>
      </c>
      <c r="X123" s="497">
        <f t="shared" si="53"/>
        <v>1800000</v>
      </c>
      <c r="Y123" s="493"/>
      <c r="Z123" s="493"/>
      <c r="AB123" s="492">
        <v>119</v>
      </c>
      <c r="AC123" s="492">
        <v>10</v>
      </c>
      <c r="AD123" s="497">
        <f>IF(('Comparison Calculator'!$E$11-AC123)&gt;=0,0,IFERROR(-PPMT($AH$66/12,(AB123-60),($F$1-5)*12,$AH$65),0))</f>
        <v>0</v>
      </c>
      <c r="AE123" s="497">
        <f>IF(('Comparison Calculator'!$E$11-AC123)&gt;=0,$C$1*$AH$66/12,IFERROR(-IPMT($AH$66/12,(AB123-60),($F$1-5)*12,$AH$65,0),0))</f>
        <v>0</v>
      </c>
      <c r="AF123" s="497">
        <f t="shared" si="41"/>
        <v>0</v>
      </c>
      <c r="AG123" s="497">
        <f t="shared" si="54"/>
        <v>1800000</v>
      </c>
      <c r="AH123" s="493"/>
      <c r="AI123" s="493"/>
      <c r="AK123" s="492">
        <v>119</v>
      </c>
      <c r="AL123" s="492">
        <v>10</v>
      </c>
      <c r="AM123" s="497">
        <f>IF(('Comparison Calculator'!$E$11-AL123)&gt;=0,0,IFERROR(-PPMT($AQ$66/12,(AK123-60),($F$1-5)*12,$AQ$65),0))</f>
        <v>0</v>
      </c>
      <c r="AN123" s="497">
        <f>IF(('Comparison Calculator'!$E$11-AL123)&gt;=0,$C$1*$AQ$66/12,IFERROR(-IPMT($AQ$66/12,(AK123-60),($F$1-5)*12,$AQ$65,0),0))</f>
        <v>0</v>
      </c>
      <c r="AO123" s="497">
        <f t="shared" si="42"/>
        <v>0</v>
      </c>
      <c r="AP123" s="497">
        <f t="shared" si="55"/>
        <v>1800000</v>
      </c>
      <c r="AQ123" s="493"/>
      <c r="AR123" s="493"/>
      <c r="AT123" s="492">
        <v>119</v>
      </c>
      <c r="AU123" s="492">
        <v>10</v>
      </c>
      <c r="AV123" s="497">
        <f>IF(('Comparison Calculator'!$E$11-AU123)&gt;=0,0,IFERROR(-PPMT($AZ$66/12,(AT123-60),($F$1-5)*12,$AZ$65),0))</f>
        <v>0</v>
      </c>
      <c r="AW123" s="497">
        <f>IF(('Comparison Calculator'!$E$11-AU123)&gt;=0,$C$1*$AZ$66/12,IFERROR(-IPMT($AZ$66/12,(AT123-60),($F$1-5)*12,$AZ$65,0),0))</f>
        <v>0</v>
      </c>
      <c r="AX123" s="497">
        <f t="shared" si="43"/>
        <v>0</v>
      </c>
      <c r="AY123" s="497">
        <f t="shared" si="56"/>
        <v>1800000</v>
      </c>
      <c r="AZ123" s="493"/>
      <c r="BA123" s="493"/>
      <c r="BC123" s="492">
        <v>119</v>
      </c>
      <c r="BD123" s="492">
        <v>10</v>
      </c>
      <c r="BE123" s="497">
        <f>IF(('Comparison Calculator'!$E$11-BD123)&gt;=0,0,IFERROR(-PPMT($BI$66/12,(BC123-60),($F$1-5)*12,$BI$65),0))</f>
        <v>0</v>
      </c>
      <c r="BF123" s="497">
        <f>IF(('Comparison Calculator'!$E$11-BD123)&gt;=0,$C$1*$BI$66/12,IFERROR(-IPMT($BI$66/12,(BC123-60),($F$1-5)*12,$BI$65,0),0))</f>
        <v>0</v>
      </c>
      <c r="BG123" s="497">
        <f t="shared" si="44"/>
        <v>0</v>
      </c>
      <c r="BH123" s="497">
        <f t="shared" si="57"/>
        <v>1800000</v>
      </c>
      <c r="BI123" s="493"/>
      <c r="BJ123" s="493"/>
      <c r="BK123" s="492">
        <v>119</v>
      </c>
      <c r="BL123" s="492">
        <v>10</v>
      </c>
      <c r="BM123" s="497">
        <f>IF(('Comparison Calculator'!$E$11-BL123)&gt;=0,0,IFERROR(-PPMT($BQ$66/12,(BK123-60),($F$1-5)*12,$BQ$65),0))</f>
        <v>0</v>
      </c>
      <c r="BN123" s="497">
        <f>IF(('Comparison Calculator'!$E$11-BL123)&gt;=0,$C$1*$BQ$66/12,IFERROR(-IPMT($BQ$66/12,(BK123-60),($F$1-5)*12,$BQ$65,0),0))</f>
        <v>0</v>
      </c>
      <c r="BO123" s="497">
        <f t="shared" si="45"/>
        <v>0</v>
      </c>
      <c r="BP123" s="497">
        <f t="shared" si="58"/>
        <v>1800000</v>
      </c>
      <c r="BQ123" s="493"/>
      <c r="BR123" s="493"/>
      <c r="BT123" s="492">
        <v>119</v>
      </c>
      <c r="BU123" s="492">
        <v>10</v>
      </c>
      <c r="BV123" s="497">
        <f>IF(('Comparison Calculator'!$E$11-BU123)&gt;=0,0,IFERROR(-PPMT($BZ$66/12,(BT123-60),($F$1-5)*12,$BZ$65),0))</f>
        <v>0</v>
      </c>
      <c r="BW123" s="497">
        <f>IF(('Comparison Calculator'!$E$11-BU123)&gt;=0,$C$1*$BZ$66/12,IFERROR(-IPMT($BZ$66/12,(BT123-60),($F$1-5)*12,$BZ$65,0),0))</f>
        <v>0</v>
      </c>
      <c r="BX123" s="497">
        <f t="shared" si="46"/>
        <v>0</v>
      </c>
      <c r="BY123" s="497">
        <f t="shared" si="59"/>
        <v>1800000</v>
      </c>
      <c r="BZ123" s="493"/>
      <c r="CA123" s="493"/>
      <c r="CC123" s="492">
        <v>119</v>
      </c>
      <c r="CD123" s="492">
        <v>10</v>
      </c>
      <c r="CE123" s="497">
        <f>IF(('Comparison Calculator'!$E$11-CD123)&gt;=0,0,IFERROR(-PPMT($CI$66/12,(CC123-60),($F$1-5)*12,$CI$65),0))</f>
        <v>0</v>
      </c>
      <c r="CF123" s="497">
        <f>IF(('Comparison Calculator'!$E$11-CD123)&gt;=0,$C$1*$CI$66/12,IFERROR(-IPMT($CI$66/12,(CC123-60),($F$1-5)*12,$CI$65,0),0))</f>
        <v>0</v>
      </c>
      <c r="CG123" s="497">
        <f t="shared" si="47"/>
        <v>0</v>
      </c>
      <c r="CH123" s="497">
        <f t="shared" si="60"/>
        <v>1800000</v>
      </c>
      <c r="CI123" s="493"/>
      <c r="CJ123" s="493"/>
      <c r="CL123" s="492">
        <v>119</v>
      </c>
      <c r="CM123" s="492">
        <v>10</v>
      </c>
      <c r="CN123" s="497">
        <f>IF(('Comparison Calculator'!$E$11-CM123)&gt;=0,0,IFERROR(-PPMT($CR$66/12,(CL123-60),($F$1-5)*12,$CR$65),0))</f>
        <v>0</v>
      </c>
      <c r="CO123" s="497">
        <f>IF(('Comparison Calculator'!$E$11-CM123)&gt;=0,$C$1*$CI$66/12,IFERROR(-IPMT($CI$66/12,(CL123-60),($F$1-5)*12,$CI$65,0),0))</f>
        <v>0</v>
      </c>
      <c r="CP123" s="497">
        <f t="shared" si="48"/>
        <v>0</v>
      </c>
      <c r="CQ123" s="497">
        <f t="shared" si="61"/>
        <v>1800000</v>
      </c>
      <c r="CR123" s="493"/>
      <c r="CS123" s="493"/>
      <c r="CU123" s="492">
        <v>119</v>
      </c>
      <c r="CV123" s="492">
        <v>10</v>
      </c>
      <c r="CW123" s="497">
        <f>IF(('Comparison Calculator'!$E$11-CV123)&gt;=0,0,IFERROR(-PPMT($DA$66/12,(CU123-60),($F$1-5)*12,$DA$65),0))</f>
        <v>0</v>
      </c>
      <c r="CX123" s="497">
        <f>IF(('Comparison Calculator'!$E$11-CV123)&gt;=0,$C$1*$DA$66/12,IFERROR(-IPMT($DA$66/12,(CU123-60),($F$1-5)*12,$DA$65,0),0))</f>
        <v>0</v>
      </c>
      <c r="CY123" s="497">
        <f t="shared" si="49"/>
        <v>0</v>
      </c>
      <c r="CZ123" s="497">
        <f t="shared" si="62"/>
        <v>1800000</v>
      </c>
      <c r="DA123" s="493"/>
      <c r="DB123" s="493"/>
      <c r="DD123" s="492">
        <v>119</v>
      </c>
      <c r="DE123" s="492">
        <v>10</v>
      </c>
      <c r="DF123" s="497">
        <f>IF(('Comparison Calculator'!$E$11-DE123)&gt;=0,0,IFERROR(-PPMT($DJ$66/12,(DD123-60),($F$1-5)*12,$DJ$65),0))</f>
        <v>0</v>
      </c>
      <c r="DG123" s="497">
        <f>IF(('Comparison Calculator'!$E$11-DE123)&gt;=0,$C$1*$DJ$66/12,IFERROR(-IPMT($DJ$66/12,(DD123-60),($F$1-5)*12,$DJ$65,0),0))</f>
        <v>0</v>
      </c>
      <c r="DH123" s="497">
        <f t="shared" si="50"/>
        <v>0</v>
      </c>
      <c r="DI123" s="497">
        <f t="shared" si="63"/>
        <v>1800000</v>
      </c>
      <c r="DJ123" s="493"/>
      <c r="DK123" s="493"/>
    </row>
    <row r="124" spans="1:115">
      <c r="A124" s="492">
        <v>120</v>
      </c>
      <c r="B124" s="492">
        <v>10</v>
      </c>
      <c r="C124" s="497">
        <f>IF(('Comparison Calculator'!$E$11-B124)&gt;=0,0,IFERROR(-PPMT($G$66/12,(A124-60),($F$1-5)*12,$G$65),0))</f>
        <v>0</v>
      </c>
      <c r="D124" s="497">
        <f>IF(('Comparison Calculator'!$E$11-B124)&gt;=0,$C$1*$G$66/12,IFERROR(-IPMT($G$66/12,(A124-60),($F$1-5)*12,$G$65,0),0))</f>
        <v>0</v>
      </c>
      <c r="E124" s="497">
        <f t="shared" si="38"/>
        <v>0</v>
      </c>
      <c r="F124" s="497">
        <f t="shared" si="51"/>
        <v>1800000</v>
      </c>
      <c r="G124" s="493"/>
      <c r="H124" s="493"/>
      <c r="I124" s="489"/>
      <c r="J124" s="492">
        <v>120</v>
      </c>
      <c r="K124" s="492">
        <v>10</v>
      </c>
      <c r="L124" s="497">
        <f>IF(('Comparison Calculator'!$E$11-K124)&gt;=0,0,IFERROR(-PPMT($P$66/12,(J124-60),($F$1-5)*12,$P$65),0))</f>
        <v>0</v>
      </c>
      <c r="M124" s="497">
        <f>IF(('Comparison Calculator'!$E$11-K124)&gt;=0,$C$1*$P$66/12,IFERROR(-IPMT($P$66/12,(J124-60),($F$1-5)*12,$P$65,0),0))</f>
        <v>0</v>
      </c>
      <c r="N124" s="497">
        <f t="shared" si="39"/>
        <v>0</v>
      </c>
      <c r="O124" s="497">
        <f t="shared" si="52"/>
        <v>1800000</v>
      </c>
      <c r="P124" s="493"/>
      <c r="Q124" s="493"/>
      <c r="S124" s="492">
        <v>120</v>
      </c>
      <c r="T124" s="492">
        <v>10</v>
      </c>
      <c r="U124" s="497">
        <f>IF(('Comparison Calculator'!$E$11-T124)&gt;=0,0,IFERROR(-PPMT($Y$66/12,(S124-60),($F$1-5)*12,$Y$65),0))</f>
        <v>0</v>
      </c>
      <c r="V124" s="497">
        <f>IF(('Comparison Calculator'!$E$11-T124)&gt;=0,$C$1*$Y$66/12,IFERROR(-IPMT($Y$66/12,(S124-60),($F$1-5)*12,$Y$65,0),0))</f>
        <v>0</v>
      </c>
      <c r="W124" s="497">
        <f t="shared" si="40"/>
        <v>0</v>
      </c>
      <c r="X124" s="497">
        <f t="shared" si="53"/>
        <v>1800000</v>
      </c>
      <c r="Y124" s="493"/>
      <c r="Z124" s="493"/>
      <c r="AB124" s="492">
        <v>120</v>
      </c>
      <c r="AC124" s="492">
        <v>10</v>
      </c>
      <c r="AD124" s="497">
        <f>IF(('Comparison Calculator'!$E$11-AC124)&gt;=0,0,IFERROR(-PPMT($AH$66/12,(AB124-60),($F$1-5)*12,$AH$65),0))</f>
        <v>0</v>
      </c>
      <c r="AE124" s="497">
        <f>IF(('Comparison Calculator'!$E$11-AC124)&gt;=0,$C$1*$AH$66/12,IFERROR(-IPMT($AH$66/12,(AB124-60),($F$1-5)*12,$AH$65,0),0))</f>
        <v>0</v>
      </c>
      <c r="AF124" s="497">
        <f t="shared" si="41"/>
        <v>0</v>
      </c>
      <c r="AG124" s="497">
        <f t="shared" si="54"/>
        <v>1800000</v>
      </c>
      <c r="AH124" s="493"/>
      <c r="AI124" s="493"/>
      <c r="AK124" s="492">
        <v>120</v>
      </c>
      <c r="AL124" s="492">
        <v>10</v>
      </c>
      <c r="AM124" s="497">
        <f>IF(('Comparison Calculator'!$E$11-AL124)&gt;=0,0,IFERROR(-PPMT($AQ$66/12,(AK124-60),($F$1-5)*12,$AQ$65),0))</f>
        <v>0</v>
      </c>
      <c r="AN124" s="497">
        <f>IF(('Comparison Calculator'!$E$11-AL124)&gt;=0,$C$1*$AQ$66/12,IFERROR(-IPMT($AQ$66/12,(AK124-60),($F$1-5)*12,$AQ$65,0),0))</f>
        <v>0</v>
      </c>
      <c r="AO124" s="497">
        <f t="shared" si="42"/>
        <v>0</v>
      </c>
      <c r="AP124" s="497">
        <f t="shared" si="55"/>
        <v>1800000</v>
      </c>
      <c r="AQ124" s="493"/>
      <c r="AR124" s="493"/>
      <c r="AT124" s="492">
        <v>120</v>
      </c>
      <c r="AU124" s="492">
        <v>10</v>
      </c>
      <c r="AV124" s="497">
        <f>IF(('Comparison Calculator'!$E$11-AU124)&gt;=0,0,IFERROR(-PPMT($AZ$66/12,(AT124-60),($F$1-5)*12,$AZ$65),0))</f>
        <v>0</v>
      </c>
      <c r="AW124" s="497">
        <f>IF(('Comparison Calculator'!$E$11-AU124)&gt;=0,$C$1*$AZ$66/12,IFERROR(-IPMT($AZ$66/12,(AT124-60),($F$1-5)*12,$AZ$65,0),0))</f>
        <v>0</v>
      </c>
      <c r="AX124" s="497">
        <f t="shared" si="43"/>
        <v>0</v>
      </c>
      <c r="AY124" s="497">
        <f t="shared" si="56"/>
        <v>1800000</v>
      </c>
      <c r="AZ124" s="493"/>
      <c r="BA124" s="493"/>
      <c r="BC124" s="492">
        <v>120</v>
      </c>
      <c r="BD124" s="492">
        <v>10</v>
      </c>
      <c r="BE124" s="497">
        <f>IF(('Comparison Calculator'!$E$11-BD124)&gt;=0,0,IFERROR(-PPMT($BI$66/12,(BC124-60),($F$1-5)*12,$BI$65),0))</f>
        <v>0</v>
      </c>
      <c r="BF124" s="497">
        <f>IF(('Comparison Calculator'!$E$11-BD124)&gt;=0,$C$1*$BI$66/12,IFERROR(-IPMT($BI$66/12,(BC124-60),($F$1-5)*12,$BI$65,0),0))</f>
        <v>0</v>
      </c>
      <c r="BG124" s="497">
        <f t="shared" si="44"/>
        <v>0</v>
      </c>
      <c r="BH124" s="497">
        <f t="shared" si="57"/>
        <v>1800000</v>
      </c>
      <c r="BI124" s="493"/>
      <c r="BJ124" s="493"/>
      <c r="BK124" s="492">
        <v>120</v>
      </c>
      <c r="BL124" s="492">
        <v>10</v>
      </c>
      <c r="BM124" s="497">
        <f>IF(('Comparison Calculator'!$E$11-BL124)&gt;=0,0,IFERROR(-PPMT($BQ$66/12,(BK124-60),($F$1-5)*12,$BQ$65),0))</f>
        <v>0</v>
      </c>
      <c r="BN124" s="497">
        <f>IF(('Comparison Calculator'!$E$11-BL124)&gt;=0,$C$1*$BQ$66/12,IFERROR(-IPMT($BQ$66/12,(BK124-60),($F$1-5)*12,$BQ$65,0),0))</f>
        <v>0</v>
      </c>
      <c r="BO124" s="497">
        <f t="shared" si="45"/>
        <v>0</v>
      </c>
      <c r="BP124" s="497">
        <f t="shared" si="58"/>
        <v>1800000</v>
      </c>
      <c r="BQ124" s="493"/>
      <c r="BR124" s="493"/>
      <c r="BT124" s="492">
        <v>120</v>
      </c>
      <c r="BU124" s="492">
        <v>10</v>
      </c>
      <c r="BV124" s="497">
        <f>IF(('Comparison Calculator'!$E$11-BU124)&gt;=0,0,IFERROR(-PPMT($BZ$66/12,(BT124-60),($F$1-5)*12,$BZ$65),0))</f>
        <v>0</v>
      </c>
      <c r="BW124" s="497">
        <f>IF(('Comparison Calculator'!$E$11-BU124)&gt;=0,$C$1*$BZ$66/12,IFERROR(-IPMT($BZ$66/12,(BT124-60),($F$1-5)*12,$BZ$65,0),0))</f>
        <v>0</v>
      </c>
      <c r="BX124" s="497">
        <f t="shared" si="46"/>
        <v>0</v>
      </c>
      <c r="BY124" s="497">
        <f t="shared" si="59"/>
        <v>1800000</v>
      </c>
      <c r="BZ124" s="493"/>
      <c r="CA124" s="493"/>
      <c r="CC124" s="492">
        <v>120</v>
      </c>
      <c r="CD124" s="492">
        <v>10</v>
      </c>
      <c r="CE124" s="497">
        <f>IF(('Comparison Calculator'!$E$11-CD124)&gt;=0,0,IFERROR(-PPMT($CI$66/12,(CC124-60),($F$1-5)*12,$CI$65),0))</f>
        <v>0</v>
      </c>
      <c r="CF124" s="497">
        <f>IF(('Comparison Calculator'!$E$11-CD124)&gt;=0,$C$1*$CI$66/12,IFERROR(-IPMT($CI$66/12,(CC124-60),($F$1-5)*12,$CI$65,0),0))</f>
        <v>0</v>
      </c>
      <c r="CG124" s="497">
        <f t="shared" si="47"/>
        <v>0</v>
      </c>
      <c r="CH124" s="497">
        <f t="shared" si="60"/>
        <v>1800000</v>
      </c>
      <c r="CI124" s="493"/>
      <c r="CJ124" s="493"/>
      <c r="CL124" s="492">
        <v>120</v>
      </c>
      <c r="CM124" s="492">
        <v>10</v>
      </c>
      <c r="CN124" s="497">
        <f>IF(('Comparison Calculator'!$E$11-CM124)&gt;=0,0,IFERROR(-PPMT($CR$66/12,(CL124-60),($F$1-5)*12,$CR$65),0))</f>
        <v>0</v>
      </c>
      <c r="CO124" s="497">
        <f>IF(('Comparison Calculator'!$E$11-CM124)&gt;=0,$C$1*$CI$66/12,IFERROR(-IPMT($CI$66/12,(CL124-60),($F$1-5)*12,$CI$65,0),0))</f>
        <v>0</v>
      </c>
      <c r="CP124" s="497">
        <f t="shared" si="48"/>
        <v>0</v>
      </c>
      <c r="CQ124" s="497">
        <f t="shared" si="61"/>
        <v>1800000</v>
      </c>
      <c r="CR124" s="493"/>
      <c r="CS124" s="493"/>
      <c r="CU124" s="492">
        <v>120</v>
      </c>
      <c r="CV124" s="492">
        <v>10</v>
      </c>
      <c r="CW124" s="497">
        <f>IF(('Comparison Calculator'!$E$11-CV124)&gt;=0,0,IFERROR(-PPMT($DA$66/12,(CU124-60),($F$1-5)*12,$DA$65),0))</f>
        <v>0</v>
      </c>
      <c r="CX124" s="497">
        <f>IF(('Comparison Calculator'!$E$11-CV124)&gt;=0,$C$1*$DA$66/12,IFERROR(-IPMT($DA$66/12,(CU124-60),($F$1-5)*12,$DA$65,0),0))</f>
        <v>0</v>
      </c>
      <c r="CY124" s="497">
        <f t="shared" si="49"/>
        <v>0</v>
      </c>
      <c r="CZ124" s="497">
        <f t="shared" si="62"/>
        <v>1800000</v>
      </c>
      <c r="DA124" s="493"/>
      <c r="DB124" s="493"/>
      <c r="DD124" s="492">
        <v>120</v>
      </c>
      <c r="DE124" s="492">
        <v>10</v>
      </c>
      <c r="DF124" s="497">
        <f>IF(('Comparison Calculator'!$E$11-DE124)&gt;=0,0,IFERROR(-PPMT($DJ$66/12,(DD124-60),($F$1-5)*12,$DJ$65),0))</f>
        <v>0</v>
      </c>
      <c r="DG124" s="497">
        <f>IF(('Comparison Calculator'!$E$11-DE124)&gt;=0,$C$1*$DJ$66/12,IFERROR(-IPMT($DJ$66/12,(DD124-60),($F$1-5)*12,$DJ$65,0),0))</f>
        <v>0</v>
      </c>
      <c r="DH124" s="497">
        <f t="shared" si="50"/>
        <v>0</v>
      </c>
      <c r="DI124" s="497">
        <f t="shared" si="63"/>
        <v>1800000</v>
      </c>
      <c r="DJ124" s="493"/>
      <c r="DK124" s="493"/>
    </row>
    <row r="125" spans="1:115">
      <c r="A125" s="492">
        <v>121</v>
      </c>
      <c r="B125" s="492">
        <v>11</v>
      </c>
      <c r="C125" s="497">
        <f>IF(('Comparison Calculator'!$E$11-B125)&gt;=0,0,IFERROR(-PPMT($G$66/12,(A125-60),($F$1-5)*12,$G$65),0))</f>
        <v>0</v>
      </c>
      <c r="D125" s="497">
        <f>IF(('Comparison Calculator'!$E$11-B125)&gt;=0,$C$1*$G$66/12,IFERROR(-IPMT($G$66/12,(A125-60),($F$1-5)*12,$G$65,0),0))</f>
        <v>0</v>
      </c>
      <c r="E125" s="497">
        <f t="shared" si="38"/>
        <v>0</v>
      </c>
      <c r="F125" s="497">
        <f t="shared" si="51"/>
        <v>1800000</v>
      </c>
      <c r="G125" s="493"/>
      <c r="H125" s="493"/>
      <c r="I125" s="489"/>
      <c r="J125" s="492">
        <v>121</v>
      </c>
      <c r="K125" s="492">
        <v>11</v>
      </c>
      <c r="L125" s="497">
        <f>IF(('Comparison Calculator'!$E$11-K125)&gt;=0,0,IFERROR(-PPMT($P$66/12,(J125-60),($F$1-5)*12,$P$65),0))</f>
        <v>0</v>
      </c>
      <c r="M125" s="497">
        <f>IF(('Comparison Calculator'!$E$11-K125)&gt;=0,$C$1*$P$66/12,IFERROR(-IPMT($P$66/12,(J125-60),($F$1-5)*12,$P$65,0),0))</f>
        <v>0</v>
      </c>
      <c r="N125" s="497">
        <f t="shared" si="39"/>
        <v>0</v>
      </c>
      <c r="O125" s="497">
        <f t="shared" si="52"/>
        <v>1800000</v>
      </c>
      <c r="P125" s="493"/>
      <c r="Q125" s="493"/>
      <c r="S125" s="492">
        <v>121</v>
      </c>
      <c r="T125" s="492">
        <v>11</v>
      </c>
      <c r="U125" s="497">
        <f>IF(('Comparison Calculator'!$E$11-T125)&gt;=0,0,IFERROR(-PPMT($Y$66/12,(S125-60),($F$1-5)*12,$Y$65),0))</f>
        <v>0</v>
      </c>
      <c r="V125" s="497">
        <f>IF(('Comparison Calculator'!$E$11-T125)&gt;=0,$C$1*$Y$66/12,IFERROR(-IPMT($Y$66/12,(S125-60),($F$1-5)*12,$Y$65,0),0))</f>
        <v>0</v>
      </c>
      <c r="W125" s="497">
        <f t="shared" si="40"/>
        <v>0</v>
      </c>
      <c r="X125" s="497">
        <f t="shared" si="53"/>
        <v>1800000</v>
      </c>
      <c r="Y125" s="493"/>
      <c r="Z125" s="493"/>
      <c r="AB125" s="492">
        <v>121</v>
      </c>
      <c r="AC125" s="492">
        <v>11</v>
      </c>
      <c r="AD125" s="497">
        <f>IF(('Comparison Calculator'!$E$11-AC125)&gt;=0,0,IFERROR(-PPMT($AH$66/12,(AB125-60),($F$1-5)*12,$AH$65),0))</f>
        <v>0</v>
      </c>
      <c r="AE125" s="497">
        <f>IF(('Comparison Calculator'!$E$11-AC125)&gt;=0,$C$1*$AH$66/12,IFERROR(-IPMT($AH$66/12,(AB125-60),($F$1-5)*12,$AH$65,0),0))</f>
        <v>0</v>
      </c>
      <c r="AF125" s="497">
        <f t="shared" si="41"/>
        <v>0</v>
      </c>
      <c r="AG125" s="497">
        <f t="shared" si="54"/>
        <v>1800000</v>
      </c>
      <c r="AH125" s="493"/>
      <c r="AI125" s="493"/>
      <c r="AK125" s="492">
        <v>121</v>
      </c>
      <c r="AL125" s="492">
        <v>11</v>
      </c>
      <c r="AM125" s="497">
        <f>IF(('Comparison Calculator'!$E$11-AL125)&gt;=0,0,IFERROR(-PPMT($AQ$66/12,(AK125-60),($F$1-5)*12,$AQ$65),0))</f>
        <v>0</v>
      </c>
      <c r="AN125" s="497">
        <f>IF(('Comparison Calculator'!$E$11-AL125)&gt;=0,$C$1*$AQ$66/12,IFERROR(-IPMT($AQ$66/12,(AK125-60),($F$1-5)*12,$AQ$65,0),0))</f>
        <v>0</v>
      </c>
      <c r="AO125" s="497">
        <f t="shared" si="42"/>
        <v>0</v>
      </c>
      <c r="AP125" s="497">
        <f t="shared" si="55"/>
        <v>1800000</v>
      </c>
      <c r="AQ125" s="493"/>
      <c r="AR125" s="493"/>
      <c r="AT125" s="492">
        <v>121</v>
      </c>
      <c r="AU125" s="492">
        <v>11</v>
      </c>
      <c r="AV125" s="497">
        <f>IF(('Comparison Calculator'!$E$11-AU125)&gt;=0,0,IFERROR(-PPMT($AZ$66/12,(AT125-60),($F$1-5)*12,$AZ$65),0))</f>
        <v>0</v>
      </c>
      <c r="AW125" s="497">
        <f>IF(('Comparison Calculator'!$E$11-AU125)&gt;=0,$C$1*$AZ$66/12,IFERROR(-IPMT($AZ$66/12,(AT125-60),($F$1-5)*12,$AZ$65,0),0))</f>
        <v>0</v>
      </c>
      <c r="AX125" s="497">
        <f t="shared" si="43"/>
        <v>0</v>
      </c>
      <c r="AY125" s="497">
        <f t="shared" si="56"/>
        <v>1800000</v>
      </c>
      <c r="AZ125" s="493"/>
      <c r="BA125" s="493"/>
      <c r="BC125" s="492">
        <v>121</v>
      </c>
      <c r="BD125" s="492">
        <v>11</v>
      </c>
      <c r="BE125" s="497">
        <f>IF(('Comparison Calculator'!$E$11-BD125)&gt;=0,0,IFERROR(-PPMT($BI$66/12,(BC125-60),($F$1-5)*12,$BI$65),0))</f>
        <v>0</v>
      </c>
      <c r="BF125" s="497">
        <f>IF(('Comparison Calculator'!$E$11-BD125)&gt;=0,$C$1*$BI$66/12,IFERROR(-IPMT($BI$66/12,(BC125-60),($F$1-5)*12,$BI$65,0),0))</f>
        <v>0</v>
      </c>
      <c r="BG125" s="497">
        <f t="shared" si="44"/>
        <v>0</v>
      </c>
      <c r="BH125" s="497">
        <f t="shared" si="57"/>
        <v>1800000</v>
      </c>
      <c r="BI125" s="493"/>
      <c r="BJ125" s="493"/>
      <c r="BK125" s="492">
        <v>121</v>
      </c>
      <c r="BL125" s="492">
        <v>11</v>
      </c>
      <c r="BM125" s="497">
        <f>IF(('Comparison Calculator'!$E$11-BL125)&gt;=0,0,IFERROR(-PPMT($BQ$66/12,(BK125-60),($F$1-5)*12,$BQ$65),0))</f>
        <v>0</v>
      </c>
      <c r="BN125" s="497">
        <f>IF(('Comparison Calculator'!$E$11-BL125)&gt;=0,$C$1*$BQ$66/12,IFERROR(-IPMT($BQ$66/12,(BK125-60),($F$1-5)*12,$BQ$65,0),0))</f>
        <v>0</v>
      </c>
      <c r="BO125" s="497">
        <f t="shared" si="45"/>
        <v>0</v>
      </c>
      <c r="BP125" s="497">
        <f t="shared" si="58"/>
        <v>1800000</v>
      </c>
      <c r="BQ125" s="493"/>
      <c r="BR125" s="493"/>
      <c r="BT125" s="492">
        <v>121</v>
      </c>
      <c r="BU125" s="492">
        <v>11</v>
      </c>
      <c r="BV125" s="497">
        <f>IF(('Comparison Calculator'!$E$11-BU125)&gt;=0,0,IFERROR(-PPMT($BZ$66/12,(BT125-60),($F$1-5)*12,$BZ$65),0))</f>
        <v>0</v>
      </c>
      <c r="BW125" s="497">
        <f>IF(('Comparison Calculator'!$E$11-BU125)&gt;=0,$C$1*$BZ$66/12,IFERROR(-IPMT($BZ$66/12,(BT125-60),($F$1-5)*12,$BZ$65,0),0))</f>
        <v>0</v>
      </c>
      <c r="BX125" s="497">
        <f t="shared" si="46"/>
        <v>0</v>
      </c>
      <c r="BY125" s="497">
        <f t="shared" si="59"/>
        <v>1800000</v>
      </c>
      <c r="BZ125" s="493"/>
      <c r="CA125" s="493"/>
      <c r="CC125" s="492">
        <v>121</v>
      </c>
      <c r="CD125" s="492">
        <v>11</v>
      </c>
      <c r="CE125" s="497">
        <f>IF(('Comparison Calculator'!$E$11-CD125)&gt;=0,0,IFERROR(-PPMT($CI$66/12,(CC125-60),($F$1-5)*12,$CI$65),0))</f>
        <v>0</v>
      </c>
      <c r="CF125" s="497">
        <f>IF(('Comparison Calculator'!$E$11-CD125)&gt;=0,$C$1*$CI$66/12,IFERROR(-IPMT($CI$66/12,(CC125-60),($F$1-5)*12,$CI$65,0),0))</f>
        <v>0</v>
      </c>
      <c r="CG125" s="497">
        <f t="shared" si="47"/>
        <v>0</v>
      </c>
      <c r="CH125" s="497">
        <f t="shared" si="60"/>
        <v>1800000</v>
      </c>
      <c r="CI125" s="493"/>
      <c r="CJ125" s="493"/>
      <c r="CL125" s="492">
        <v>121</v>
      </c>
      <c r="CM125" s="492">
        <v>11</v>
      </c>
      <c r="CN125" s="497">
        <f>IF(('Comparison Calculator'!$E$11-CM125)&gt;=0,0,IFERROR(-PPMT($CR$66/12,(CL125-60),($F$1-5)*12,$CR$65),0))</f>
        <v>0</v>
      </c>
      <c r="CO125" s="497">
        <f>IF(('Comparison Calculator'!$E$11-CM125)&gt;=0,$C$1*$CI$66/12,IFERROR(-IPMT($CI$66/12,(CL125-60),($F$1-5)*12,$CI$65,0),0))</f>
        <v>0</v>
      </c>
      <c r="CP125" s="497">
        <f t="shared" si="48"/>
        <v>0</v>
      </c>
      <c r="CQ125" s="497">
        <f t="shared" si="61"/>
        <v>1800000</v>
      </c>
      <c r="CR125" s="493"/>
      <c r="CS125" s="493"/>
      <c r="CU125" s="492">
        <v>121</v>
      </c>
      <c r="CV125" s="492">
        <v>11</v>
      </c>
      <c r="CW125" s="497">
        <f>IF(('Comparison Calculator'!$E$11-CV125)&gt;=0,0,IFERROR(-PPMT($DA$66/12,(CU125-60),($F$1-5)*12,$DA$65),0))</f>
        <v>0</v>
      </c>
      <c r="CX125" s="497">
        <f>IF(('Comparison Calculator'!$E$11-CV125)&gt;=0,$C$1*$DA$66/12,IFERROR(-IPMT($DA$66/12,(CU125-60),($F$1-5)*12,$DA$65,0),0))</f>
        <v>0</v>
      </c>
      <c r="CY125" s="497">
        <f t="shared" si="49"/>
        <v>0</v>
      </c>
      <c r="CZ125" s="497">
        <f t="shared" si="62"/>
        <v>1800000</v>
      </c>
      <c r="DA125" s="493"/>
      <c r="DB125" s="493"/>
      <c r="DD125" s="492">
        <v>121</v>
      </c>
      <c r="DE125" s="492">
        <v>11</v>
      </c>
      <c r="DF125" s="497">
        <f>IF(('Comparison Calculator'!$E$11-DE125)&gt;=0,0,IFERROR(-PPMT($DJ$66/12,(DD125-60),($F$1-5)*12,$DJ$65),0))</f>
        <v>0</v>
      </c>
      <c r="DG125" s="497">
        <f>IF(('Comparison Calculator'!$E$11-DE125)&gt;=0,$C$1*$DJ$66/12,IFERROR(-IPMT($DJ$66/12,(DD125-60),($F$1-5)*12,$DJ$65,0),0))</f>
        <v>0</v>
      </c>
      <c r="DH125" s="497">
        <f t="shared" si="50"/>
        <v>0</v>
      </c>
      <c r="DI125" s="497">
        <f t="shared" si="63"/>
        <v>1800000</v>
      </c>
      <c r="DJ125" s="493"/>
      <c r="DK125" s="493"/>
    </row>
    <row r="126" spans="1:115">
      <c r="A126" s="492">
        <v>122</v>
      </c>
      <c r="B126" s="492">
        <v>11</v>
      </c>
      <c r="C126" s="497">
        <f>IF(('Comparison Calculator'!$E$11-B126)&gt;=0,0,IFERROR(-PPMT($G$66/12,(A126-60),($F$1-5)*12,$G$65),0))</f>
        <v>0</v>
      </c>
      <c r="D126" s="497">
        <f>IF(('Comparison Calculator'!$E$11-B126)&gt;=0,$C$1*$G$66/12,IFERROR(-IPMT($G$66/12,(A126-60),($F$1-5)*12,$G$65,0),0))</f>
        <v>0</v>
      </c>
      <c r="E126" s="497">
        <f t="shared" si="38"/>
        <v>0</v>
      </c>
      <c r="F126" s="497">
        <f t="shared" si="51"/>
        <v>1800000</v>
      </c>
      <c r="G126" s="493"/>
      <c r="H126" s="493"/>
      <c r="I126" s="489"/>
      <c r="J126" s="492">
        <v>122</v>
      </c>
      <c r="K126" s="492">
        <v>11</v>
      </c>
      <c r="L126" s="497">
        <f>IF(('Comparison Calculator'!$E$11-K126)&gt;=0,0,IFERROR(-PPMT($P$66/12,(J126-60),($F$1-5)*12,$P$65),0))</f>
        <v>0</v>
      </c>
      <c r="M126" s="497">
        <f>IF(('Comparison Calculator'!$E$11-K126)&gt;=0,$C$1*$P$66/12,IFERROR(-IPMT($P$66/12,(J126-60),($F$1-5)*12,$P$65,0),0))</f>
        <v>0</v>
      </c>
      <c r="N126" s="497">
        <f t="shared" si="39"/>
        <v>0</v>
      </c>
      <c r="O126" s="497">
        <f t="shared" si="52"/>
        <v>1800000</v>
      </c>
      <c r="P126" s="493"/>
      <c r="Q126" s="493"/>
      <c r="S126" s="492">
        <v>122</v>
      </c>
      <c r="T126" s="492">
        <v>11</v>
      </c>
      <c r="U126" s="497">
        <f>IF(('Comparison Calculator'!$E$11-T126)&gt;=0,0,IFERROR(-PPMT($Y$66/12,(S126-60),($F$1-5)*12,$Y$65),0))</f>
        <v>0</v>
      </c>
      <c r="V126" s="497">
        <f>IF(('Comparison Calculator'!$E$11-T126)&gt;=0,$C$1*$Y$66/12,IFERROR(-IPMT($Y$66/12,(S126-60),($F$1-5)*12,$Y$65,0),0))</f>
        <v>0</v>
      </c>
      <c r="W126" s="497">
        <f t="shared" si="40"/>
        <v>0</v>
      </c>
      <c r="X126" s="497">
        <f t="shared" si="53"/>
        <v>1800000</v>
      </c>
      <c r="Y126" s="493"/>
      <c r="Z126" s="493"/>
      <c r="AB126" s="492">
        <v>122</v>
      </c>
      <c r="AC126" s="492">
        <v>11</v>
      </c>
      <c r="AD126" s="497">
        <f>IF(('Comparison Calculator'!$E$11-AC126)&gt;=0,0,IFERROR(-PPMT($AH$66/12,(AB126-60),($F$1-5)*12,$AH$65),0))</f>
        <v>0</v>
      </c>
      <c r="AE126" s="497">
        <f>IF(('Comparison Calculator'!$E$11-AC126)&gt;=0,$C$1*$AH$66/12,IFERROR(-IPMT($AH$66/12,(AB126-60),($F$1-5)*12,$AH$65,0),0))</f>
        <v>0</v>
      </c>
      <c r="AF126" s="497">
        <f t="shared" si="41"/>
        <v>0</v>
      </c>
      <c r="AG126" s="497">
        <f t="shared" si="54"/>
        <v>1800000</v>
      </c>
      <c r="AH126" s="493"/>
      <c r="AI126" s="493"/>
      <c r="AK126" s="492">
        <v>122</v>
      </c>
      <c r="AL126" s="492">
        <v>11</v>
      </c>
      <c r="AM126" s="497">
        <f>IF(('Comparison Calculator'!$E$11-AL126)&gt;=0,0,IFERROR(-PPMT($AQ$66/12,(AK126-60),($F$1-5)*12,$AQ$65),0))</f>
        <v>0</v>
      </c>
      <c r="AN126" s="497">
        <f>IF(('Comparison Calculator'!$E$11-AL126)&gt;=0,$C$1*$AQ$66/12,IFERROR(-IPMT($AQ$66/12,(AK126-60),($F$1-5)*12,$AQ$65,0),0))</f>
        <v>0</v>
      </c>
      <c r="AO126" s="497">
        <f t="shared" si="42"/>
        <v>0</v>
      </c>
      <c r="AP126" s="497">
        <f t="shared" si="55"/>
        <v>1800000</v>
      </c>
      <c r="AQ126" s="493"/>
      <c r="AR126" s="493"/>
      <c r="AT126" s="492">
        <v>122</v>
      </c>
      <c r="AU126" s="492">
        <v>11</v>
      </c>
      <c r="AV126" s="497">
        <f>IF(('Comparison Calculator'!$E$11-AU126)&gt;=0,0,IFERROR(-PPMT($AZ$66/12,(AT126-60),($F$1-5)*12,$AZ$65),0))</f>
        <v>0</v>
      </c>
      <c r="AW126" s="497">
        <f>IF(('Comparison Calculator'!$E$11-AU126)&gt;=0,$C$1*$AZ$66/12,IFERROR(-IPMT($AZ$66/12,(AT126-60),($F$1-5)*12,$AZ$65,0),0))</f>
        <v>0</v>
      </c>
      <c r="AX126" s="497">
        <f t="shared" si="43"/>
        <v>0</v>
      </c>
      <c r="AY126" s="497">
        <f t="shared" si="56"/>
        <v>1800000</v>
      </c>
      <c r="AZ126" s="493"/>
      <c r="BA126" s="493"/>
      <c r="BC126" s="492">
        <v>122</v>
      </c>
      <c r="BD126" s="492">
        <v>11</v>
      </c>
      <c r="BE126" s="497">
        <f>IF(('Comparison Calculator'!$E$11-BD126)&gt;=0,0,IFERROR(-PPMT($BI$66/12,(BC126-60),($F$1-5)*12,$BI$65),0))</f>
        <v>0</v>
      </c>
      <c r="BF126" s="497">
        <f>IF(('Comparison Calculator'!$E$11-BD126)&gt;=0,$C$1*$BI$66/12,IFERROR(-IPMT($BI$66/12,(BC126-60),($F$1-5)*12,$BI$65,0),0))</f>
        <v>0</v>
      </c>
      <c r="BG126" s="497">
        <f t="shared" si="44"/>
        <v>0</v>
      </c>
      <c r="BH126" s="497">
        <f t="shared" si="57"/>
        <v>1800000</v>
      </c>
      <c r="BI126" s="493"/>
      <c r="BJ126" s="493"/>
      <c r="BK126" s="492">
        <v>122</v>
      </c>
      <c r="BL126" s="492">
        <v>11</v>
      </c>
      <c r="BM126" s="497">
        <f>IF(('Comparison Calculator'!$E$11-BL126)&gt;=0,0,IFERROR(-PPMT($BQ$66/12,(BK126-60),($F$1-5)*12,$BQ$65),0))</f>
        <v>0</v>
      </c>
      <c r="BN126" s="497">
        <f>IF(('Comparison Calculator'!$E$11-BL126)&gt;=0,$C$1*$BQ$66/12,IFERROR(-IPMT($BQ$66/12,(BK126-60),($F$1-5)*12,$BQ$65,0),0))</f>
        <v>0</v>
      </c>
      <c r="BO126" s="497">
        <f t="shared" si="45"/>
        <v>0</v>
      </c>
      <c r="BP126" s="497">
        <f t="shared" si="58"/>
        <v>1800000</v>
      </c>
      <c r="BQ126" s="493"/>
      <c r="BR126" s="493"/>
      <c r="BT126" s="492">
        <v>122</v>
      </c>
      <c r="BU126" s="492">
        <v>11</v>
      </c>
      <c r="BV126" s="497">
        <f>IF(('Comparison Calculator'!$E$11-BU126)&gt;=0,0,IFERROR(-PPMT($BZ$66/12,(BT126-60),($F$1-5)*12,$BZ$65),0))</f>
        <v>0</v>
      </c>
      <c r="BW126" s="497">
        <f>IF(('Comparison Calculator'!$E$11-BU126)&gt;=0,$C$1*$BZ$66/12,IFERROR(-IPMT($BZ$66/12,(BT126-60),($F$1-5)*12,$BZ$65,0),0))</f>
        <v>0</v>
      </c>
      <c r="BX126" s="497">
        <f t="shared" si="46"/>
        <v>0</v>
      </c>
      <c r="BY126" s="497">
        <f t="shared" si="59"/>
        <v>1800000</v>
      </c>
      <c r="BZ126" s="493"/>
      <c r="CA126" s="493"/>
      <c r="CC126" s="492">
        <v>122</v>
      </c>
      <c r="CD126" s="492">
        <v>11</v>
      </c>
      <c r="CE126" s="497">
        <f>IF(('Comparison Calculator'!$E$11-CD126)&gt;=0,0,IFERROR(-PPMT($CI$66/12,(CC126-60),($F$1-5)*12,$CI$65),0))</f>
        <v>0</v>
      </c>
      <c r="CF126" s="497">
        <f>IF(('Comparison Calculator'!$E$11-CD126)&gt;=0,$C$1*$CI$66/12,IFERROR(-IPMT($CI$66/12,(CC126-60),($F$1-5)*12,$CI$65,0),0))</f>
        <v>0</v>
      </c>
      <c r="CG126" s="497">
        <f t="shared" si="47"/>
        <v>0</v>
      </c>
      <c r="CH126" s="497">
        <f t="shared" si="60"/>
        <v>1800000</v>
      </c>
      <c r="CI126" s="493"/>
      <c r="CJ126" s="493"/>
      <c r="CL126" s="492">
        <v>122</v>
      </c>
      <c r="CM126" s="492">
        <v>11</v>
      </c>
      <c r="CN126" s="497">
        <f>IF(('Comparison Calculator'!$E$11-CM126)&gt;=0,0,IFERROR(-PPMT($CR$66/12,(CL126-60),($F$1-5)*12,$CR$65),0))</f>
        <v>0</v>
      </c>
      <c r="CO126" s="497">
        <f>IF(('Comparison Calculator'!$E$11-CM126)&gt;=0,$C$1*$CI$66/12,IFERROR(-IPMT($CI$66/12,(CL126-60),($F$1-5)*12,$CI$65,0),0))</f>
        <v>0</v>
      </c>
      <c r="CP126" s="497">
        <f t="shared" si="48"/>
        <v>0</v>
      </c>
      <c r="CQ126" s="497">
        <f t="shared" si="61"/>
        <v>1800000</v>
      </c>
      <c r="CR126" s="493"/>
      <c r="CS126" s="493"/>
      <c r="CU126" s="492">
        <v>122</v>
      </c>
      <c r="CV126" s="492">
        <v>11</v>
      </c>
      <c r="CW126" s="497">
        <f>IF(('Comparison Calculator'!$E$11-CV126)&gt;=0,0,IFERROR(-PPMT($DA$66/12,(CU126-60),($F$1-5)*12,$DA$65),0))</f>
        <v>0</v>
      </c>
      <c r="CX126" s="497">
        <f>IF(('Comparison Calculator'!$E$11-CV126)&gt;=0,$C$1*$DA$66/12,IFERROR(-IPMT($DA$66/12,(CU126-60),($F$1-5)*12,$DA$65,0),0))</f>
        <v>0</v>
      </c>
      <c r="CY126" s="497">
        <f t="shared" si="49"/>
        <v>0</v>
      </c>
      <c r="CZ126" s="497">
        <f t="shared" si="62"/>
        <v>1800000</v>
      </c>
      <c r="DA126" s="493"/>
      <c r="DB126" s="493"/>
      <c r="DD126" s="492">
        <v>122</v>
      </c>
      <c r="DE126" s="492">
        <v>11</v>
      </c>
      <c r="DF126" s="497">
        <f>IF(('Comparison Calculator'!$E$11-DE126)&gt;=0,0,IFERROR(-PPMT($DJ$66/12,(DD126-60),($F$1-5)*12,$DJ$65),0))</f>
        <v>0</v>
      </c>
      <c r="DG126" s="497">
        <f>IF(('Comparison Calculator'!$E$11-DE126)&gt;=0,$C$1*$DJ$66/12,IFERROR(-IPMT($DJ$66/12,(DD126-60),($F$1-5)*12,$DJ$65,0),0))</f>
        <v>0</v>
      </c>
      <c r="DH126" s="497">
        <f t="shared" si="50"/>
        <v>0</v>
      </c>
      <c r="DI126" s="497">
        <f t="shared" si="63"/>
        <v>1800000</v>
      </c>
      <c r="DJ126" s="493"/>
      <c r="DK126" s="493"/>
    </row>
    <row r="127" spans="1:115">
      <c r="A127" s="492">
        <v>123</v>
      </c>
      <c r="B127" s="492">
        <v>11</v>
      </c>
      <c r="C127" s="497">
        <f>IF(('Comparison Calculator'!$E$11-B127)&gt;=0,0,IFERROR(-PPMT($G$66/12,(A127-60),($F$1-5)*12,$G$65),0))</f>
        <v>0</v>
      </c>
      <c r="D127" s="497">
        <f>IF(('Comparison Calculator'!$E$11-B127)&gt;=0,$C$1*$G$66/12,IFERROR(-IPMT($G$66/12,(A127-60),($F$1-5)*12,$G$65,0),0))</f>
        <v>0</v>
      </c>
      <c r="E127" s="497">
        <f t="shared" si="38"/>
        <v>0</v>
      </c>
      <c r="F127" s="497">
        <f t="shared" si="51"/>
        <v>1800000</v>
      </c>
      <c r="G127" s="493"/>
      <c r="H127" s="493"/>
      <c r="I127" s="489"/>
      <c r="J127" s="492">
        <v>123</v>
      </c>
      <c r="K127" s="492">
        <v>11</v>
      </c>
      <c r="L127" s="497">
        <f>IF(('Comparison Calculator'!$E$11-K127)&gt;=0,0,IFERROR(-PPMT($P$66/12,(J127-60),($F$1-5)*12,$P$65),0))</f>
        <v>0</v>
      </c>
      <c r="M127" s="497">
        <f>IF(('Comparison Calculator'!$E$11-K127)&gt;=0,$C$1*$P$66/12,IFERROR(-IPMT($P$66/12,(J127-60),($F$1-5)*12,$P$65,0),0))</f>
        <v>0</v>
      </c>
      <c r="N127" s="497">
        <f t="shared" si="39"/>
        <v>0</v>
      </c>
      <c r="O127" s="497">
        <f t="shared" si="52"/>
        <v>1800000</v>
      </c>
      <c r="P127" s="493"/>
      <c r="Q127" s="493"/>
      <c r="S127" s="492">
        <v>123</v>
      </c>
      <c r="T127" s="492">
        <v>11</v>
      </c>
      <c r="U127" s="497">
        <f>IF(('Comparison Calculator'!$E$11-T127)&gt;=0,0,IFERROR(-PPMT($Y$66/12,(S127-60),($F$1-5)*12,$Y$65),0))</f>
        <v>0</v>
      </c>
      <c r="V127" s="497">
        <f>IF(('Comparison Calculator'!$E$11-T127)&gt;=0,$C$1*$Y$66/12,IFERROR(-IPMT($Y$66/12,(S127-60),($F$1-5)*12,$Y$65,0),0))</f>
        <v>0</v>
      </c>
      <c r="W127" s="497">
        <f t="shared" si="40"/>
        <v>0</v>
      </c>
      <c r="X127" s="497">
        <f t="shared" si="53"/>
        <v>1800000</v>
      </c>
      <c r="Y127" s="493"/>
      <c r="Z127" s="493"/>
      <c r="AB127" s="492">
        <v>123</v>
      </c>
      <c r="AC127" s="492">
        <v>11</v>
      </c>
      <c r="AD127" s="497">
        <f>IF(('Comparison Calculator'!$E$11-AC127)&gt;=0,0,IFERROR(-PPMT($AH$66/12,(AB127-60),($F$1-5)*12,$AH$65),0))</f>
        <v>0</v>
      </c>
      <c r="AE127" s="497">
        <f>IF(('Comparison Calculator'!$E$11-AC127)&gt;=0,$C$1*$AH$66/12,IFERROR(-IPMT($AH$66/12,(AB127-60),($F$1-5)*12,$AH$65,0),0))</f>
        <v>0</v>
      </c>
      <c r="AF127" s="497">
        <f t="shared" si="41"/>
        <v>0</v>
      </c>
      <c r="AG127" s="497">
        <f t="shared" si="54"/>
        <v>1800000</v>
      </c>
      <c r="AH127" s="493"/>
      <c r="AI127" s="493"/>
      <c r="AK127" s="492">
        <v>123</v>
      </c>
      <c r="AL127" s="492">
        <v>11</v>
      </c>
      <c r="AM127" s="497">
        <f>IF(('Comparison Calculator'!$E$11-AL127)&gt;=0,0,IFERROR(-PPMT($AQ$66/12,(AK127-60),($F$1-5)*12,$AQ$65),0))</f>
        <v>0</v>
      </c>
      <c r="AN127" s="497">
        <f>IF(('Comparison Calculator'!$E$11-AL127)&gt;=0,$C$1*$AQ$66/12,IFERROR(-IPMT($AQ$66/12,(AK127-60),($F$1-5)*12,$AQ$65,0),0))</f>
        <v>0</v>
      </c>
      <c r="AO127" s="497">
        <f t="shared" si="42"/>
        <v>0</v>
      </c>
      <c r="AP127" s="497">
        <f t="shared" si="55"/>
        <v>1800000</v>
      </c>
      <c r="AQ127" s="493"/>
      <c r="AR127" s="493"/>
      <c r="AT127" s="492">
        <v>123</v>
      </c>
      <c r="AU127" s="492">
        <v>11</v>
      </c>
      <c r="AV127" s="497">
        <f>IF(('Comparison Calculator'!$E$11-AU127)&gt;=0,0,IFERROR(-PPMT($AZ$66/12,(AT127-60),($F$1-5)*12,$AZ$65),0))</f>
        <v>0</v>
      </c>
      <c r="AW127" s="497">
        <f>IF(('Comparison Calculator'!$E$11-AU127)&gt;=0,$C$1*$AZ$66/12,IFERROR(-IPMT($AZ$66/12,(AT127-60),($F$1-5)*12,$AZ$65,0),0))</f>
        <v>0</v>
      </c>
      <c r="AX127" s="497">
        <f t="shared" si="43"/>
        <v>0</v>
      </c>
      <c r="AY127" s="497">
        <f t="shared" si="56"/>
        <v>1800000</v>
      </c>
      <c r="AZ127" s="493"/>
      <c r="BA127" s="493"/>
      <c r="BC127" s="492">
        <v>123</v>
      </c>
      <c r="BD127" s="492">
        <v>11</v>
      </c>
      <c r="BE127" s="497">
        <f>IF(('Comparison Calculator'!$E$11-BD127)&gt;=0,0,IFERROR(-PPMT($BI$66/12,(BC127-60),($F$1-5)*12,$BI$65),0))</f>
        <v>0</v>
      </c>
      <c r="BF127" s="497">
        <f>IF(('Comparison Calculator'!$E$11-BD127)&gt;=0,$C$1*$BI$66/12,IFERROR(-IPMT($BI$66/12,(BC127-60),($F$1-5)*12,$BI$65,0),0))</f>
        <v>0</v>
      </c>
      <c r="BG127" s="497">
        <f t="shared" si="44"/>
        <v>0</v>
      </c>
      <c r="BH127" s="497">
        <f t="shared" si="57"/>
        <v>1800000</v>
      </c>
      <c r="BI127" s="493"/>
      <c r="BJ127" s="493"/>
      <c r="BK127" s="492">
        <v>123</v>
      </c>
      <c r="BL127" s="492">
        <v>11</v>
      </c>
      <c r="BM127" s="497">
        <f>IF(('Comparison Calculator'!$E$11-BL127)&gt;=0,0,IFERROR(-PPMT($BQ$66/12,(BK127-60),($F$1-5)*12,$BQ$65),0))</f>
        <v>0</v>
      </c>
      <c r="BN127" s="497">
        <f>IF(('Comparison Calculator'!$E$11-BL127)&gt;=0,$C$1*$BQ$66/12,IFERROR(-IPMT($BQ$66/12,(BK127-60),($F$1-5)*12,$BQ$65,0),0))</f>
        <v>0</v>
      </c>
      <c r="BO127" s="497">
        <f t="shared" si="45"/>
        <v>0</v>
      </c>
      <c r="BP127" s="497">
        <f t="shared" si="58"/>
        <v>1800000</v>
      </c>
      <c r="BQ127" s="493"/>
      <c r="BR127" s="493"/>
      <c r="BT127" s="492">
        <v>123</v>
      </c>
      <c r="BU127" s="492">
        <v>11</v>
      </c>
      <c r="BV127" s="497">
        <f>IF(('Comparison Calculator'!$E$11-BU127)&gt;=0,0,IFERROR(-PPMT($BZ$66/12,(BT127-60),($F$1-5)*12,$BZ$65),0))</f>
        <v>0</v>
      </c>
      <c r="BW127" s="497">
        <f>IF(('Comparison Calculator'!$E$11-BU127)&gt;=0,$C$1*$BZ$66/12,IFERROR(-IPMT($BZ$66/12,(BT127-60),($F$1-5)*12,$BZ$65,0),0))</f>
        <v>0</v>
      </c>
      <c r="BX127" s="497">
        <f t="shared" si="46"/>
        <v>0</v>
      </c>
      <c r="BY127" s="497">
        <f t="shared" si="59"/>
        <v>1800000</v>
      </c>
      <c r="BZ127" s="493"/>
      <c r="CA127" s="493"/>
      <c r="CC127" s="492">
        <v>123</v>
      </c>
      <c r="CD127" s="492">
        <v>11</v>
      </c>
      <c r="CE127" s="497">
        <f>IF(('Comparison Calculator'!$E$11-CD127)&gt;=0,0,IFERROR(-PPMT($CI$66/12,(CC127-60),($F$1-5)*12,$CI$65),0))</f>
        <v>0</v>
      </c>
      <c r="CF127" s="497">
        <f>IF(('Comparison Calculator'!$E$11-CD127)&gt;=0,$C$1*$CI$66/12,IFERROR(-IPMT($CI$66/12,(CC127-60),($F$1-5)*12,$CI$65,0),0))</f>
        <v>0</v>
      </c>
      <c r="CG127" s="497">
        <f t="shared" si="47"/>
        <v>0</v>
      </c>
      <c r="CH127" s="497">
        <f t="shared" si="60"/>
        <v>1800000</v>
      </c>
      <c r="CI127" s="493"/>
      <c r="CJ127" s="493"/>
      <c r="CL127" s="492">
        <v>123</v>
      </c>
      <c r="CM127" s="492">
        <v>11</v>
      </c>
      <c r="CN127" s="497">
        <f>IF(('Comparison Calculator'!$E$11-CM127)&gt;=0,0,IFERROR(-PPMT($CR$66/12,(CL127-60),($F$1-5)*12,$CR$65),0))</f>
        <v>0</v>
      </c>
      <c r="CO127" s="497">
        <f>IF(('Comparison Calculator'!$E$11-CM127)&gt;=0,$C$1*$CI$66/12,IFERROR(-IPMT($CI$66/12,(CL127-60),($F$1-5)*12,$CI$65,0),0))</f>
        <v>0</v>
      </c>
      <c r="CP127" s="497">
        <f t="shared" si="48"/>
        <v>0</v>
      </c>
      <c r="CQ127" s="497">
        <f t="shared" si="61"/>
        <v>1800000</v>
      </c>
      <c r="CR127" s="493"/>
      <c r="CS127" s="493"/>
      <c r="CU127" s="492">
        <v>123</v>
      </c>
      <c r="CV127" s="492">
        <v>11</v>
      </c>
      <c r="CW127" s="497">
        <f>IF(('Comparison Calculator'!$E$11-CV127)&gt;=0,0,IFERROR(-PPMT($DA$66/12,(CU127-60),($F$1-5)*12,$DA$65),0))</f>
        <v>0</v>
      </c>
      <c r="CX127" s="497">
        <f>IF(('Comparison Calculator'!$E$11-CV127)&gt;=0,$C$1*$DA$66/12,IFERROR(-IPMT($DA$66/12,(CU127-60),($F$1-5)*12,$DA$65,0),0))</f>
        <v>0</v>
      </c>
      <c r="CY127" s="497">
        <f t="shared" si="49"/>
        <v>0</v>
      </c>
      <c r="CZ127" s="497">
        <f t="shared" si="62"/>
        <v>1800000</v>
      </c>
      <c r="DA127" s="493"/>
      <c r="DB127" s="493"/>
      <c r="DD127" s="492">
        <v>123</v>
      </c>
      <c r="DE127" s="492">
        <v>11</v>
      </c>
      <c r="DF127" s="497">
        <f>IF(('Comparison Calculator'!$E$11-DE127)&gt;=0,0,IFERROR(-PPMT($DJ$66/12,(DD127-60),($F$1-5)*12,$DJ$65),0))</f>
        <v>0</v>
      </c>
      <c r="DG127" s="497">
        <f>IF(('Comparison Calculator'!$E$11-DE127)&gt;=0,$C$1*$DJ$66/12,IFERROR(-IPMT($DJ$66/12,(DD127-60),($F$1-5)*12,$DJ$65,0),0))</f>
        <v>0</v>
      </c>
      <c r="DH127" s="497">
        <f t="shared" si="50"/>
        <v>0</v>
      </c>
      <c r="DI127" s="497">
        <f t="shared" si="63"/>
        <v>1800000</v>
      </c>
      <c r="DJ127" s="493"/>
      <c r="DK127" s="493"/>
    </row>
    <row r="128" spans="1:115">
      <c r="A128" s="492">
        <v>124</v>
      </c>
      <c r="B128" s="492">
        <v>11</v>
      </c>
      <c r="C128" s="497">
        <f>IF(('Comparison Calculator'!$E$11-B128)&gt;=0,0,IFERROR(-PPMT($G$66/12,(A128-60),($F$1-5)*12,$G$65),0))</f>
        <v>0</v>
      </c>
      <c r="D128" s="497">
        <f>IF(('Comparison Calculator'!$E$11-B128)&gt;=0,$C$1*$G$66/12,IFERROR(-IPMT($G$66/12,(A128-60),($F$1-5)*12,$G$65,0),0))</f>
        <v>0</v>
      </c>
      <c r="E128" s="497">
        <f t="shared" si="38"/>
        <v>0</v>
      </c>
      <c r="F128" s="497">
        <f t="shared" si="51"/>
        <v>1800000</v>
      </c>
      <c r="G128" s="493"/>
      <c r="H128" s="493"/>
      <c r="I128" s="489"/>
      <c r="J128" s="492">
        <v>124</v>
      </c>
      <c r="K128" s="492">
        <v>11</v>
      </c>
      <c r="L128" s="497">
        <f>IF(('Comparison Calculator'!$E$11-K128)&gt;=0,0,IFERROR(-PPMT($P$66/12,(J128-60),($F$1-5)*12,$P$65),0))</f>
        <v>0</v>
      </c>
      <c r="M128" s="497">
        <f>IF(('Comparison Calculator'!$E$11-K128)&gt;=0,$C$1*$P$66/12,IFERROR(-IPMT($P$66/12,(J128-60),($F$1-5)*12,$P$65,0),0))</f>
        <v>0</v>
      </c>
      <c r="N128" s="497">
        <f t="shared" si="39"/>
        <v>0</v>
      </c>
      <c r="O128" s="497">
        <f t="shared" si="52"/>
        <v>1800000</v>
      </c>
      <c r="P128" s="493"/>
      <c r="Q128" s="493"/>
      <c r="S128" s="492">
        <v>124</v>
      </c>
      <c r="T128" s="492">
        <v>11</v>
      </c>
      <c r="U128" s="497">
        <f>IF(('Comparison Calculator'!$E$11-T128)&gt;=0,0,IFERROR(-PPMT($Y$66/12,(S128-60),($F$1-5)*12,$Y$65),0))</f>
        <v>0</v>
      </c>
      <c r="V128" s="497">
        <f>IF(('Comparison Calculator'!$E$11-T128)&gt;=0,$C$1*$Y$66/12,IFERROR(-IPMT($Y$66/12,(S128-60),($F$1-5)*12,$Y$65,0),0))</f>
        <v>0</v>
      </c>
      <c r="W128" s="497">
        <f t="shared" si="40"/>
        <v>0</v>
      </c>
      <c r="X128" s="497">
        <f t="shared" si="53"/>
        <v>1800000</v>
      </c>
      <c r="Y128" s="493"/>
      <c r="Z128" s="493"/>
      <c r="AB128" s="492">
        <v>124</v>
      </c>
      <c r="AC128" s="492">
        <v>11</v>
      </c>
      <c r="AD128" s="497">
        <f>IF(('Comparison Calculator'!$E$11-AC128)&gt;=0,0,IFERROR(-PPMT($AH$66/12,(AB128-60),($F$1-5)*12,$AH$65),0))</f>
        <v>0</v>
      </c>
      <c r="AE128" s="497">
        <f>IF(('Comparison Calculator'!$E$11-AC128)&gt;=0,$C$1*$AH$66/12,IFERROR(-IPMT($AH$66/12,(AB128-60),($F$1-5)*12,$AH$65,0),0))</f>
        <v>0</v>
      </c>
      <c r="AF128" s="497">
        <f t="shared" si="41"/>
        <v>0</v>
      </c>
      <c r="AG128" s="497">
        <f t="shared" si="54"/>
        <v>1800000</v>
      </c>
      <c r="AH128" s="493"/>
      <c r="AI128" s="493"/>
      <c r="AK128" s="492">
        <v>124</v>
      </c>
      <c r="AL128" s="492">
        <v>11</v>
      </c>
      <c r="AM128" s="497">
        <f>IF(('Comparison Calculator'!$E$11-AL128)&gt;=0,0,IFERROR(-PPMT($AQ$66/12,(AK128-60),($F$1-5)*12,$AQ$65),0))</f>
        <v>0</v>
      </c>
      <c r="AN128" s="497">
        <f>IF(('Comparison Calculator'!$E$11-AL128)&gt;=0,$C$1*$AQ$66/12,IFERROR(-IPMT($AQ$66/12,(AK128-60),($F$1-5)*12,$AQ$65,0),0))</f>
        <v>0</v>
      </c>
      <c r="AO128" s="497">
        <f t="shared" si="42"/>
        <v>0</v>
      </c>
      <c r="AP128" s="497">
        <f t="shared" si="55"/>
        <v>1800000</v>
      </c>
      <c r="AQ128" s="493"/>
      <c r="AR128" s="493"/>
      <c r="AT128" s="492">
        <v>124</v>
      </c>
      <c r="AU128" s="492">
        <v>11</v>
      </c>
      <c r="AV128" s="497">
        <f>IF(('Comparison Calculator'!$E$11-AU128)&gt;=0,0,IFERROR(-PPMT($AZ$66/12,(AT128-60),($F$1-5)*12,$AZ$65),0))</f>
        <v>0</v>
      </c>
      <c r="AW128" s="497">
        <f>IF(('Comparison Calculator'!$E$11-AU128)&gt;=0,$C$1*$AZ$66/12,IFERROR(-IPMT($AZ$66/12,(AT128-60),($F$1-5)*12,$AZ$65,0),0))</f>
        <v>0</v>
      </c>
      <c r="AX128" s="497">
        <f t="shared" si="43"/>
        <v>0</v>
      </c>
      <c r="AY128" s="497">
        <f t="shared" si="56"/>
        <v>1800000</v>
      </c>
      <c r="AZ128" s="493"/>
      <c r="BA128" s="493"/>
      <c r="BC128" s="492">
        <v>124</v>
      </c>
      <c r="BD128" s="492">
        <v>11</v>
      </c>
      <c r="BE128" s="497">
        <f>IF(('Comparison Calculator'!$E$11-BD128)&gt;=0,0,IFERROR(-PPMT($BI$66/12,(BC128-60),($F$1-5)*12,$BI$65),0))</f>
        <v>0</v>
      </c>
      <c r="BF128" s="497">
        <f>IF(('Comparison Calculator'!$E$11-BD128)&gt;=0,$C$1*$BI$66/12,IFERROR(-IPMT($BI$66/12,(BC128-60),($F$1-5)*12,$BI$65,0),0))</f>
        <v>0</v>
      </c>
      <c r="BG128" s="497">
        <f t="shared" si="44"/>
        <v>0</v>
      </c>
      <c r="BH128" s="497">
        <f t="shared" si="57"/>
        <v>1800000</v>
      </c>
      <c r="BI128" s="493"/>
      <c r="BJ128" s="493"/>
      <c r="BK128" s="492">
        <v>124</v>
      </c>
      <c r="BL128" s="492">
        <v>11</v>
      </c>
      <c r="BM128" s="497">
        <f>IF(('Comparison Calculator'!$E$11-BL128)&gt;=0,0,IFERROR(-PPMT($BQ$66/12,(BK128-60),($F$1-5)*12,$BQ$65),0))</f>
        <v>0</v>
      </c>
      <c r="BN128" s="497">
        <f>IF(('Comparison Calculator'!$E$11-BL128)&gt;=0,$C$1*$BQ$66/12,IFERROR(-IPMT($BQ$66/12,(BK128-60),($F$1-5)*12,$BQ$65,0),0))</f>
        <v>0</v>
      </c>
      <c r="BO128" s="497">
        <f t="shared" si="45"/>
        <v>0</v>
      </c>
      <c r="BP128" s="497">
        <f t="shared" si="58"/>
        <v>1800000</v>
      </c>
      <c r="BQ128" s="493"/>
      <c r="BR128" s="493"/>
      <c r="BT128" s="492">
        <v>124</v>
      </c>
      <c r="BU128" s="492">
        <v>11</v>
      </c>
      <c r="BV128" s="497">
        <f>IF(('Comparison Calculator'!$E$11-BU128)&gt;=0,0,IFERROR(-PPMT($BZ$66/12,(BT128-60),($F$1-5)*12,$BZ$65),0))</f>
        <v>0</v>
      </c>
      <c r="BW128" s="497">
        <f>IF(('Comparison Calculator'!$E$11-BU128)&gt;=0,$C$1*$BZ$66/12,IFERROR(-IPMT($BZ$66/12,(BT128-60),($F$1-5)*12,$BZ$65,0),0))</f>
        <v>0</v>
      </c>
      <c r="BX128" s="497">
        <f t="shared" si="46"/>
        <v>0</v>
      </c>
      <c r="BY128" s="497">
        <f t="shared" si="59"/>
        <v>1800000</v>
      </c>
      <c r="BZ128" s="493"/>
      <c r="CA128" s="493"/>
      <c r="CC128" s="492">
        <v>124</v>
      </c>
      <c r="CD128" s="492">
        <v>11</v>
      </c>
      <c r="CE128" s="497">
        <f>IF(('Comparison Calculator'!$E$11-CD128)&gt;=0,0,IFERROR(-PPMT($CI$66/12,(CC128-60),($F$1-5)*12,$CI$65),0))</f>
        <v>0</v>
      </c>
      <c r="CF128" s="497">
        <f>IF(('Comparison Calculator'!$E$11-CD128)&gt;=0,$C$1*$CI$66/12,IFERROR(-IPMT($CI$66/12,(CC128-60),($F$1-5)*12,$CI$65,0),0))</f>
        <v>0</v>
      </c>
      <c r="CG128" s="497">
        <f t="shared" si="47"/>
        <v>0</v>
      </c>
      <c r="CH128" s="497">
        <f t="shared" si="60"/>
        <v>1800000</v>
      </c>
      <c r="CI128" s="493"/>
      <c r="CJ128" s="493"/>
      <c r="CL128" s="492">
        <v>124</v>
      </c>
      <c r="CM128" s="492">
        <v>11</v>
      </c>
      <c r="CN128" s="497">
        <f>IF(('Comparison Calculator'!$E$11-CM128)&gt;=0,0,IFERROR(-PPMT($CR$66/12,(CL128-60),($F$1-5)*12,$CR$65),0))</f>
        <v>0</v>
      </c>
      <c r="CO128" s="497">
        <f>IF(('Comparison Calculator'!$E$11-CM128)&gt;=0,$C$1*$CI$66/12,IFERROR(-IPMT($CI$66/12,(CL128-60),($F$1-5)*12,$CI$65,0),0))</f>
        <v>0</v>
      </c>
      <c r="CP128" s="497">
        <f t="shared" si="48"/>
        <v>0</v>
      </c>
      <c r="CQ128" s="497">
        <f t="shared" si="61"/>
        <v>1800000</v>
      </c>
      <c r="CR128" s="493"/>
      <c r="CS128" s="493"/>
      <c r="CU128" s="492">
        <v>124</v>
      </c>
      <c r="CV128" s="492">
        <v>11</v>
      </c>
      <c r="CW128" s="497">
        <f>IF(('Comparison Calculator'!$E$11-CV128)&gt;=0,0,IFERROR(-PPMT($DA$66/12,(CU128-60),($F$1-5)*12,$DA$65),0))</f>
        <v>0</v>
      </c>
      <c r="CX128" s="497">
        <f>IF(('Comparison Calculator'!$E$11-CV128)&gt;=0,$C$1*$DA$66/12,IFERROR(-IPMT($DA$66/12,(CU128-60),($F$1-5)*12,$DA$65,0),0))</f>
        <v>0</v>
      </c>
      <c r="CY128" s="497">
        <f t="shared" si="49"/>
        <v>0</v>
      </c>
      <c r="CZ128" s="497">
        <f t="shared" si="62"/>
        <v>1800000</v>
      </c>
      <c r="DA128" s="493"/>
      <c r="DB128" s="493"/>
      <c r="DD128" s="492">
        <v>124</v>
      </c>
      <c r="DE128" s="492">
        <v>11</v>
      </c>
      <c r="DF128" s="497">
        <f>IF(('Comparison Calculator'!$E$11-DE128)&gt;=0,0,IFERROR(-PPMT($DJ$66/12,(DD128-60),($F$1-5)*12,$DJ$65),0))</f>
        <v>0</v>
      </c>
      <c r="DG128" s="497">
        <f>IF(('Comparison Calculator'!$E$11-DE128)&gt;=0,$C$1*$DJ$66/12,IFERROR(-IPMT($DJ$66/12,(DD128-60),($F$1-5)*12,$DJ$65,0),0))</f>
        <v>0</v>
      </c>
      <c r="DH128" s="497">
        <f t="shared" si="50"/>
        <v>0</v>
      </c>
      <c r="DI128" s="497">
        <f t="shared" si="63"/>
        <v>1800000</v>
      </c>
      <c r="DJ128" s="493"/>
      <c r="DK128" s="493"/>
    </row>
    <row r="129" spans="1:115">
      <c r="A129" s="492">
        <v>125</v>
      </c>
      <c r="B129" s="492">
        <v>11</v>
      </c>
      <c r="C129" s="497">
        <f>IF(('Comparison Calculator'!$E$11-B129)&gt;=0,0,IFERROR(-PPMT($G$66/12,(A129-60),($F$1-5)*12,$G$65),0))</f>
        <v>0</v>
      </c>
      <c r="D129" s="497">
        <f>IF(('Comparison Calculator'!$E$11-B129)&gt;=0,$C$1*$G$66/12,IFERROR(-IPMT($G$66/12,(A129-60),($F$1-5)*12,$G$65,0),0))</f>
        <v>0</v>
      </c>
      <c r="E129" s="497">
        <f t="shared" si="38"/>
        <v>0</v>
      </c>
      <c r="F129" s="497">
        <f t="shared" si="51"/>
        <v>1800000</v>
      </c>
      <c r="G129" s="493"/>
      <c r="H129" s="493"/>
      <c r="I129" s="489"/>
      <c r="J129" s="492">
        <v>125</v>
      </c>
      <c r="K129" s="492">
        <v>11</v>
      </c>
      <c r="L129" s="497">
        <f>IF(('Comparison Calculator'!$E$11-K129)&gt;=0,0,IFERROR(-PPMT($P$66/12,(J129-60),($F$1-5)*12,$P$65),0))</f>
        <v>0</v>
      </c>
      <c r="M129" s="497">
        <f>IF(('Comparison Calculator'!$E$11-K129)&gt;=0,$C$1*$P$66/12,IFERROR(-IPMT($P$66/12,(J129-60),($F$1-5)*12,$P$65,0),0))</f>
        <v>0</v>
      </c>
      <c r="N129" s="497">
        <f t="shared" si="39"/>
        <v>0</v>
      </c>
      <c r="O129" s="497">
        <f t="shared" si="52"/>
        <v>1800000</v>
      </c>
      <c r="P129" s="493"/>
      <c r="Q129" s="493"/>
      <c r="S129" s="492">
        <v>125</v>
      </c>
      <c r="T129" s="492">
        <v>11</v>
      </c>
      <c r="U129" s="497">
        <f>IF(('Comparison Calculator'!$E$11-T129)&gt;=0,0,IFERROR(-PPMT($Y$66/12,(S129-60),($F$1-5)*12,$Y$65),0))</f>
        <v>0</v>
      </c>
      <c r="V129" s="497">
        <f>IF(('Comparison Calculator'!$E$11-T129)&gt;=0,$C$1*$Y$66/12,IFERROR(-IPMT($Y$66/12,(S129-60),($F$1-5)*12,$Y$65,0),0))</f>
        <v>0</v>
      </c>
      <c r="W129" s="497">
        <f t="shared" si="40"/>
        <v>0</v>
      </c>
      <c r="X129" s="497">
        <f t="shared" si="53"/>
        <v>1800000</v>
      </c>
      <c r="Y129" s="493"/>
      <c r="Z129" s="493"/>
      <c r="AB129" s="492">
        <v>125</v>
      </c>
      <c r="AC129" s="492">
        <v>11</v>
      </c>
      <c r="AD129" s="497">
        <f>IF(('Comparison Calculator'!$E$11-AC129)&gt;=0,0,IFERROR(-PPMT($AH$66/12,(AB129-60),($F$1-5)*12,$AH$65),0))</f>
        <v>0</v>
      </c>
      <c r="AE129" s="497">
        <f>IF(('Comparison Calculator'!$E$11-AC129)&gt;=0,$C$1*$AH$66/12,IFERROR(-IPMT($AH$66/12,(AB129-60),($F$1-5)*12,$AH$65,0),0))</f>
        <v>0</v>
      </c>
      <c r="AF129" s="497">
        <f t="shared" si="41"/>
        <v>0</v>
      </c>
      <c r="AG129" s="497">
        <f t="shared" si="54"/>
        <v>1800000</v>
      </c>
      <c r="AH129" s="493"/>
      <c r="AI129" s="493"/>
      <c r="AK129" s="492">
        <v>125</v>
      </c>
      <c r="AL129" s="492">
        <v>11</v>
      </c>
      <c r="AM129" s="497">
        <f>IF(('Comparison Calculator'!$E$11-AL129)&gt;=0,0,IFERROR(-PPMT($AQ$66/12,(AK129-60),($F$1-5)*12,$AQ$65),0))</f>
        <v>0</v>
      </c>
      <c r="AN129" s="497">
        <f>IF(('Comparison Calculator'!$E$11-AL129)&gt;=0,$C$1*$AQ$66/12,IFERROR(-IPMT($AQ$66/12,(AK129-60),($F$1-5)*12,$AQ$65,0),0))</f>
        <v>0</v>
      </c>
      <c r="AO129" s="497">
        <f t="shared" si="42"/>
        <v>0</v>
      </c>
      <c r="AP129" s="497">
        <f t="shared" si="55"/>
        <v>1800000</v>
      </c>
      <c r="AQ129" s="493"/>
      <c r="AR129" s="493"/>
      <c r="AT129" s="492">
        <v>125</v>
      </c>
      <c r="AU129" s="492">
        <v>11</v>
      </c>
      <c r="AV129" s="497">
        <f>IF(('Comparison Calculator'!$E$11-AU129)&gt;=0,0,IFERROR(-PPMT($AZ$66/12,(AT129-60),($F$1-5)*12,$AZ$65),0))</f>
        <v>0</v>
      </c>
      <c r="AW129" s="497">
        <f>IF(('Comparison Calculator'!$E$11-AU129)&gt;=0,$C$1*$AZ$66/12,IFERROR(-IPMT($AZ$66/12,(AT129-60),($F$1-5)*12,$AZ$65,0),0))</f>
        <v>0</v>
      </c>
      <c r="AX129" s="497">
        <f t="shared" si="43"/>
        <v>0</v>
      </c>
      <c r="AY129" s="497">
        <f t="shared" si="56"/>
        <v>1800000</v>
      </c>
      <c r="AZ129" s="493"/>
      <c r="BA129" s="493"/>
      <c r="BC129" s="492">
        <v>125</v>
      </c>
      <c r="BD129" s="492">
        <v>11</v>
      </c>
      <c r="BE129" s="497">
        <f>IF(('Comparison Calculator'!$E$11-BD129)&gt;=0,0,IFERROR(-PPMT($BI$66/12,(BC129-60),($F$1-5)*12,$BI$65),0))</f>
        <v>0</v>
      </c>
      <c r="BF129" s="497">
        <f>IF(('Comparison Calculator'!$E$11-BD129)&gt;=0,$C$1*$BI$66/12,IFERROR(-IPMT($BI$66/12,(BC129-60),($F$1-5)*12,$BI$65,0),0))</f>
        <v>0</v>
      </c>
      <c r="BG129" s="497">
        <f t="shared" si="44"/>
        <v>0</v>
      </c>
      <c r="BH129" s="497">
        <f t="shared" si="57"/>
        <v>1800000</v>
      </c>
      <c r="BI129" s="493"/>
      <c r="BJ129" s="493"/>
      <c r="BK129" s="492">
        <v>125</v>
      </c>
      <c r="BL129" s="492">
        <v>11</v>
      </c>
      <c r="BM129" s="497">
        <f>IF(('Comparison Calculator'!$E$11-BL129)&gt;=0,0,IFERROR(-PPMT($BQ$66/12,(BK129-60),($F$1-5)*12,$BQ$65),0))</f>
        <v>0</v>
      </c>
      <c r="BN129" s="497">
        <f>IF(('Comparison Calculator'!$E$11-BL129)&gt;=0,$C$1*$BQ$66/12,IFERROR(-IPMT($BQ$66/12,(BK129-60),($F$1-5)*12,$BQ$65,0),0))</f>
        <v>0</v>
      </c>
      <c r="BO129" s="497">
        <f t="shared" si="45"/>
        <v>0</v>
      </c>
      <c r="BP129" s="497">
        <f t="shared" si="58"/>
        <v>1800000</v>
      </c>
      <c r="BQ129" s="493"/>
      <c r="BR129" s="493"/>
      <c r="BT129" s="492">
        <v>125</v>
      </c>
      <c r="BU129" s="492">
        <v>11</v>
      </c>
      <c r="BV129" s="497">
        <f>IF(('Comparison Calculator'!$E$11-BU129)&gt;=0,0,IFERROR(-PPMT($BZ$66/12,(BT129-60),($F$1-5)*12,$BZ$65),0))</f>
        <v>0</v>
      </c>
      <c r="BW129" s="497">
        <f>IF(('Comparison Calculator'!$E$11-BU129)&gt;=0,$C$1*$BZ$66/12,IFERROR(-IPMT($BZ$66/12,(BT129-60),($F$1-5)*12,$BZ$65,0),0))</f>
        <v>0</v>
      </c>
      <c r="BX129" s="497">
        <f t="shared" si="46"/>
        <v>0</v>
      </c>
      <c r="BY129" s="497">
        <f t="shared" si="59"/>
        <v>1800000</v>
      </c>
      <c r="BZ129" s="493"/>
      <c r="CA129" s="493"/>
      <c r="CC129" s="492">
        <v>125</v>
      </c>
      <c r="CD129" s="492">
        <v>11</v>
      </c>
      <c r="CE129" s="497">
        <f>IF(('Comparison Calculator'!$E$11-CD129)&gt;=0,0,IFERROR(-PPMT($CI$66/12,(CC129-60),($F$1-5)*12,$CI$65),0))</f>
        <v>0</v>
      </c>
      <c r="CF129" s="497">
        <f>IF(('Comparison Calculator'!$E$11-CD129)&gt;=0,$C$1*$CI$66/12,IFERROR(-IPMT($CI$66/12,(CC129-60),($F$1-5)*12,$CI$65,0),0))</f>
        <v>0</v>
      </c>
      <c r="CG129" s="497">
        <f t="shared" si="47"/>
        <v>0</v>
      </c>
      <c r="CH129" s="497">
        <f t="shared" si="60"/>
        <v>1800000</v>
      </c>
      <c r="CI129" s="493"/>
      <c r="CJ129" s="493"/>
      <c r="CL129" s="492">
        <v>125</v>
      </c>
      <c r="CM129" s="492">
        <v>11</v>
      </c>
      <c r="CN129" s="497">
        <f>IF(('Comparison Calculator'!$E$11-CM129)&gt;=0,0,IFERROR(-PPMT($CR$66/12,(CL129-60),($F$1-5)*12,$CR$65),0))</f>
        <v>0</v>
      </c>
      <c r="CO129" s="497">
        <f>IF(('Comparison Calculator'!$E$11-CM129)&gt;=0,$C$1*$CI$66/12,IFERROR(-IPMT($CI$66/12,(CL129-60),($F$1-5)*12,$CI$65,0),0))</f>
        <v>0</v>
      </c>
      <c r="CP129" s="497">
        <f t="shared" si="48"/>
        <v>0</v>
      </c>
      <c r="CQ129" s="497">
        <f t="shared" si="61"/>
        <v>1800000</v>
      </c>
      <c r="CR129" s="493"/>
      <c r="CS129" s="493"/>
      <c r="CU129" s="492">
        <v>125</v>
      </c>
      <c r="CV129" s="492">
        <v>11</v>
      </c>
      <c r="CW129" s="497">
        <f>IF(('Comparison Calculator'!$E$11-CV129)&gt;=0,0,IFERROR(-PPMT($DA$66/12,(CU129-60),($F$1-5)*12,$DA$65),0))</f>
        <v>0</v>
      </c>
      <c r="CX129" s="497">
        <f>IF(('Comparison Calculator'!$E$11-CV129)&gt;=0,$C$1*$DA$66/12,IFERROR(-IPMT($DA$66/12,(CU129-60),($F$1-5)*12,$DA$65,0),0))</f>
        <v>0</v>
      </c>
      <c r="CY129" s="497">
        <f t="shared" si="49"/>
        <v>0</v>
      </c>
      <c r="CZ129" s="497">
        <f t="shared" si="62"/>
        <v>1800000</v>
      </c>
      <c r="DA129" s="493"/>
      <c r="DB129" s="493"/>
      <c r="DD129" s="492">
        <v>125</v>
      </c>
      <c r="DE129" s="492">
        <v>11</v>
      </c>
      <c r="DF129" s="497">
        <f>IF(('Comparison Calculator'!$E$11-DE129)&gt;=0,0,IFERROR(-PPMT($DJ$66/12,(DD129-60),($F$1-5)*12,$DJ$65),0))</f>
        <v>0</v>
      </c>
      <c r="DG129" s="497">
        <f>IF(('Comparison Calculator'!$E$11-DE129)&gt;=0,$C$1*$DJ$66/12,IFERROR(-IPMT($DJ$66/12,(DD129-60),($F$1-5)*12,$DJ$65,0),0))</f>
        <v>0</v>
      </c>
      <c r="DH129" s="497">
        <f t="shared" si="50"/>
        <v>0</v>
      </c>
      <c r="DI129" s="497">
        <f t="shared" si="63"/>
        <v>1800000</v>
      </c>
      <c r="DJ129" s="493"/>
      <c r="DK129" s="493"/>
    </row>
    <row r="130" spans="1:115">
      <c r="A130" s="492">
        <v>126</v>
      </c>
      <c r="B130" s="492">
        <v>11</v>
      </c>
      <c r="C130" s="497">
        <f>IF(('Comparison Calculator'!$E$11-B130)&gt;=0,0,IFERROR(-PPMT($G$66/12,(A130-60),($F$1-5)*12,$G$65),0))</f>
        <v>0</v>
      </c>
      <c r="D130" s="497">
        <f>IF(('Comparison Calculator'!$E$11-B130)&gt;=0,$C$1*$G$66/12,IFERROR(-IPMT($G$66/12,(A130-60),($F$1-5)*12,$G$65,0),0))</f>
        <v>0</v>
      </c>
      <c r="E130" s="497">
        <f t="shared" si="38"/>
        <v>0</v>
      </c>
      <c r="F130" s="497">
        <f t="shared" si="51"/>
        <v>1800000</v>
      </c>
      <c r="G130" s="493"/>
      <c r="H130" s="493"/>
      <c r="I130" s="489"/>
      <c r="J130" s="492">
        <v>126</v>
      </c>
      <c r="K130" s="492">
        <v>11</v>
      </c>
      <c r="L130" s="497">
        <f>IF(('Comparison Calculator'!$E$11-K130)&gt;=0,0,IFERROR(-PPMT($P$66/12,(J130-60),($F$1-5)*12,$P$65),0))</f>
        <v>0</v>
      </c>
      <c r="M130" s="497">
        <f>IF(('Comparison Calculator'!$E$11-K130)&gt;=0,$C$1*$P$66/12,IFERROR(-IPMT($P$66/12,(J130-60),($F$1-5)*12,$P$65,0),0))</f>
        <v>0</v>
      </c>
      <c r="N130" s="497">
        <f t="shared" si="39"/>
        <v>0</v>
      </c>
      <c r="O130" s="497">
        <f t="shared" si="52"/>
        <v>1800000</v>
      </c>
      <c r="P130" s="493"/>
      <c r="Q130" s="493"/>
      <c r="S130" s="492">
        <v>126</v>
      </c>
      <c r="T130" s="492">
        <v>11</v>
      </c>
      <c r="U130" s="497">
        <f>IF(('Comparison Calculator'!$E$11-T130)&gt;=0,0,IFERROR(-PPMT($Y$66/12,(S130-60),($F$1-5)*12,$Y$65),0))</f>
        <v>0</v>
      </c>
      <c r="V130" s="497">
        <f>IF(('Comparison Calculator'!$E$11-T130)&gt;=0,$C$1*$Y$66/12,IFERROR(-IPMT($Y$66/12,(S130-60),($F$1-5)*12,$Y$65,0),0))</f>
        <v>0</v>
      </c>
      <c r="W130" s="497">
        <f t="shared" si="40"/>
        <v>0</v>
      </c>
      <c r="X130" s="497">
        <f t="shared" si="53"/>
        <v>1800000</v>
      </c>
      <c r="Y130" s="493"/>
      <c r="Z130" s="493"/>
      <c r="AB130" s="492">
        <v>126</v>
      </c>
      <c r="AC130" s="492">
        <v>11</v>
      </c>
      <c r="AD130" s="497">
        <f>IF(('Comparison Calculator'!$E$11-AC130)&gt;=0,0,IFERROR(-PPMT($AH$66/12,(AB130-60),($F$1-5)*12,$AH$65),0))</f>
        <v>0</v>
      </c>
      <c r="AE130" s="497">
        <f>IF(('Comparison Calculator'!$E$11-AC130)&gt;=0,$C$1*$AH$66/12,IFERROR(-IPMT($AH$66/12,(AB130-60),($F$1-5)*12,$AH$65,0),0))</f>
        <v>0</v>
      </c>
      <c r="AF130" s="497">
        <f t="shared" si="41"/>
        <v>0</v>
      </c>
      <c r="AG130" s="497">
        <f t="shared" si="54"/>
        <v>1800000</v>
      </c>
      <c r="AH130" s="493"/>
      <c r="AI130" s="493"/>
      <c r="AK130" s="492">
        <v>126</v>
      </c>
      <c r="AL130" s="492">
        <v>11</v>
      </c>
      <c r="AM130" s="497">
        <f>IF(('Comparison Calculator'!$E$11-AL130)&gt;=0,0,IFERROR(-PPMT($AQ$66/12,(AK130-60),($F$1-5)*12,$AQ$65),0))</f>
        <v>0</v>
      </c>
      <c r="AN130" s="497">
        <f>IF(('Comparison Calculator'!$E$11-AL130)&gt;=0,$C$1*$AQ$66/12,IFERROR(-IPMT($AQ$66/12,(AK130-60),($F$1-5)*12,$AQ$65,0),0))</f>
        <v>0</v>
      </c>
      <c r="AO130" s="497">
        <f t="shared" si="42"/>
        <v>0</v>
      </c>
      <c r="AP130" s="497">
        <f t="shared" si="55"/>
        <v>1800000</v>
      </c>
      <c r="AQ130" s="493"/>
      <c r="AR130" s="493"/>
      <c r="AT130" s="492">
        <v>126</v>
      </c>
      <c r="AU130" s="492">
        <v>11</v>
      </c>
      <c r="AV130" s="497">
        <f>IF(('Comparison Calculator'!$E$11-AU130)&gt;=0,0,IFERROR(-PPMT($AZ$66/12,(AT130-60),($F$1-5)*12,$AZ$65),0))</f>
        <v>0</v>
      </c>
      <c r="AW130" s="497">
        <f>IF(('Comparison Calculator'!$E$11-AU130)&gt;=0,$C$1*$AZ$66/12,IFERROR(-IPMT($AZ$66/12,(AT130-60),($F$1-5)*12,$AZ$65,0),0))</f>
        <v>0</v>
      </c>
      <c r="AX130" s="497">
        <f t="shared" si="43"/>
        <v>0</v>
      </c>
      <c r="AY130" s="497">
        <f t="shared" si="56"/>
        <v>1800000</v>
      </c>
      <c r="AZ130" s="493"/>
      <c r="BA130" s="493"/>
      <c r="BC130" s="492">
        <v>126</v>
      </c>
      <c r="BD130" s="492">
        <v>11</v>
      </c>
      <c r="BE130" s="497">
        <f>IF(('Comparison Calculator'!$E$11-BD130)&gt;=0,0,IFERROR(-PPMT($BI$66/12,(BC130-60),($F$1-5)*12,$BI$65),0))</f>
        <v>0</v>
      </c>
      <c r="BF130" s="497">
        <f>IF(('Comparison Calculator'!$E$11-BD130)&gt;=0,$C$1*$BI$66/12,IFERROR(-IPMT($BI$66/12,(BC130-60),($F$1-5)*12,$BI$65,0),0))</f>
        <v>0</v>
      </c>
      <c r="BG130" s="497">
        <f t="shared" si="44"/>
        <v>0</v>
      </c>
      <c r="BH130" s="497">
        <f t="shared" si="57"/>
        <v>1800000</v>
      </c>
      <c r="BI130" s="493"/>
      <c r="BJ130" s="493"/>
      <c r="BK130" s="492">
        <v>126</v>
      </c>
      <c r="BL130" s="492">
        <v>11</v>
      </c>
      <c r="BM130" s="497">
        <f>IF(('Comparison Calculator'!$E$11-BL130)&gt;=0,0,IFERROR(-PPMT($BQ$66/12,(BK130-60),($F$1-5)*12,$BQ$65),0))</f>
        <v>0</v>
      </c>
      <c r="BN130" s="497">
        <f>IF(('Comparison Calculator'!$E$11-BL130)&gt;=0,$C$1*$BQ$66/12,IFERROR(-IPMT($BQ$66/12,(BK130-60),($F$1-5)*12,$BQ$65,0),0))</f>
        <v>0</v>
      </c>
      <c r="BO130" s="497">
        <f t="shared" si="45"/>
        <v>0</v>
      </c>
      <c r="BP130" s="497">
        <f t="shared" si="58"/>
        <v>1800000</v>
      </c>
      <c r="BQ130" s="493"/>
      <c r="BR130" s="493"/>
      <c r="BT130" s="492">
        <v>126</v>
      </c>
      <c r="BU130" s="492">
        <v>11</v>
      </c>
      <c r="BV130" s="497">
        <f>IF(('Comparison Calculator'!$E$11-BU130)&gt;=0,0,IFERROR(-PPMT($BZ$66/12,(BT130-60),($F$1-5)*12,$BZ$65),0))</f>
        <v>0</v>
      </c>
      <c r="BW130" s="497">
        <f>IF(('Comparison Calculator'!$E$11-BU130)&gt;=0,$C$1*$BZ$66/12,IFERROR(-IPMT($BZ$66/12,(BT130-60),($F$1-5)*12,$BZ$65,0),0))</f>
        <v>0</v>
      </c>
      <c r="BX130" s="497">
        <f t="shared" si="46"/>
        <v>0</v>
      </c>
      <c r="BY130" s="497">
        <f t="shared" si="59"/>
        <v>1800000</v>
      </c>
      <c r="BZ130" s="493"/>
      <c r="CA130" s="493"/>
      <c r="CC130" s="492">
        <v>126</v>
      </c>
      <c r="CD130" s="492">
        <v>11</v>
      </c>
      <c r="CE130" s="497">
        <f>IF(('Comparison Calculator'!$E$11-CD130)&gt;=0,0,IFERROR(-PPMT($CI$66/12,(CC130-60),($F$1-5)*12,$CI$65),0))</f>
        <v>0</v>
      </c>
      <c r="CF130" s="497">
        <f>IF(('Comparison Calculator'!$E$11-CD130)&gt;=0,$C$1*$CI$66/12,IFERROR(-IPMT($CI$66/12,(CC130-60),($F$1-5)*12,$CI$65,0),0))</f>
        <v>0</v>
      </c>
      <c r="CG130" s="497">
        <f t="shared" si="47"/>
        <v>0</v>
      </c>
      <c r="CH130" s="497">
        <f t="shared" si="60"/>
        <v>1800000</v>
      </c>
      <c r="CI130" s="493"/>
      <c r="CJ130" s="493"/>
      <c r="CL130" s="492">
        <v>126</v>
      </c>
      <c r="CM130" s="492">
        <v>11</v>
      </c>
      <c r="CN130" s="497">
        <f>IF(('Comparison Calculator'!$E$11-CM130)&gt;=0,0,IFERROR(-PPMT($CR$66/12,(CL130-60),($F$1-5)*12,$CR$65),0))</f>
        <v>0</v>
      </c>
      <c r="CO130" s="497">
        <f>IF(('Comparison Calculator'!$E$11-CM130)&gt;=0,$C$1*$CI$66/12,IFERROR(-IPMT($CI$66/12,(CL130-60),($F$1-5)*12,$CI$65,0),0))</f>
        <v>0</v>
      </c>
      <c r="CP130" s="497">
        <f t="shared" si="48"/>
        <v>0</v>
      </c>
      <c r="CQ130" s="497">
        <f t="shared" si="61"/>
        <v>1800000</v>
      </c>
      <c r="CR130" s="493"/>
      <c r="CS130" s="493"/>
      <c r="CU130" s="492">
        <v>126</v>
      </c>
      <c r="CV130" s="492">
        <v>11</v>
      </c>
      <c r="CW130" s="497">
        <f>IF(('Comparison Calculator'!$E$11-CV130)&gt;=0,0,IFERROR(-PPMT($DA$66/12,(CU130-60),($F$1-5)*12,$DA$65),0))</f>
        <v>0</v>
      </c>
      <c r="CX130" s="497">
        <f>IF(('Comparison Calculator'!$E$11-CV130)&gt;=0,$C$1*$DA$66/12,IFERROR(-IPMT($DA$66/12,(CU130-60),($F$1-5)*12,$DA$65,0),0))</f>
        <v>0</v>
      </c>
      <c r="CY130" s="497">
        <f t="shared" si="49"/>
        <v>0</v>
      </c>
      <c r="CZ130" s="497">
        <f t="shared" si="62"/>
        <v>1800000</v>
      </c>
      <c r="DA130" s="493"/>
      <c r="DB130" s="493"/>
      <c r="DD130" s="492">
        <v>126</v>
      </c>
      <c r="DE130" s="492">
        <v>11</v>
      </c>
      <c r="DF130" s="497">
        <f>IF(('Comparison Calculator'!$E$11-DE130)&gt;=0,0,IFERROR(-PPMT($DJ$66/12,(DD130-60),($F$1-5)*12,$DJ$65),0))</f>
        <v>0</v>
      </c>
      <c r="DG130" s="497">
        <f>IF(('Comparison Calculator'!$E$11-DE130)&gt;=0,$C$1*$DJ$66/12,IFERROR(-IPMT($DJ$66/12,(DD130-60),($F$1-5)*12,$DJ$65,0),0))</f>
        <v>0</v>
      </c>
      <c r="DH130" s="497">
        <f t="shared" si="50"/>
        <v>0</v>
      </c>
      <c r="DI130" s="497">
        <f t="shared" si="63"/>
        <v>1800000</v>
      </c>
      <c r="DJ130" s="493"/>
      <c r="DK130" s="493"/>
    </row>
    <row r="131" spans="1:115">
      <c r="A131" s="492">
        <v>127</v>
      </c>
      <c r="B131" s="492">
        <v>11</v>
      </c>
      <c r="C131" s="497">
        <f>IF(('Comparison Calculator'!$E$11-B131)&gt;=0,0,IFERROR(-PPMT($G$66/12,(A131-60),($F$1-5)*12,$G$65),0))</f>
        <v>0</v>
      </c>
      <c r="D131" s="497">
        <f>IF(('Comparison Calculator'!$E$11-B131)&gt;=0,$C$1*$G$66/12,IFERROR(-IPMT($G$66/12,(A131-60),($F$1-5)*12,$G$65,0),0))</f>
        <v>0</v>
      </c>
      <c r="E131" s="497">
        <f t="shared" si="38"/>
        <v>0</v>
      </c>
      <c r="F131" s="497">
        <f t="shared" si="51"/>
        <v>1800000</v>
      </c>
      <c r="G131" s="493"/>
      <c r="H131" s="493"/>
      <c r="I131" s="489"/>
      <c r="J131" s="492">
        <v>127</v>
      </c>
      <c r="K131" s="492">
        <v>11</v>
      </c>
      <c r="L131" s="497">
        <f>IF(('Comparison Calculator'!$E$11-K131)&gt;=0,0,IFERROR(-PPMT($P$66/12,(J131-60),($F$1-5)*12,$P$65),0))</f>
        <v>0</v>
      </c>
      <c r="M131" s="497">
        <f>IF(('Comparison Calculator'!$E$11-K131)&gt;=0,$C$1*$P$66/12,IFERROR(-IPMT($P$66/12,(J131-60),($F$1-5)*12,$P$65,0),0))</f>
        <v>0</v>
      </c>
      <c r="N131" s="497">
        <f t="shared" si="39"/>
        <v>0</v>
      </c>
      <c r="O131" s="497">
        <f t="shared" si="52"/>
        <v>1800000</v>
      </c>
      <c r="P131" s="493"/>
      <c r="Q131" s="493"/>
      <c r="S131" s="492">
        <v>127</v>
      </c>
      <c r="T131" s="492">
        <v>11</v>
      </c>
      <c r="U131" s="497">
        <f>IF(('Comparison Calculator'!$E$11-T131)&gt;=0,0,IFERROR(-PPMT($Y$66/12,(S131-60),($F$1-5)*12,$Y$65),0))</f>
        <v>0</v>
      </c>
      <c r="V131" s="497">
        <f>IF(('Comparison Calculator'!$E$11-T131)&gt;=0,$C$1*$Y$66/12,IFERROR(-IPMT($Y$66/12,(S131-60),($F$1-5)*12,$Y$65,0),0))</f>
        <v>0</v>
      </c>
      <c r="W131" s="497">
        <f t="shared" si="40"/>
        <v>0</v>
      </c>
      <c r="X131" s="497">
        <f t="shared" si="53"/>
        <v>1800000</v>
      </c>
      <c r="Y131" s="493"/>
      <c r="Z131" s="493"/>
      <c r="AB131" s="492">
        <v>127</v>
      </c>
      <c r="AC131" s="492">
        <v>11</v>
      </c>
      <c r="AD131" s="497">
        <f>IF(('Comparison Calculator'!$E$11-AC131)&gt;=0,0,IFERROR(-PPMT($AH$66/12,(AB131-60),($F$1-5)*12,$AH$65),0))</f>
        <v>0</v>
      </c>
      <c r="AE131" s="497">
        <f>IF(('Comparison Calculator'!$E$11-AC131)&gt;=0,$C$1*$AH$66/12,IFERROR(-IPMT($AH$66/12,(AB131-60),($F$1-5)*12,$AH$65,0),0))</f>
        <v>0</v>
      </c>
      <c r="AF131" s="497">
        <f t="shared" si="41"/>
        <v>0</v>
      </c>
      <c r="AG131" s="497">
        <f t="shared" si="54"/>
        <v>1800000</v>
      </c>
      <c r="AH131" s="493"/>
      <c r="AI131" s="493"/>
      <c r="AK131" s="492">
        <v>127</v>
      </c>
      <c r="AL131" s="492">
        <v>11</v>
      </c>
      <c r="AM131" s="497">
        <f>IF(('Comparison Calculator'!$E$11-AL131)&gt;=0,0,IFERROR(-PPMT($AQ$66/12,(AK131-60),($F$1-5)*12,$AQ$65),0))</f>
        <v>0</v>
      </c>
      <c r="AN131" s="497">
        <f>IF(('Comparison Calculator'!$E$11-AL131)&gt;=0,$C$1*$AQ$66/12,IFERROR(-IPMT($AQ$66/12,(AK131-60),($F$1-5)*12,$AQ$65,0),0))</f>
        <v>0</v>
      </c>
      <c r="AO131" s="497">
        <f t="shared" si="42"/>
        <v>0</v>
      </c>
      <c r="AP131" s="497">
        <f t="shared" si="55"/>
        <v>1800000</v>
      </c>
      <c r="AQ131" s="493"/>
      <c r="AR131" s="493"/>
      <c r="AT131" s="492">
        <v>127</v>
      </c>
      <c r="AU131" s="492">
        <v>11</v>
      </c>
      <c r="AV131" s="497">
        <f>IF(('Comparison Calculator'!$E$11-AU131)&gt;=0,0,IFERROR(-PPMT($AZ$66/12,(AT131-60),($F$1-5)*12,$AZ$65),0))</f>
        <v>0</v>
      </c>
      <c r="AW131" s="497">
        <f>IF(('Comparison Calculator'!$E$11-AU131)&gt;=0,$C$1*$AZ$66/12,IFERROR(-IPMT($AZ$66/12,(AT131-60),($F$1-5)*12,$AZ$65,0),0))</f>
        <v>0</v>
      </c>
      <c r="AX131" s="497">
        <f t="shared" si="43"/>
        <v>0</v>
      </c>
      <c r="AY131" s="497">
        <f t="shared" si="56"/>
        <v>1800000</v>
      </c>
      <c r="AZ131" s="493"/>
      <c r="BA131" s="493"/>
      <c r="BC131" s="492">
        <v>127</v>
      </c>
      <c r="BD131" s="492">
        <v>11</v>
      </c>
      <c r="BE131" s="497">
        <f>IF(('Comparison Calculator'!$E$11-BD131)&gt;=0,0,IFERROR(-PPMT($BI$66/12,(BC131-60),($F$1-5)*12,$BI$65),0))</f>
        <v>0</v>
      </c>
      <c r="BF131" s="497">
        <f>IF(('Comparison Calculator'!$E$11-BD131)&gt;=0,$C$1*$BI$66/12,IFERROR(-IPMT($BI$66/12,(BC131-60),($F$1-5)*12,$BI$65,0),0))</f>
        <v>0</v>
      </c>
      <c r="BG131" s="497">
        <f t="shared" si="44"/>
        <v>0</v>
      </c>
      <c r="BH131" s="497">
        <f t="shared" si="57"/>
        <v>1800000</v>
      </c>
      <c r="BI131" s="493"/>
      <c r="BJ131" s="493"/>
      <c r="BK131" s="492">
        <v>127</v>
      </c>
      <c r="BL131" s="492">
        <v>11</v>
      </c>
      <c r="BM131" s="497">
        <f>IF(('Comparison Calculator'!$E$11-BL131)&gt;=0,0,IFERROR(-PPMT($BQ$66/12,(BK131-60),($F$1-5)*12,$BQ$65),0))</f>
        <v>0</v>
      </c>
      <c r="BN131" s="497">
        <f>IF(('Comparison Calculator'!$E$11-BL131)&gt;=0,$C$1*$BQ$66/12,IFERROR(-IPMT($BQ$66/12,(BK131-60),($F$1-5)*12,$BQ$65,0),0))</f>
        <v>0</v>
      </c>
      <c r="BO131" s="497">
        <f t="shared" si="45"/>
        <v>0</v>
      </c>
      <c r="BP131" s="497">
        <f t="shared" si="58"/>
        <v>1800000</v>
      </c>
      <c r="BQ131" s="493"/>
      <c r="BR131" s="493"/>
      <c r="BT131" s="492">
        <v>127</v>
      </c>
      <c r="BU131" s="492">
        <v>11</v>
      </c>
      <c r="BV131" s="497">
        <f>IF(('Comparison Calculator'!$E$11-BU131)&gt;=0,0,IFERROR(-PPMT($BZ$66/12,(BT131-60),($F$1-5)*12,$BZ$65),0))</f>
        <v>0</v>
      </c>
      <c r="BW131" s="497">
        <f>IF(('Comparison Calculator'!$E$11-BU131)&gt;=0,$C$1*$BZ$66/12,IFERROR(-IPMT($BZ$66/12,(BT131-60),($F$1-5)*12,$BZ$65,0),0))</f>
        <v>0</v>
      </c>
      <c r="BX131" s="497">
        <f t="shared" si="46"/>
        <v>0</v>
      </c>
      <c r="BY131" s="497">
        <f t="shared" si="59"/>
        <v>1800000</v>
      </c>
      <c r="BZ131" s="493"/>
      <c r="CA131" s="493"/>
      <c r="CC131" s="492">
        <v>127</v>
      </c>
      <c r="CD131" s="492">
        <v>11</v>
      </c>
      <c r="CE131" s="497">
        <f>IF(('Comparison Calculator'!$E$11-CD131)&gt;=0,0,IFERROR(-PPMT($CI$66/12,(CC131-60),($F$1-5)*12,$CI$65),0))</f>
        <v>0</v>
      </c>
      <c r="CF131" s="497">
        <f>IF(('Comparison Calculator'!$E$11-CD131)&gt;=0,$C$1*$CI$66/12,IFERROR(-IPMT($CI$66/12,(CC131-60),($F$1-5)*12,$CI$65,0),0))</f>
        <v>0</v>
      </c>
      <c r="CG131" s="497">
        <f t="shared" si="47"/>
        <v>0</v>
      </c>
      <c r="CH131" s="497">
        <f t="shared" si="60"/>
        <v>1800000</v>
      </c>
      <c r="CI131" s="493"/>
      <c r="CJ131" s="493"/>
      <c r="CL131" s="492">
        <v>127</v>
      </c>
      <c r="CM131" s="492">
        <v>11</v>
      </c>
      <c r="CN131" s="497">
        <f>IF(('Comparison Calculator'!$E$11-CM131)&gt;=0,0,IFERROR(-PPMT($CR$66/12,(CL131-60),($F$1-5)*12,$CR$65),0))</f>
        <v>0</v>
      </c>
      <c r="CO131" s="497">
        <f>IF(('Comparison Calculator'!$E$11-CM131)&gt;=0,$C$1*$CI$66/12,IFERROR(-IPMT($CI$66/12,(CL131-60),($F$1-5)*12,$CI$65,0),0))</f>
        <v>0</v>
      </c>
      <c r="CP131" s="497">
        <f t="shared" si="48"/>
        <v>0</v>
      </c>
      <c r="CQ131" s="497">
        <f t="shared" si="61"/>
        <v>1800000</v>
      </c>
      <c r="CR131" s="493"/>
      <c r="CS131" s="493"/>
      <c r="CU131" s="492">
        <v>127</v>
      </c>
      <c r="CV131" s="492">
        <v>11</v>
      </c>
      <c r="CW131" s="497">
        <f>IF(('Comparison Calculator'!$E$11-CV131)&gt;=0,0,IFERROR(-PPMT($DA$66/12,(CU131-60),($F$1-5)*12,$DA$65),0))</f>
        <v>0</v>
      </c>
      <c r="CX131" s="497">
        <f>IF(('Comparison Calculator'!$E$11-CV131)&gt;=0,$C$1*$DA$66/12,IFERROR(-IPMT($DA$66/12,(CU131-60),($F$1-5)*12,$DA$65,0),0))</f>
        <v>0</v>
      </c>
      <c r="CY131" s="497">
        <f t="shared" si="49"/>
        <v>0</v>
      </c>
      <c r="CZ131" s="497">
        <f t="shared" si="62"/>
        <v>1800000</v>
      </c>
      <c r="DA131" s="493"/>
      <c r="DB131" s="493"/>
      <c r="DD131" s="492">
        <v>127</v>
      </c>
      <c r="DE131" s="492">
        <v>11</v>
      </c>
      <c r="DF131" s="497">
        <f>IF(('Comparison Calculator'!$E$11-DE131)&gt;=0,0,IFERROR(-PPMT($DJ$66/12,(DD131-60),($F$1-5)*12,$DJ$65),0))</f>
        <v>0</v>
      </c>
      <c r="DG131" s="497">
        <f>IF(('Comparison Calculator'!$E$11-DE131)&gt;=0,$C$1*$DJ$66/12,IFERROR(-IPMT($DJ$66/12,(DD131-60),($F$1-5)*12,$DJ$65,0),0))</f>
        <v>0</v>
      </c>
      <c r="DH131" s="497">
        <f t="shared" si="50"/>
        <v>0</v>
      </c>
      <c r="DI131" s="497">
        <f t="shared" si="63"/>
        <v>1800000</v>
      </c>
      <c r="DJ131" s="493"/>
      <c r="DK131" s="493"/>
    </row>
    <row r="132" spans="1:115">
      <c r="A132" s="492">
        <v>128</v>
      </c>
      <c r="B132" s="492">
        <v>11</v>
      </c>
      <c r="C132" s="497">
        <f>IF(('Comparison Calculator'!$E$11-B132)&gt;=0,0,IFERROR(-PPMT($G$66/12,(A132-60),($F$1-5)*12,$G$65),0))</f>
        <v>0</v>
      </c>
      <c r="D132" s="497">
        <f>IF(('Comparison Calculator'!$E$11-B132)&gt;=0,$C$1*$G$66/12,IFERROR(-IPMT($G$66/12,(A132-60),($F$1-5)*12,$G$65,0),0))</f>
        <v>0</v>
      </c>
      <c r="E132" s="497">
        <f t="shared" si="38"/>
        <v>0</v>
      </c>
      <c r="F132" s="497">
        <f t="shared" si="51"/>
        <v>1800000</v>
      </c>
      <c r="G132" s="493"/>
      <c r="H132" s="493"/>
      <c r="I132" s="489"/>
      <c r="J132" s="492">
        <v>128</v>
      </c>
      <c r="K132" s="492">
        <v>11</v>
      </c>
      <c r="L132" s="497">
        <f>IF(('Comparison Calculator'!$E$11-K132)&gt;=0,0,IFERROR(-PPMT($P$66/12,(J132-60),($F$1-5)*12,$P$65),0))</f>
        <v>0</v>
      </c>
      <c r="M132" s="497">
        <f>IF(('Comparison Calculator'!$E$11-K132)&gt;=0,$C$1*$P$66/12,IFERROR(-IPMT($P$66/12,(J132-60),($F$1-5)*12,$P$65,0),0))</f>
        <v>0</v>
      </c>
      <c r="N132" s="497">
        <f t="shared" si="39"/>
        <v>0</v>
      </c>
      <c r="O132" s="497">
        <f t="shared" si="52"/>
        <v>1800000</v>
      </c>
      <c r="P132" s="493"/>
      <c r="Q132" s="493"/>
      <c r="S132" s="492">
        <v>128</v>
      </c>
      <c r="T132" s="492">
        <v>11</v>
      </c>
      <c r="U132" s="497">
        <f>IF(('Comparison Calculator'!$E$11-T132)&gt;=0,0,IFERROR(-PPMT($Y$66/12,(S132-60),($F$1-5)*12,$Y$65),0))</f>
        <v>0</v>
      </c>
      <c r="V132" s="497">
        <f>IF(('Comparison Calculator'!$E$11-T132)&gt;=0,$C$1*$Y$66/12,IFERROR(-IPMT($Y$66/12,(S132-60),($F$1-5)*12,$Y$65,0),0))</f>
        <v>0</v>
      </c>
      <c r="W132" s="497">
        <f t="shared" si="40"/>
        <v>0</v>
      </c>
      <c r="X132" s="497">
        <f t="shared" si="53"/>
        <v>1800000</v>
      </c>
      <c r="Y132" s="493"/>
      <c r="Z132" s="493"/>
      <c r="AB132" s="492">
        <v>128</v>
      </c>
      <c r="AC132" s="492">
        <v>11</v>
      </c>
      <c r="AD132" s="497">
        <f>IF(('Comparison Calculator'!$E$11-AC132)&gt;=0,0,IFERROR(-PPMT($AH$66/12,(AB132-60),($F$1-5)*12,$AH$65),0))</f>
        <v>0</v>
      </c>
      <c r="AE132" s="497">
        <f>IF(('Comparison Calculator'!$E$11-AC132)&gt;=0,$C$1*$AH$66/12,IFERROR(-IPMT($AH$66/12,(AB132-60),($F$1-5)*12,$AH$65,0),0))</f>
        <v>0</v>
      </c>
      <c r="AF132" s="497">
        <f t="shared" si="41"/>
        <v>0</v>
      </c>
      <c r="AG132" s="497">
        <f t="shared" si="54"/>
        <v>1800000</v>
      </c>
      <c r="AH132" s="493"/>
      <c r="AI132" s="493"/>
      <c r="AK132" s="492">
        <v>128</v>
      </c>
      <c r="AL132" s="492">
        <v>11</v>
      </c>
      <c r="AM132" s="497">
        <f>IF(('Comparison Calculator'!$E$11-AL132)&gt;=0,0,IFERROR(-PPMT($AQ$66/12,(AK132-60),($F$1-5)*12,$AQ$65),0))</f>
        <v>0</v>
      </c>
      <c r="AN132" s="497">
        <f>IF(('Comparison Calculator'!$E$11-AL132)&gt;=0,$C$1*$AQ$66/12,IFERROR(-IPMT($AQ$66/12,(AK132-60),($F$1-5)*12,$AQ$65,0),0))</f>
        <v>0</v>
      </c>
      <c r="AO132" s="497">
        <f t="shared" si="42"/>
        <v>0</v>
      </c>
      <c r="AP132" s="497">
        <f t="shared" si="55"/>
        <v>1800000</v>
      </c>
      <c r="AQ132" s="493"/>
      <c r="AR132" s="493"/>
      <c r="AT132" s="492">
        <v>128</v>
      </c>
      <c r="AU132" s="492">
        <v>11</v>
      </c>
      <c r="AV132" s="497">
        <f>IF(('Comparison Calculator'!$E$11-AU132)&gt;=0,0,IFERROR(-PPMT($AZ$66/12,(AT132-60),($F$1-5)*12,$AZ$65),0))</f>
        <v>0</v>
      </c>
      <c r="AW132" s="497">
        <f>IF(('Comparison Calculator'!$E$11-AU132)&gt;=0,$C$1*$AZ$66/12,IFERROR(-IPMT($AZ$66/12,(AT132-60),($F$1-5)*12,$AZ$65,0),0))</f>
        <v>0</v>
      </c>
      <c r="AX132" s="497">
        <f t="shared" si="43"/>
        <v>0</v>
      </c>
      <c r="AY132" s="497">
        <f t="shared" si="56"/>
        <v>1800000</v>
      </c>
      <c r="AZ132" s="493"/>
      <c r="BA132" s="493"/>
      <c r="BC132" s="492">
        <v>128</v>
      </c>
      <c r="BD132" s="492">
        <v>11</v>
      </c>
      <c r="BE132" s="497">
        <f>IF(('Comparison Calculator'!$E$11-BD132)&gt;=0,0,IFERROR(-PPMT($BI$66/12,(BC132-60),($F$1-5)*12,$BI$65),0))</f>
        <v>0</v>
      </c>
      <c r="BF132" s="497">
        <f>IF(('Comparison Calculator'!$E$11-BD132)&gt;=0,$C$1*$BI$66/12,IFERROR(-IPMT($BI$66/12,(BC132-60),($F$1-5)*12,$BI$65,0),0))</f>
        <v>0</v>
      </c>
      <c r="BG132" s="497">
        <f t="shared" si="44"/>
        <v>0</v>
      </c>
      <c r="BH132" s="497">
        <f t="shared" si="57"/>
        <v>1800000</v>
      </c>
      <c r="BI132" s="493"/>
      <c r="BJ132" s="493"/>
      <c r="BK132" s="492">
        <v>128</v>
      </c>
      <c r="BL132" s="492">
        <v>11</v>
      </c>
      <c r="BM132" s="497">
        <f>IF(('Comparison Calculator'!$E$11-BL132)&gt;=0,0,IFERROR(-PPMT($BQ$66/12,(BK132-60),($F$1-5)*12,$BQ$65),0))</f>
        <v>0</v>
      </c>
      <c r="BN132" s="497">
        <f>IF(('Comparison Calculator'!$E$11-BL132)&gt;=0,$C$1*$BQ$66/12,IFERROR(-IPMT($BQ$66/12,(BK132-60),($F$1-5)*12,$BQ$65,0),0))</f>
        <v>0</v>
      </c>
      <c r="BO132" s="497">
        <f t="shared" si="45"/>
        <v>0</v>
      </c>
      <c r="BP132" s="497">
        <f t="shared" si="58"/>
        <v>1800000</v>
      </c>
      <c r="BQ132" s="493"/>
      <c r="BR132" s="493"/>
      <c r="BT132" s="492">
        <v>128</v>
      </c>
      <c r="BU132" s="492">
        <v>11</v>
      </c>
      <c r="BV132" s="497">
        <f>IF(('Comparison Calculator'!$E$11-BU132)&gt;=0,0,IFERROR(-PPMT($BZ$66/12,(BT132-60),($F$1-5)*12,$BZ$65),0))</f>
        <v>0</v>
      </c>
      <c r="BW132" s="497">
        <f>IF(('Comparison Calculator'!$E$11-BU132)&gt;=0,$C$1*$BZ$66/12,IFERROR(-IPMT($BZ$66/12,(BT132-60),($F$1-5)*12,$BZ$65,0),0))</f>
        <v>0</v>
      </c>
      <c r="BX132" s="497">
        <f t="shared" si="46"/>
        <v>0</v>
      </c>
      <c r="BY132" s="497">
        <f t="shared" si="59"/>
        <v>1800000</v>
      </c>
      <c r="BZ132" s="493"/>
      <c r="CA132" s="493"/>
      <c r="CC132" s="492">
        <v>128</v>
      </c>
      <c r="CD132" s="492">
        <v>11</v>
      </c>
      <c r="CE132" s="497">
        <f>IF(('Comparison Calculator'!$E$11-CD132)&gt;=0,0,IFERROR(-PPMT($CI$66/12,(CC132-60),($F$1-5)*12,$CI$65),0))</f>
        <v>0</v>
      </c>
      <c r="CF132" s="497">
        <f>IF(('Comparison Calculator'!$E$11-CD132)&gt;=0,$C$1*$CI$66/12,IFERROR(-IPMT($CI$66/12,(CC132-60),($F$1-5)*12,$CI$65,0),0))</f>
        <v>0</v>
      </c>
      <c r="CG132" s="497">
        <f t="shared" si="47"/>
        <v>0</v>
      </c>
      <c r="CH132" s="497">
        <f t="shared" si="60"/>
        <v>1800000</v>
      </c>
      <c r="CI132" s="493"/>
      <c r="CJ132" s="493"/>
      <c r="CL132" s="492">
        <v>128</v>
      </c>
      <c r="CM132" s="492">
        <v>11</v>
      </c>
      <c r="CN132" s="497">
        <f>IF(('Comparison Calculator'!$E$11-CM132)&gt;=0,0,IFERROR(-PPMT($CR$66/12,(CL132-60),($F$1-5)*12,$CR$65),0))</f>
        <v>0</v>
      </c>
      <c r="CO132" s="497">
        <f>IF(('Comparison Calculator'!$E$11-CM132)&gt;=0,$C$1*$CI$66/12,IFERROR(-IPMT($CI$66/12,(CL132-60),($F$1-5)*12,$CI$65,0),0))</f>
        <v>0</v>
      </c>
      <c r="CP132" s="497">
        <f t="shared" si="48"/>
        <v>0</v>
      </c>
      <c r="CQ132" s="497">
        <f t="shared" si="61"/>
        <v>1800000</v>
      </c>
      <c r="CR132" s="493"/>
      <c r="CS132" s="493"/>
      <c r="CU132" s="492">
        <v>128</v>
      </c>
      <c r="CV132" s="492">
        <v>11</v>
      </c>
      <c r="CW132" s="497">
        <f>IF(('Comparison Calculator'!$E$11-CV132)&gt;=0,0,IFERROR(-PPMT($DA$66/12,(CU132-60),($F$1-5)*12,$DA$65),0))</f>
        <v>0</v>
      </c>
      <c r="CX132" s="497">
        <f>IF(('Comparison Calculator'!$E$11-CV132)&gt;=0,$C$1*$DA$66/12,IFERROR(-IPMT($DA$66/12,(CU132-60),($F$1-5)*12,$DA$65,0),0))</f>
        <v>0</v>
      </c>
      <c r="CY132" s="497">
        <f t="shared" si="49"/>
        <v>0</v>
      </c>
      <c r="CZ132" s="497">
        <f t="shared" si="62"/>
        <v>1800000</v>
      </c>
      <c r="DA132" s="493"/>
      <c r="DB132" s="493"/>
      <c r="DD132" s="492">
        <v>128</v>
      </c>
      <c r="DE132" s="492">
        <v>11</v>
      </c>
      <c r="DF132" s="497">
        <f>IF(('Comparison Calculator'!$E$11-DE132)&gt;=0,0,IFERROR(-PPMT($DJ$66/12,(DD132-60),($F$1-5)*12,$DJ$65),0))</f>
        <v>0</v>
      </c>
      <c r="DG132" s="497">
        <f>IF(('Comparison Calculator'!$E$11-DE132)&gt;=0,$C$1*$DJ$66/12,IFERROR(-IPMT($DJ$66/12,(DD132-60),($F$1-5)*12,$DJ$65,0),0))</f>
        <v>0</v>
      </c>
      <c r="DH132" s="497">
        <f t="shared" si="50"/>
        <v>0</v>
      </c>
      <c r="DI132" s="497">
        <f t="shared" si="63"/>
        <v>1800000</v>
      </c>
      <c r="DJ132" s="493"/>
      <c r="DK132" s="493"/>
    </row>
    <row r="133" spans="1:115">
      <c r="A133" s="492">
        <v>129</v>
      </c>
      <c r="B133" s="492">
        <v>11</v>
      </c>
      <c r="C133" s="497">
        <f>IF(('Comparison Calculator'!$E$11-B133)&gt;=0,0,IFERROR(-PPMT($G$66/12,(A133-60),($F$1-5)*12,$G$65),0))</f>
        <v>0</v>
      </c>
      <c r="D133" s="497">
        <f>IF(('Comparison Calculator'!$E$11-B133)&gt;=0,$C$1*$G$66/12,IFERROR(-IPMT($G$66/12,(A133-60),($F$1-5)*12,$G$65,0),0))</f>
        <v>0</v>
      </c>
      <c r="E133" s="497">
        <f t="shared" si="38"/>
        <v>0</v>
      </c>
      <c r="F133" s="497">
        <f t="shared" si="51"/>
        <v>1800000</v>
      </c>
      <c r="G133" s="493"/>
      <c r="H133" s="493"/>
      <c r="I133" s="489"/>
      <c r="J133" s="492">
        <v>129</v>
      </c>
      <c r="K133" s="492">
        <v>11</v>
      </c>
      <c r="L133" s="497">
        <f>IF(('Comparison Calculator'!$E$11-K133)&gt;=0,0,IFERROR(-PPMT($P$66/12,(J133-60),($F$1-5)*12,$P$65),0))</f>
        <v>0</v>
      </c>
      <c r="M133" s="497">
        <f>IF(('Comparison Calculator'!$E$11-K133)&gt;=0,$C$1*$P$66/12,IFERROR(-IPMT($P$66/12,(J133-60),($F$1-5)*12,$P$65,0),0))</f>
        <v>0</v>
      </c>
      <c r="N133" s="497">
        <f t="shared" si="39"/>
        <v>0</v>
      </c>
      <c r="O133" s="497">
        <f t="shared" si="52"/>
        <v>1800000</v>
      </c>
      <c r="P133" s="493"/>
      <c r="Q133" s="493"/>
      <c r="S133" s="492">
        <v>129</v>
      </c>
      <c r="T133" s="492">
        <v>11</v>
      </c>
      <c r="U133" s="497">
        <f>IF(('Comparison Calculator'!$E$11-T133)&gt;=0,0,IFERROR(-PPMT($Y$66/12,(S133-60),($F$1-5)*12,$Y$65),0))</f>
        <v>0</v>
      </c>
      <c r="V133" s="497">
        <f>IF(('Comparison Calculator'!$E$11-T133)&gt;=0,$C$1*$Y$66/12,IFERROR(-IPMT($Y$66/12,(S133-60),($F$1-5)*12,$Y$65,0),0))</f>
        <v>0</v>
      </c>
      <c r="W133" s="497">
        <f t="shared" si="40"/>
        <v>0</v>
      </c>
      <c r="X133" s="497">
        <f t="shared" si="53"/>
        <v>1800000</v>
      </c>
      <c r="Y133" s="493"/>
      <c r="Z133" s="493"/>
      <c r="AB133" s="492">
        <v>129</v>
      </c>
      <c r="AC133" s="492">
        <v>11</v>
      </c>
      <c r="AD133" s="497">
        <f>IF(('Comparison Calculator'!$E$11-AC133)&gt;=0,0,IFERROR(-PPMT($AH$66/12,(AB133-60),($F$1-5)*12,$AH$65),0))</f>
        <v>0</v>
      </c>
      <c r="AE133" s="497">
        <f>IF(('Comparison Calculator'!$E$11-AC133)&gt;=0,$C$1*$AH$66/12,IFERROR(-IPMT($AH$66/12,(AB133-60),($F$1-5)*12,$AH$65,0),0))</f>
        <v>0</v>
      </c>
      <c r="AF133" s="497">
        <f t="shared" si="41"/>
        <v>0</v>
      </c>
      <c r="AG133" s="497">
        <f t="shared" si="54"/>
        <v>1800000</v>
      </c>
      <c r="AH133" s="493"/>
      <c r="AI133" s="493"/>
      <c r="AK133" s="492">
        <v>129</v>
      </c>
      <c r="AL133" s="492">
        <v>11</v>
      </c>
      <c r="AM133" s="497">
        <f>IF(('Comparison Calculator'!$E$11-AL133)&gt;=0,0,IFERROR(-PPMT($AQ$66/12,(AK133-60),($F$1-5)*12,$AQ$65),0))</f>
        <v>0</v>
      </c>
      <c r="AN133" s="497">
        <f>IF(('Comparison Calculator'!$E$11-AL133)&gt;=0,$C$1*$AQ$66/12,IFERROR(-IPMT($AQ$66/12,(AK133-60),($F$1-5)*12,$AQ$65,0),0))</f>
        <v>0</v>
      </c>
      <c r="AO133" s="497">
        <f t="shared" si="42"/>
        <v>0</v>
      </c>
      <c r="AP133" s="497">
        <f t="shared" si="55"/>
        <v>1800000</v>
      </c>
      <c r="AQ133" s="493"/>
      <c r="AR133" s="493"/>
      <c r="AT133" s="492">
        <v>129</v>
      </c>
      <c r="AU133" s="492">
        <v>11</v>
      </c>
      <c r="AV133" s="497">
        <f>IF(('Comparison Calculator'!$E$11-AU133)&gt;=0,0,IFERROR(-PPMT($AZ$66/12,(AT133-60),($F$1-5)*12,$AZ$65),0))</f>
        <v>0</v>
      </c>
      <c r="AW133" s="497">
        <f>IF(('Comparison Calculator'!$E$11-AU133)&gt;=0,$C$1*$AZ$66/12,IFERROR(-IPMT($AZ$66/12,(AT133-60),($F$1-5)*12,$AZ$65,0),0))</f>
        <v>0</v>
      </c>
      <c r="AX133" s="497">
        <f t="shared" si="43"/>
        <v>0</v>
      </c>
      <c r="AY133" s="497">
        <f t="shared" si="56"/>
        <v>1800000</v>
      </c>
      <c r="AZ133" s="493"/>
      <c r="BA133" s="493"/>
      <c r="BC133" s="492">
        <v>129</v>
      </c>
      <c r="BD133" s="492">
        <v>11</v>
      </c>
      <c r="BE133" s="497">
        <f>IF(('Comparison Calculator'!$E$11-BD133)&gt;=0,0,IFERROR(-PPMT($BI$66/12,(BC133-60),($F$1-5)*12,$BI$65),0))</f>
        <v>0</v>
      </c>
      <c r="BF133" s="497">
        <f>IF(('Comparison Calculator'!$E$11-BD133)&gt;=0,$C$1*$BI$66/12,IFERROR(-IPMT($BI$66/12,(BC133-60),($F$1-5)*12,$BI$65,0),0))</f>
        <v>0</v>
      </c>
      <c r="BG133" s="497">
        <f t="shared" si="44"/>
        <v>0</v>
      </c>
      <c r="BH133" s="497">
        <f t="shared" si="57"/>
        <v>1800000</v>
      </c>
      <c r="BI133" s="493"/>
      <c r="BJ133" s="493"/>
      <c r="BK133" s="492">
        <v>129</v>
      </c>
      <c r="BL133" s="492">
        <v>11</v>
      </c>
      <c r="BM133" s="497">
        <f>IF(('Comparison Calculator'!$E$11-BL133)&gt;=0,0,IFERROR(-PPMT($BQ$66/12,(BK133-60),($F$1-5)*12,$BQ$65),0))</f>
        <v>0</v>
      </c>
      <c r="BN133" s="497">
        <f>IF(('Comparison Calculator'!$E$11-BL133)&gt;=0,$C$1*$BQ$66/12,IFERROR(-IPMT($BQ$66/12,(BK133-60),($F$1-5)*12,$BQ$65,0),0))</f>
        <v>0</v>
      </c>
      <c r="BO133" s="497">
        <f t="shared" si="45"/>
        <v>0</v>
      </c>
      <c r="BP133" s="497">
        <f t="shared" si="58"/>
        <v>1800000</v>
      </c>
      <c r="BQ133" s="493"/>
      <c r="BR133" s="493"/>
      <c r="BT133" s="492">
        <v>129</v>
      </c>
      <c r="BU133" s="492">
        <v>11</v>
      </c>
      <c r="BV133" s="497">
        <f>IF(('Comparison Calculator'!$E$11-BU133)&gt;=0,0,IFERROR(-PPMT($BZ$66/12,(BT133-60),($F$1-5)*12,$BZ$65),0))</f>
        <v>0</v>
      </c>
      <c r="BW133" s="497">
        <f>IF(('Comparison Calculator'!$E$11-BU133)&gt;=0,$C$1*$BZ$66/12,IFERROR(-IPMT($BZ$66/12,(BT133-60),($F$1-5)*12,$BZ$65,0),0))</f>
        <v>0</v>
      </c>
      <c r="BX133" s="497">
        <f t="shared" si="46"/>
        <v>0</v>
      </c>
      <c r="BY133" s="497">
        <f t="shared" si="59"/>
        <v>1800000</v>
      </c>
      <c r="BZ133" s="493"/>
      <c r="CA133" s="493"/>
      <c r="CC133" s="492">
        <v>129</v>
      </c>
      <c r="CD133" s="492">
        <v>11</v>
      </c>
      <c r="CE133" s="497">
        <f>IF(('Comparison Calculator'!$E$11-CD133)&gt;=0,0,IFERROR(-PPMT($CI$66/12,(CC133-60),($F$1-5)*12,$CI$65),0))</f>
        <v>0</v>
      </c>
      <c r="CF133" s="497">
        <f>IF(('Comparison Calculator'!$E$11-CD133)&gt;=0,$C$1*$CI$66/12,IFERROR(-IPMT($CI$66/12,(CC133-60),($F$1-5)*12,$CI$65,0),0))</f>
        <v>0</v>
      </c>
      <c r="CG133" s="497">
        <f t="shared" si="47"/>
        <v>0</v>
      </c>
      <c r="CH133" s="497">
        <f t="shared" si="60"/>
        <v>1800000</v>
      </c>
      <c r="CI133" s="493"/>
      <c r="CJ133" s="493"/>
      <c r="CL133" s="492">
        <v>129</v>
      </c>
      <c r="CM133" s="492">
        <v>11</v>
      </c>
      <c r="CN133" s="497">
        <f>IF(('Comparison Calculator'!$E$11-CM133)&gt;=0,0,IFERROR(-PPMT($CR$66/12,(CL133-60),($F$1-5)*12,$CR$65),0))</f>
        <v>0</v>
      </c>
      <c r="CO133" s="497">
        <f>IF(('Comparison Calculator'!$E$11-CM133)&gt;=0,$C$1*$CI$66/12,IFERROR(-IPMT($CI$66/12,(CL133-60),($F$1-5)*12,$CI$65,0),0))</f>
        <v>0</v>
      </c>
      <c r="CP133" s="497">
        <f t="shared" si="48"/>
        <v>0</v>
      </c>
      <c r="CQ133" s="497">
        <f t="shared" si="61"/>
        <v>1800000</v>
      </c>
      <c r="CR133" s="493"/>
      <c r="CS133" s="493"/>
      <c r="CU133" s="492">
        <v>129</v>
      </c>
      <c r="CV133" s="492">
        <v>11</v>
      </c>
      <c r="CW133" s="497">
        <f>IF(('Comparison Calculator'!$E$11-CV133)&gt;=0,0,IFERROR(-PPMT($DA$66/12,(CU133-60),($F$1-5)*12,$DA$65),0))</f>
        <v>0</v>
      </c>
      <c r="CX133" s="497">
        <f>IF(('Comparison Calculator'!$E$11-CV133)&gt;=0,$C$1*$DA$66/12,IFERROR(-IPMT($DA$66/12,(CU133-60),($F$1-5)*12,$DA$65,0),0))</f>
        <v>0</v>
      </c>
      <c r="CY133" s="497">
        <f t="shared" si="49"/>
        <v>0</v>
      </c>
      <c r="CZ133" s="497">
        <f t="shared" si="62"/>
        <v>1800000</v>
      </c>
      <c r="DA133" s="493"/>
      <c r="DB133" s="493"/>
      <c r="DD133" s="492">
        <v>129</v>
      </c>
      <c r="DE133" s="492">
        <v>11</v>
      </c>
      <c r="DF133" s="497">
        <f>IF(('Comparison Calculator'!$E$11-DE133)&gt;=0,0,IFERROR(-PPMT($DJ$66/12,(DD133-60),($F$1-5)*12,$DJ$65),0))</f>
        <v>0</v>
      </c>
      <c r="DG133" s="497">
        <f>IF(('Comparison Calculator'!$E$11-DE133)&gt;=0,$C$1*$DJ$66/12,IFERROR(-IPMT($DJ$66/12,(DD133-60),($F$1-5)*12,$DJ$65,0),0))</f>
        <v>0</v>
      </c>
      <c r="DH133" s="497">
        <f t="shared" si="50"/>
        <v>0</v>
      </c>
      <c r="DI133" s="497">
        <f t="shared" si="63"/>
        <v>1800000</v>
      </c>
      <c r="DJ133" s="493"/>
      <c r="DK133" s="493"/>
    </row>
    <row r="134" spans="1:115">
      <c r="A134" s="492">
        <v>130</v>
      </c>
      <c r="B134" s="492">
        <v>11</v>
      </c>
      <c r="C134" s="497">
        <f>IF(('Comparison Calculator'!$E$11-B134)&gt;=0,0,IFERROR(-PPMT($G$66/12,(A134-60),($F$1-5)*12,$G$65),0))</f>
        <v>0</v>
      </c>
      <c r="D134" s="497">
        <f>IF(('Comparison Calculator'!$E$11-B134)&gt;=0,$C$1*$G$66/12,IFERROR(-IPMT($G$66/12,(A134-60),($F$1-5)*12,$G$65,0),0))</f>
        <v>0</v>
      </c>
      <c r="E134" s="497">
        <f t="shared" ref="E134:E197" si="64">C134+D134</f>
        <v>0</v>
      </c>
      <c r="F134" s="497">
        <f t="shared" si="51"/>
        <v>1800000</v>
      </c>
      <c r="G134" s="493"/>
      <c r="H134" s="493"/>
      <c r="I134" s="489"/>
      <c r="J134" s="492">
        <v>130</v>
      </c>
      <c r="K134" s="492">
        <v>11</v>
      </c>
      <c r="L134" s="497">
        <f>IF(('Comparison Calculator'!$E$11-K134)&gt;=0,0,IFERROR(-PPMT($P$66/12,(J134-60),($F$1-5)*12,$P$65),0))</f>
        <v>0</v>
      </c>
      <c r="M134" s="497">
        <f>IF(('Comparison Calculator'!$E$11-K134)&gt;=0,$C$1*$P$66/12,IFERROR(-IPMT($P$66/12,(J134-60),($F$1-5)*12,$P$65,0),0))</f>
        <v>0</v>
      </c>
      <c r="N134" s="497">
        <f t="shared" ref="N134:N197" si="65">L134+M134</f>
        <v>0</v>
      </c>
      <c r="O134" s="497">
        <f t="shared" si="52"/>
        <v>1800000</v>
      </c>
      <c r="P134" s="493"/>
      <c r="Q134" s="493"/>
      <c r="S134" s="492">
        <v>130</v>
      </c>
      <c r="T134" s="492">
        <v>11</v>
      </c>
      <c r="U134" s="497">
        <f>IF(('Comparison Calculator'!$E$11-T134)&gt;=0,0,IFERROR(-PPMT($Y$66/12,(S134-60),($F$1-5)*12,$Y$65),0))</f>
        <v>0</v>
      </c>
      <c r="V134" s="497">
        <f>IF(('Comparison Calculator'!$E$11-T134)&gt;=0,$C$1*$Y$66/12,IFERROR(-IPMT($Y$66/12,(S134-60),($F$1-5)*12,$Y$65,0),0))</f>
        <v>0</v>
      </c>
      <c r="W134" s="497">
        <f t="shared" ref="W134:W197" si="66">U134+V134</f>
        <v>0</v>
      </c>
      <c r="X134" s="497">
        <f t="shared" si="53"/>
        <v>1800000</v>
      </c>
      <c r="Y134" s="493"/>
      <c r="Z134" s="493"/>
      <c r="AB134" s="492">
        <v>130</v>
      </c>
      <c r="AC134" s="492">
        <v>11</v>
      </c>
      <c r="AD134" s="497">
        <f>IF(('Comparison Calculator'!$E$11-AC134)&gt;=0,0,IFERROR(-PPMT($AH$66/12,(AB134-60),($F$1-5)*12,$AH$65),0))</f>
        <v>0</v>
      </c>
      <c r="AE134" s="497">
        <f>IF(('Comparison Calculator'!$E$11-AC134)&gt;=0,$C$1*$AH$66/12,IFERROR(-IPMT($AH$66/12,(AB134-60),($F$1-5)*12,$AH$65,0),0))</f>
        <v>0</v>
      </c>
      <c r="AF134" s="497">
        <f t="shared" ref="AF134:AF197" si="67">AD134+AE134</f>
        <v>0</v>
      </c>
      <c r="AG134" s="497">
        <f t="shared" si="54"/>
        <v>1800000</v>
      </c>
      <c r="AH134" s="493"/>
      <c r="AI134" s="493"/>
      <c r="AK134" s="492">
        <v>130</v>
      </c>
      <c r="AL134" s="492">
        <v>11</v>
      </c>
      <c r="AM134" s="497">
        <f>IF(('Comparison Calculator'!$E$11-AL134)&gt;=0,0,IFERROR(-PPMT($AQ$66/12,(AK134-60),($F$1-5)*12,$AQ$65),0))</f>
        <v>0</v>
      </c>
      <c r="AN134" s="497">
        <f>IF(('Comparison Calculator'!$E$11-AL134)&gt;=0,$C$1*$AQ$66/12,IFERROR(-IPMT($AQ$66/12,(AK134-60),($F$1-5)*12,$AQ$65,0),0))</f>
        <v>0</v>
      </c>
      <c r="AO134" s="497">
        <f t="shared" ref="AO134:AO197" si="68">AM134+AN134</f>
        <v>0</v>
      </c>
      <c r="AP134" s="497">
        <f t="shared" si="55"/>
        <v>1800000</v>
      </c>
      <c r="AQ134" s="493"/>
      <c r="AR134" s="493"/>
      <c r="AT134" s="492">
        <v>130</v>
      </c>
      <c r="AU134" s="492">
        <v>11</v>
      </c>
      <c r="AV134" s="497">
        <f>IF(('Comparison Calculator'!$E$11-AU134)&gt;=0,0,IFERROR(-PPMT($AZ$66/12,(AT134-60),($F$1-5)*12,$AZ$65),0))</f>
        <v>0</v>
      </c>
      <c r="AW134" s="497">
        <f>IF(('Comparison Calculator'!$E$11-AU134)&gt;=0,$C$1*$AZ$66/12,IFERROR(-IPMT($AZ$66/12,(AT134-60),($F$1-5)*12,$AZ$65,0),0))</f>
        <v>0</v>
      </c>
      <c r="AX134" s="497">
        <f t="shared" ref="AX134:AX197" si="69">AV134+AW134</f>
        <v>0</v>
      </c>
      <c r="AY134" s="497">
        <f t="shared" si="56"/>
        <v>1800000</v>
      </c>
      <c r="AZ134" s="493"/>
      <c r="BA134" s="493"/>
      <c r="BC134" s="492">
        <v>130</v>
      </c>
      <c r="BD134" s="492">
        <v>11</v>
      </c>
      <c r="BE134" s="497">
        <f>IF(('Comparison Calculator'!$E$11-BD134)&gt;=0,0,IFERROR(-PPMT($BI$66/12,(BC134-60),($F$1-5)*12,$BI$65),0))</f>
        <v>0</v>
      </c>
      <c r="BF134" s="497">
        <f>IF(('Comparison Calculator'!$E$11-BD134)&gt;=0,$C$1*$BI$66/12,IFERROR(-IPMT($BI$66/12,(BC134-60),($F$1-5)*12,$BI$65,0),0))</f>
        <v>0</v>
      </c>
      <c r="BG134" s="497">
        <f t="shared" ref="BG134:BG197" si="70">BE134+BF134</f>
        <v>0</v>
      </c>
      <c r="BH134" s="497">
        <f t="shared" si="57"/>
        <v>1800000</v>
      </c>
      <c r="BI134" s="493"/>
      <c r="BJ134" s="493"/>
      <c r="BK134" s="492">
        <v>130</v>
      </c>
      <c r="BL134" s="492">
        <v>11</v>
      </c>
      <c r="BM134" s="497">
        <f>IF(('Comparison Calculator'!$E$11-BL134)&gt;=0,0,IFERROR(-PPMT($BQ$66/12,(BK134-60),($F$1-5)*12,$BQ$65),0))</f>
        <v>0</v>
      </c>
      <c r="BN134" s="497">
        <f>IF(('Comparison Calculator'!$E$11-BL134)&gt;=0,$C$1*$BQ$66/12,IFERROR(-IPMT($BQ$66/12,(BK134-60),($F$1-5)*12,$BQ$65,0),0))</f>
        <v>0</v>
      </c>
      <c r="BO134" s="497">
        <f t="shared" ref="BO134:BO197" si="71">BM134+BN134</f>
        <v>0</v>
      </c>
      <c r="BP134" s="497">
        <f t="shared" si="58"/>
        <v>1800000</v>
      </c>
      <c r="BQ134" s="493"/>
      <c r="BR134" s="493"/>
      <c r="BT134" s="492">
        <v>130</v>
      </c>
      <c r="BU134" s="492">
        <v>11</v>
      </c>
      <c r="BV134" s="497">
        <f>IF(('Comparison Calculator'!$E$11-BU134)&gt;=0,0,IFERROR(-PPMT($BZ$66/12,(BT134-60),($F$1-5)*12,$BZ$65),0))</f>
        <v>0</v>
      </c>
      <c r="BW134" s="497">
        <f>IF(('Comparison Calculator'!$E$11-BU134)&gt;=0,$C$1*$BZ$66/12,IFERROR(-IPMT($BZ$66/12,(BT134-60),($F$1-5)*12,$BZ$65,0),0))</f>
        <v>0</v>
      </c>
      <c r="BX134" s="497">
        <f t="shared" ref="BX134:BX197" si="72">BV134+BW134</f>
        <v>0</v>
      </c>
      <c r="BY134" s="497">
        <f t="shared" si="59"/>
        <v>1800000</v>
      </c>
      <c r="BZ134" s="493"/>
      <c r="CA134" s="493"/>
      <c r="CC134" s="492">
        <v>130</v>
      </c>
      <c r="CD134" s="492">
        <v>11</v>
      </c>
      <c r="CE134" s="497">
        <f>IF(('Comparison Calculator'!$E$11-CD134)&gt;=0,0,IFERROR(-PPMT($CI$66/12,(CC134-60),($F$1-5)*12,$CI$65),0))</f>
        <v>0</v>
      </c>
      <c r="CF134" s="497">
        <f>IF(('Comparison Calculator'!$E$11-CD134)&gt;=0,$C$1*$CI$66/12,IFERROR(-IPMT($CI$66/12,(CC134-60),($F$1-5)*12,$CI$65,0),0))</f>
        <v>0</v>
      </c>
      <c r="CG134" s="497">
        <f t="shared" ref="CG134:CG197" si="73">CE134+CF134</f>
        <v>0</v>
      </c>
      <c r="CH134" s="497">
        <f t="shared" si="60"/>
        <v>1800000</v>
      </c>
      <c r="CI134" s="493"/>
      <c r="CJ134" s="493"/>
      <c r="CL134" s="492">
        <v>130</v>
      </c>
      <c r="CM134" s="492">
        <v>11</v>
      </c>
      <c r="CN134" s="497">
        <f>IF(('Comparison Calculator'!$E$11-CM134)&gt;=0,0,IFERROR(-PPMT($CR$66/12,(CL134-60),($F$1-5)*12,$CR$65),0))</f>
        <v>0</v>
      </c>
      <c r="CO134" s="497">
        <f>IF(('Comparison Calculator'!$E$11-CM134)&gt;=0,$C$1*$CI$66/12,IFERROR(-IPMT($CI$66/12,(CL134-60),($F$1-5)*12,$CI$65,0),0))</f>
        <v>0</v>
      </c>
      <c r="CP134" s="497">
        <f t="shared" ref="CP134:CP197" si="74">CN134+CO134</f>
        <v>0</v>
      </c>
      <c r="CQ134" s="497">
        <f t="shared" si="61"/>
        <v>1800000</v>
      </c>
      <c r="CR134" s="493"/>
      <c r="CS134" s="493"/>
      <c r="CU134" s="492">
        <v>130</v>
      </c>
      <c r="CV134" s="492">
        <v>11</v>
      </c>
      <c r="CW134" s="497">
        <f>IF(('Comparison Calculator'!$E$11-CV134)&gt;=0,0,IFERROR(-PPMT($DA$66/12,(CU134-60),($F$1-5)*12,$DA$65),0))</f>
        <v>0</v>
      </c>
      <c r="CX134" s="497">
        <f>IF(('Comparison Calculator'!$E$11-CV134)&gt;=0,$C$1*$DA$66/12,IFERROR(-IPMT($DA$66/12,(CU134-60),($F$1-5)*12,$DA$65,0),0))</f>
        <v>0</v>
      </c>
      <c r="CY134" s="497">
        <f t="shared" ref="CY134:CY197" si="75">CW134+CX134</f>
        <v>0</v>
      </c>
      <c r="CZ134" s="497">
        <f t="shared" si="62"/>
        <v>1800000</v>
      </c>
      <c r="DA134" s="493"/>
      <c r="DB134" s="493"/>
      <c r="DD134" s="492">
        <v>130</v>
      </c>
      <c r="DE134" s="492">
        <v>11</v>
      </c>
      <c r="DF134" s="497">
        <f>IF(('Comparison Calculator'!$E$11-DE134)&gt;=0,0,IFERROR(-PPMT($DJ$66/12,(DD134-60),($F$1-5)*12,$DJ$65),0))</f>
        <v>0</v>
      </c>
      <c r="DG134" s="497">
        <f>IF(('Comparison Calculator'!$E$11-DE134)&gt;=0,$C$1*$DJ$66/12,IFERROR(-IPMT($DJ$66/12,(DD134-60),($F$1-5)*12,$DJ$65,0),0))</f>
        <v>0</v>
      </c>
      <c r="DH134" s="497">
        <f t="shared" ref="DH134:DH197" si="76">DF134+DG134</f>
        <v>0</v>
      </c>
      <c r="DI134" s="497">
        <f t="shared" si="63"/>
        <v>1800000</v>
      </c>
      <c r="DJ134" s="493"/>
      <c r="DK134" s="493"/>
    </row>
    <row r="135" spans="1:115">
      <c r="A135" s="492">
        <v>131</v>
      </c>
      <c r="B135" s="492">
        <v>11</v>
      </c>
      <c r="C135" s="497">
        <f>IF(('Comparison Calculator'!$E$11-B135)&gt;=0,0,IFERROR(-PPMT($G$66/12,(A135-60),($F$1-5)*12,$G$65),0))</f>
        <v>0</v>
      </c>
      <c r="D135" s="497">
        <f>IF(('Comparison Calculator'!$E$11-B135)&gt;=0,$C$1*$G$66/12,IFERROR(-IPMT($G$66/12,(A135-60),($F$1-5)*12,$G$65,0),0))</f>
        <v>0</v>
      </c>
      <c r="E135" s="497">
        <f t="shared" si="64"/>
        <v>0</v>
      </c>
      <c r="F135" s="497">
        <f t="shared" ref="F135:F198" si="77">F134-C135</f>
        <v>1800000</v>
      </c>
      <c r="G135" s="493"/>
      <c r="H135" s="493"/>
      <c r="I135" s="489"/>
      <c r="J135" s="492">
        <v>131</v>
      </c>
      <c r="K135" s="492">
        <v>11</v>
      </c>
      <c r="L135" s="497">
        <f>IF(('Comparison Calculator'!$E$11-K135)&gt;=0,0,IFERROR(-PPMT($P$66/12,(J135-60),($F$1-5)*12,$P$65),0))</f>
        <v>0</v>
      </c>
      <c r="M135" s="497">
        <f>IF(('Comparison Calculator'!$E$11-K135)&gt;=0,$C$1*$P$66/12,IFERROR(-IPMT($P$66/12,(J135-60),($F$1-5)*12,$P$65,0),0))</f>
        <v>0</v>
      </c>
      <c r="N135" s="497">
        <f t="shared" si="65"/>
        <v>0</v>
      </c>
      <c r="O135" s="497">
        <f t="shared" si="52"/>
        <v>1800000</v>
      </c>
      <c r="P135" s="493"/>
      <c r="Q135" s="493"/>
      <c r="S135" s="492">
        <v>131</v>
      </c>
      <c r="T135" s="492">
        <v>11</v>
      </c>
      <c r="U135" s="497">
        <f>IF(('Comparison Calculator'!$E$11-T135)&gt;=0,0,IFERROR(-PPMT($Y$66/12,(S135-60),($F$1-5)*12,$Y$65),0))</f>
        <v>0</v>
      </c>
      <c r="V135" s="497">
        <f>IF(('Comparison Calculator'!$E$11-T135)&gt;=0,$C$1*$Y$66/12,IFERROR(-IPMT($Y$66/12,(S135-60),($F$1-5)*12,$Y$65,0),0))</f>
        <v>0</v>
      </c>
      <c r="W135" s="497">
        <f t="shared" si="66"/>
        <v>0</v>
      </c>
      <c r="X135" s="497">
        <f t="shared" si="53"/>
        <v>1800000</v>
      </c>
      <c r="Y135" s="493"/>
      <c r="Z135" s="493"/>
      <c r="AB135" s="492">
        <v>131</v>
      </c>
      <c r="AC135" s="492">
        <v>11</v>
      </c>
      <c r="AD135" s="497">
        <f>IF(('Comparison Calculator'!$E$11-AC135)&gt;=0,0,IFERROR(-PPMT($AH$66/12,(AB135-60),($F$1-5)*12,$AH$65),0))</f>
        <v>0</v>
      </c>
      <c r="AE135" s="497">
        <f>IF(('Comparison Calculator'!$E$11-AC135)&gt;=0,$C$1*$AH$66/12,IFERROR(-IPMT($AH$66/12,(AB135-60),($F$1-5)*12,$AH$65,0),0))</f>
        <v>0</v>
      </c>
      <c r="AF135" s="497">
        <f t="shared" si="67"/>
        <v>0</v>
      </c>
      <c r="AG135" s="497">
        <f t="shared" si="54"/>
        <v>1800000</v>
      </c>
      <c r="AH135" s="493"/>
      <c r="AI135" s="493"/>
      <c r="AK135" s="492">
        <v>131</v>
      </c>
      <c r="AL135" s="492">
        <v>11</v>
      </c>
      <c r="AM135" s="497">
        <f>IF(('Comparison Calculator'!$E$11-AL135)&gt;=0,0,IFERROR(-PPMT($AQ$66/12,(AK135-60),($F$1-5)*12,$AQ$65),0))</f>
        <v>0</v>
      </c>
      <c r="AN135" s="497">
        <f>IF(('Comparison Calculator'!$E$11-AL135)&gt;=0,$C$1*$AQ$66/12,IFERROR(-IPMT($AQ$66/12,(AK135-60),($F$1-5)*12,$AQ$65,0),0))</f>
        <v>0</v>
      </c>
      <c r="AO135" s="497">
        <f t="shared" si="68"/>
        <v>0</v>
      </c>
      <c r="AP135" s="497">
        <f t="shared" si="55"/>
        <v>1800000</v>
      </c>
      <c r="AQ135" s="493"/>
      <c r="AR135" s="493"/>
      <c r="AT135" s="492">
        <v>131</v>
      </c>
      <c r="AU135" s="492">
        <v>11</v>
      </c>
      <c r="AV135" s="497">
        <f>IF(('Comparison Calculator'!$E$11-AU135)&gt;=0,0,IFERROR(-PPMT($AZ$66/12,(AT135-60),($F$1-5)*12,$AZ$65),0))</f>
        <v>0</v>
      </c>
      <c r="AW135" s="497">
        <f>IF(('Comparison Calculator'!$E$11-AU135)&gt;=0,$C$1*$AZ$66/12,IFERROR(-IPMT($AZ$66/12,(AT135-60),($F$1-5)*12,$AZ$65,0),0))</f>
        <v>0</v>
      </c>
      <c r="AX135" s="497">
        <f t="shared" si="69"/>
        <v>0</v>
      </c>
      <c r="AY135" s="497">
        <f t="shared" si="56"/>
        <v>1800000</v>
      </c>
      <c r="AZ135" s="493"/>
      <c r="BA135" s="493"/>
      <c r="BC135" s="492">
        <v>131</v>
      </c>
      <c r="BD135" s="492">
        <v>11</v>
      </c>
      <c r="BE135" s="497">
        <f>IF(('Comparison Calculator'!$E$11-BD135)&gt;=0,0,IFERROR(-PPMT($BI$66/12,(BC135-60),($F$1-5)*12,$BI$65),0))</f>
        <v>0</v>
      </c>
      <c r="BF135" s="497">
        <f>IF(('Comparison Calculator'!$E$11-BD135)&gt;=0,$C$1*$BI$66/12,IFERROR(-IPMT($BI$66/12,(BC135-60),($F$1-5)*12,$BI$65,0),0))</f>
        <v>0</v>
      </c>
      <c r="BG135" s="497">
        <f t="shared" si="70"/>
        <v>0</v>
      </c>
      <c r="BH135" s="497">
        <f t="shared" si="57"/>
        <v>1800000</v>
      </c>
      <c r="BI135" s="493"/>
      <c r="BJ135" s="493"/>
      <c r="BK135" s="492">
        <v>131</v>
      </c>
      <c r="BL135" s="492">
        <v>11</v>
      </c>
      <c r="BM135" s="497">
        <f>IF(('Comparison Calculator'!$E$11-BL135)&gt;=0,0,IFERROR(-PPMT($BQ$66/12,(BK135-60),($F$1-5)*12,$BQ$65),0))</f>
        <v>0</v>
      </c>
      <c r="BN135" s="497">
        <f>IF(('Comparison Calculator'!$E$11-BL135)&gt;=0,$C$1*$BQ$66/12,IFERROR(-IPMT($BQ$66/12,(BK135-60),($F$1-5)*12,$BQ$65,0),0))</f>
        <v>0</v>
      </c>
      <c r="BO135" s="497">
        <f t="shared" si="71"/>
        <v>0</v>
      </c>
      <c r="BP135" s="497">
        <f t="shared" si="58"/>
        <v>1800000</v>
      </c>
      <c r="BQ135" s="493"/>
      <c r="BR135" s="493"/>
      <c r="BT135" s="492">
        <v>131</v>
      </c>
      <c r="BU135" s="492">
        <v>11</v>
      </c>
      <c r="BV135" s="497">
        <f>IF(('Comparison Calculator'!$E$11-BU135)&gt;=0,0,IFERROR(-PPMT($BZ$66/12,(BT135-60),($F$1-5)*12,$BZ$65),0))</f>
        <v>0</v>
      </c>
      <c r="BW135" s="497">
        <f>IF(('Comparison Calculator'!$E$11-BU135)&gt;=0,$C$1*$BZ$66/12,IFERROR(-IPMT($BZ$66/12,(BT135-60),($F$1-5)*12,$BZ$65,0),0))</f>
        <v>0</v>
      </c>
      <c r="BX135" s="497">
        <f t="shared" si="72"/>
        <v>0</v>
      </c>
      <c r="BY135" s="497">
        <f t="shared" si="59"/>
        <v>1800000</v>
      </c>
      <c r="BZ135" s="493"/>
      <c r="CA135" s="493"/>
      <c r="CC135" s="492">
        <v>131</v>
      </c>
      <c r="CD135" s="492">
        <v>11</v>
      </c>
      <c r="CE135" s="497">
        <f>IF(('Comparison Calculator'!$E$11-CD135)&gt;=0,0,IFERROR(-PPMT($CI$66/12,(CC135-60),($F$1-5)*12,$CI$65),0))</f>
        <v>0</v>
      </c>
      <c r="CF135" s="497">
        <f>IF(('Comparison Calculator'!$E$11-CD135)&gt;=0,$C$1*$CI$66/12,IFERROR(-IPMT($CI$66/12,(CC135-60),($F$1-5)*12,$CI$65,0),0))</f>
        <v>0</v>
      </c>
      <c r="CG135" s="497">
        <f t="shared" si="73"/>
        <v>0</v>
      </c>
      <c r="CH135" s="497">
        <f t="shared" si="60"/>
        <v>1800000</v>
      </c>
      <c r="CI135" s="493"/>
      <c r="CJ135" s="493"/>
      <c r="CL135" s="492">
        <v>131</v>
      </c>
      <c r="CM135" s="492">
        <v>11</v>
      </c>
      <c r="CN135" s="497">
        <f>IF(('Comparison Calculator'!$E$11-CM135)&gt;=0,0,IFERROR(-PPMT($CR$66/12,(CL135-60),($F$1-5)*12,$CR$65),0))</f>
        <v>0</v>
      </c>
      <c r="CO135" s="497">
        <f>IF(('Comparison Calculator'!$E$11-CM135)&gt;=0,$C$1*$CI$66/12,IFERROR(-IPMT($CI$66/12,(CL135-60),($F$1-5)*12,$CI$65,0),0))</f>
        <v>0</v>
      </c>
      <c r="CP135" s="497">
        <f t="shared" si="74"/>
        <v>0</v>
      </c>
      <c r="CQ135" s="497">
        <f t="shared" si="61"/>
        <v>1800000</v>
      </c>
      <c r="CR135" s="493"/>
      <c r="CS135" s="493"/>
      <c r="CU135" s="492">
        <v>131</v>
      </c>
      <c r="CV135" s="492">
        <v>11</v>
      </c>
      <c r="CW135" s="497">
        <f>IF(('Comparison Calculator'!$E$11-CV135)&gt;=0,0,IFERROR(-PPMT($DA$66/12,(CU135-60),($F$1-5)*12,$DA$65),0))</f>
        <v>0</v>
      </c>
      <c r="CX135" s="497">
        <f>IF(('Comparison Calculator'!$E$11-CV135)&gt;=0,$C$1*$DA$66/12,IFERROR(-IPMT($DA$66/12,(CU135-60),($F$1-5)*12,$DA$65,0),0))</f>
        <v>0</v>
      </c>
      <c r="CY135" s="497">
        <f t="shared" si="75"/>
        <v>0</v>
      </c>
      <c r="CZ135" s="497">
        <f t="shared" si="62"/>
        <v>1800000</v>
      </c>
      <c r="DA135" s="493"/>
      <c r="DB135" s="493"/>
      <c r="DD135" s="492">
        <v>131</v>
      </c>
      <c r="DE135" s="492">
        <v>11</v>
      </c>
      <c r="DF135" s="497">
        <f>IF(('Comparison Calculator'!$E$11-DE135)&gt;=0,0,IFERROR(-PPMT($DJ$66/12,(DD135-60),($F$1-5)*12,$DJ$65),0))</f>
        <v>0</v>
      </c>
      <c r="DG135" s="497">
        <f>IF(('Comparison Calculator'!$E$11-DE135)&gt;=0,$C$1*$DJ$66/12,IFERROR(-IPMT($DJ$66/12,(DD135-60),($F$1-5)*12,$DJ$65,0),0))</f>
        <v>0</v>
      </c>
      <c r="DH135" s="497">
        <f t="shared" si="76"/>
        <v>0</v>
      </c>
      <c r="DI135" s="497">
        <f t="shared" si="63"/>
        <v>1800000</v>
      </c>
      <c r="DJ135" s="493"/>
      <c r="DK135" s="493"/>
    </row>
    <row r="136" spans="1:115">
      <c r="A136" s="492">
        <v>132</v>
      </c>
      <c r="B136" s="492">
        <v>11</v>
      </c>
      <c r="C136" s="497">
        <f>IF(('Comparison Calculator'!$E$11-B136)&gt;=0,0,IFERROR(-PPMT($G$66/12,(A136-60),($F$1-5)*12,$G$65),0))</f>
        <v>0</v>
      </c>
      <c r="D136" s="497">
        <f>IF(('Comparison Calculator'!$E$11-B136)&gt;=0,$C$1*$G$66/12,IFERROR(-IPMT($G$66/12,(A136-60),($F$1-5)*12,$G$65,0),0))</f>
        <v>0</v>
      </c>
      <c r="E136" s="497">
        <f t="shared" si="64"/>
        <v>0</v>
      </c>
      <c r="F136" s="497">
        <f t="shared" si="77"/>
        <v>1800000</v>
      </c>
      <c r="G136" s="493"/>
      <c r="H136" s="493"/>
      <c r="I136" s="489"/>
      <c r="J136" s="492">
        <v>132</v>
      </c>
      <c r="K136" s="492">
        <v>11</v>
      </c>
      <c r="L136" s="497">
        <f>IF(('Comparison Calculator'!$E$11-K136)&gt;=0,0,IFERROR(-PPMT($P$66/12,(J136-60),($F$1-5)*12,$P$65),0))</f>
        <v>0</v>
      </c>
      <c r="M136" s="497">
        <f>IF(('Comparison Calculator'!$E$11-K136)&gt;=0,$C$1*$P$66/12,IFERROR(-IPMT($P$66/12,(J136-60),($F$1-5)*12,$P$65,0),0))</f>
        <v>0</v>
      </c>
      <c r="N136" s="497">
        <f t="shared" si="65"/>
        <v>0</v>
      </c>
      <c r="O136" s="497">
        <f t="shared" si="52"/>
        <v>1800000</v>
      </c>
      <c r="P136" s="493"/>
      <c r="Q136" s="493"/>
      <c r="S136" s="492">
        <v>132</v>
      </c>
      <c r="T136" s="492">
        <v>11</v>
      </c>
      <c r="U136" s="497">
        <f>IF(('Comparison Calculator'!$E$11-T136)&gt;=0,0,IFERROR(-PPMT($Y$66/12,(S136-60),($F$1-5)*12,$Y$65),0))</f>
        <v>0</v>
      </c>
      <c r="V136" s="497">
        <f>IF(('Comparison Calculator'!$E$11-T136)&gt;=0,$C$1*$Y$66/12,IFERROR(-IPMT($Y$66/12,(S136-60),($F$1-5)*12,$Y$65,0),0))</f>
        <v>0</v>
      </c>
      <c r="W136" s="497">
        <f t="shared" si="66"/>
        <v>0</v>
      </c>
      <c r="X136" s="497">
        <f t="shared" si="53"/>
        <v>1800000</v>
      </c>
      <c r="Y136" s="493"/>
      <c r="Z136" s="493"/>
      <c r="AB136" s="492">
        <v>132</v>
      </c>
      <c r="AC136" s="492">
        <v>11</v>
      </c>
      <c r="AD136" s="497">
        <f>IF(('Comparison Calculator'!$E$11-AC136)&gt;=0,0,IFERROR(-PPMT($AH$66/12,(AB136-60),($F$1-5)*12,$AH$65),0))</f>
        <v>0</v>
      </c>
      <c r="AE136" s="497">
        <f>IF(('Comparison Calculator'!$E$11-AC136)&gt;=0,$C$1*$AH$66/12,IFERROR(-IPMT($AH$66/12,(AB136-60),($F$1-5)*12,$AH$65,0),0))</f>
        <v>0</v>
      </c>
      <c r="AF136" s="497">
        <f t="shared" si="67"/>
        <v>0</v>
      </c>
      <c r="AG136" s="497">
        <f t="shared" si="54"/>
        <v>1800000</v>
      </c>
      <c r="AH136" s="493"/>
      <c r="AI136" s="493"/>
      <c r="AK136" s="492">
        <v>132</v>
      </c>
      <c r="AL136" s="492">
        <v>11</v>
      </c>
      <c r="AM136" s="497">
        <f>IF(('Comparison Calculator'!$E$11-AL136)&gt;=0,0,IFERROR(-PPMT($AQ$66/12,(AK136-60),($F$1-5)*12,$AQ$65),0))</f>
        <v>0</v>
      </c>
      <c r="AN136" s="497">
        <f>IF(('Comparison Calculator'!$E$11-AL136)&gt;=0,$C$1*$AQ$66/12,IFERROR(-IPMT($AQ$66/12,(AK136-60),($F$1-5)*12,$AQ$65,0),0))</f>
        <v>0</v>
      </c>
      <c r="AO136" s="497">
        <f t="shared" si="68"/>
        <v>0</v>
      </c>
      <c r="AP136" s="497">
        <f t="shared" si="55"/>
        <v>1800000</v>
      </c>
      <c r="AQ136" s="493"/>
      <c r="AR136" s="493"/>
      <c r="AT136" s="492">
        <v>132</v>
      </c>
      <c r="AU136" s="492">
        <v>11</v>
      </c>
      <c r="AV136" s="497">
        <f>IF(('Comparison Calculator'!$E$11-AU136)&gt;=0,0,IFERROR(-PPMT($AZ$66/12,(AT136-60),($F$1-5)*12,$AZ$65),0))</f>
        <v>0</v>
      </c>
      <c r="AW136" s="497">
        <f>IF(('Comparison Calculator'!$E$11-AU136)&gt;=0,$C$1*$AZ$66/12,IFERROR(-IPMT($AZ$66/12,(AT136-60),($F$1-5)*12,$AZ$65,0),0))</f>
        <v>0</v>
      </c>
      <c r="AX136" s="497">
        <f t="shared" si="69"/>
        <v>0</v>
      </c>
      <c r="AY136" s="497">
        <f t="shared" si="56"/>
        <v>1800000</v>
      </c>
      <c r="AZ136" s="493"/>
      <c r="BA136" s="493"/>
      <c r="BC136" s="492">
        <v>132</v>
      </c>
      <c r="BD136" s="492">
        <v>11</v>
      </c>
      <c r="BE136" s="497">
        <f>IF(('Comparison Calculator'!$E$11-BD136)&gt;=0,0,IFERROR(-PPMT($BI$66/12,(BC136-60),($F$1-5)*12,$BI$65),0))</f>
        <v>0</v>
      </c>
      <c r="BF136" s="497">
        <f>IF(('Comparison Calculator'!$E$11-BD136)&gt;=0,$C$1*$BI$66/12,IFERROR(-IPMT($BI$66/12,(BC136-60),($F$1-5)*12,$BI$65,0),0))</f>
        <v>0</v>
      </c>
      <c r="BG136" s="497">
        <f t="shared" si="70"/>
        <v>0</v>
      </c>
      <c r="BH136" s="497">
        <f t="shared" si="57"/>
        <v>1800000</v>
      </c>
      <c r="BI136" s="493"/>
      <c r="BJ136" s="493"/>
      <c r="BK136" s="492">
        <v>132</v>
      </c>
      <c r="BL136" s="492">
        <v>11</v>
      </c>
      <c r="BM136" s="497">
        <f>IF(('Comparison Calculator'!$E$11-BL136)&gt;=0,0,IFERROR(-PPMT($BQ$66/12,(BK136-60),($F$1-5)*12,$BQ$65),0))</f>
        <v>0</v>
      </c>
      <c r="BN136" s="497">
        <f>IF(('Comparison Calculator'!$E$11-BL136)&gt;=0,$C$1*$BQ$66/12,IFERROR(-IPMT($BQ$66/12,(BK136-60),($F$1-5)*12,$BQ$65,0),0))</f>
        <v>0</v>
      </c>
      <c r="BO136" s="497">
        <f t="shared" si="71"/>
        <v>0</v>
      </c>
      <c r="BP136" s="497">
        <f t="shared" si="58"/>
        <v>1800000</v>
      </c>
      <c r="BQ136" s="493"/>
      <c r="BR136" s="493"/>
      <c r="BT136" s="492">
        <v>132</v>
      </c>
      <c r="BU136" s="492">
        <v>11</v>
      </c>
      <c r="BV136" s="497">
        <f>IF(('Comparison Calculator'!$E$11-BU136)&gt;=0,0,IFERROR(-PPMT($BZ$66/12,(BT136-60),($F$1-5)*12,$BZ$65),0))</f>
        <v>0</v>
      </c>
      <c r="BW136" s="497">
        <f>IF(('Comparison Calculator'!$E$11-BU136)&gt;=0,$C$1*$BZ$66/12,IFERROR(-IPMT($BZ$66/12,(BT136-60),($F$1-5)*12,$BZ$65,0),0))</f>
        <v>0</v>
      </c>
      <c r="BX136" s="497">
        <f t="shared" si="72"/>
        <v>0</v>
      </c>
      <c r="BY136" s="497">
        <f t="shared" si="59"/>
        <v>1800000</v>
      </c>
      <c r="BZ136" s="493"/>
      <c r="CA136" s="493"/>
      <c r="CC136" s="492">
        <v>132</v>
      </c>
      <c r="CD136" s="492">
        <v>11</v>
      </c>
      <c r="CE136" s="497">
        <f>IF(('Comparison Calculator'!$E$11-CD136)&gt;=0,0,IFERROR(-PPMT($CI$66/12,(CC136-60),($F$1-5)*12,$CI$65),0))</f>
        <v>0</v>
      </c>
      <c r="CF136" s="497">
        <f>IF(('Comparison Calculator'!$E$11-CD136)&gt;=0,$C$1*$CI$66/12,IFERROR(-IPMT($CI$66/12,(CC136-60),($F$1-5)*12,$CI$65,0),0))</f>
        <v>0</v>
      </c>
      <c r="CG136" s="497">
        <f t="shared" si="73"/>
        <v>0</v>
      </c>
      <c r="CH136" s="497">
        <f t="shared" si="60"/>
        <v>1800000</v>
      </c>
      <c r="CI136" s="493"/>
      <c r="CJ136" s="493"/>
      <c r="CL136" s="492">
        <v>132</v>
      </c>
      <c r="CM136" s="492">
        <v>11</v>
      </c>
      <c r="CN136" s="497">
        <f>IF(('Comparison Calculator'!$E$11-CM136)&gt;=0,0,IFERROR(-PPMT($CR$66/12,(CL136-60),($F$1-5)*12,$CR$65),0))</f>
        <v>0</v>
      </c>
      <c r="CO136" s="497">
        <f>IF(('Comparison Calculator'!$E$11-CM136)&gt;=0,$C$1*$CI$66/12,IFERROR(-IPMT($CI$66/12,(CL136-60),($F$1-5)*12,$CI$65,0),0))</f>
        <v>0</v>
      </c>
      <c r="CP136" s="497">
        <f t="shared" si="74"/>
        <v>0</v>
      </c>
      <c r="CQ136" s="497">
        <f t="shared" si="61"/>
        <v>1800000</v>
      </c>
      <c r="CR136" s="493"/>
      <c r="CS136" s="493"/>
      <c r="CU136" s="492">
        <v>132</v>
      </c>
      <c r="CV136" s="492">
        <v>11</v>
      </c>
      <c r="CW136" s="497">
        <f>IF(('Comparison Calculator'!$E$11-CV136)&gt;=0,0,IFERROR(-PPMT($DA$66/12,(CU136-60),($F$1-5)*12,$DA$65),0))</f>
        <v>0</v>
      </c>
      <c r="CX136" s="497">
        <f>IF(('Comparison Calculator'!$E$11-CV136)&gt;=0,$C$1*$DA$66/12,IFERROR(-IPMT($DA$66/12,(CU136-60),($F$1-5)*12,$DA$65,0),0))</f>
        <v>0</v>
      </c>
      <c r="CY136" s="497">
        <f t="shared" si="75"/>
        <v>0</v>
      </c>
      <c r="CZ136" s="497">
        <f t="shared" si="62"/>
        <v>1800000</v>
      </c>
      <c r="DA136" s="493"/>
      <c r="DB136" s="493"/>
      <c r="DD136" s="492">
        <v>132</v>
      </c>
      <c r="DE136" s="492">
        <v>11</v>
      </c>
      <c r="DF136" s="497">
        <f>IF(('Comparison Calculator'!$E$11-DE136)&gt;=0,0,IFERROR(-PPMT($DJ$66/12,(DD136-60),($F$1-5)*12,$DJ$65),0))</f>
        <v>0</v>
      </c>
      <c r="DG136" s="497">
        <f>IF(('Comparison Calculator'!$E$11-DE136)&gt;=0,$C$1*$DJ$66/12,IFERROR(-IPMT($DJ$66/12,(DD136-60),($F$1-5)*12,$DJ$65,0),0))</f>
        <v>0</v>
      </c>
      <c r="DH136" s="497">
        <f t="shared" si="76"/>
        <v>0</v>
      </c>
      <c r="DI136" s="497">
        <f t="shared" si="63"/>
        <v>1800000</v>
      </c>
      <c r="DJ136" s="493"/>
      <c r="DK136" s="493"/>
    </row>
    <row r="137" spans="1:115">
      <c r="A137" s="492">
        <v>133</v>
      </c>
      <c r="B137" s="492">
        <v>12</v>
      </c>
      <c r="C137" s="497">
        <f>IF(('Comparison Calculator'!$E$11-B137)&gt;=0,0,IFERROR(-PPMT($G$66/12,(A137-60),($F$1-5)*12,$G$65),0))</f>
        <v>0</v>
      </c>
      <c r="D137" s="497">
        <f>IF(('Comparison Calculator'!$E$11-B137)&gt;=0,$C$1*$G$66/12,IFERROR(-IPMT($G$66/12,(A137-60),($F$1-5)*12,$G$65,0),0))</f>
        <v>0</v>
      </c>
      <c r="E137" s="497">
        <f t="shared" si="64"/>
        <v>0</v>
      </c>
      <c r="F137" s="497">
        <f t="shared" si="77"/>
        <v>1800000</v>
      </c>
      <c r="G137" s="493"/>
      <c r="H137" s="493"/>
      <c r="I137" s="489"/>
      <c r="J137" s="492">
        <v>133</v>
      </c>
      <c r="K137" s="492">
        <v>12</v>
      </c>
      <c r="L137" s="497">
        <f>IF(('Comparison Calculator'!$E$11-K137)&gt;=0,0,IFERROR(-PPMT($P$66/12,(J137-60),($F$1-5)*12,$P$65),0))</f>
        <v>0</v>
      </c>
      <c r="M137" s="497">
        <f>IF(('Comparison Calculator'!$E$11-K137)&gt;=0,$C$1*$P$66/12,IFERROR(-IPMT($P$66/12,(J137-60),($F$1-5)*12,$P$65,0),0))</f>
        <v>0</v>
      </c>
      <c r="N137" s="497">
        <f t="shared" si="65"/>
        <v>0</v>
      </c>
      <c r="O137" s="497">
        <f t="shared" si="52"/>
        <v>1800000</v>
      </c>
      <c r="P137" s="493"/>
      <c r="Q137" s="493"/>
      <c r="S137" s="492">
        <v>133</v>
      </c>
      <c r="T137" s="492">
        <v>12</v>
      </c>
      <c r="U137" s="497">
        <f>IF(('Comparison Calculator'!$E$11-T137)&gt;=0,0,IFERROR(-PPMT($Y$66/12,(S137-60),($F$1-5)*12,$Y$65),0))</f>
        <v>0</v>
      </c>
      <c r="V137" s="497">
        <f>IF(('Comparison Calculator'!$E$11-T137)&gt;=0,$C$1*$Y$66/12,IFERROR(-IPMT($Y$66/12,(S137-60),($F$1-5)*12,$Y$65,0),0))</f>
        <v>0</v>
      </c>
      <c r="W137" s="497">
        <f t="shared" si="66"/>
        <v>0</v>
      </c>
      <c r="X137" s="497">
        <f t="shared" si="53"/>
        <v>1800000</v>
      </c>
      <c r="Y137" s="493"/>
      <c r="Z137" s="493"/>
      <c r="AB137" s="492">
        <v>133</v>
      </c>
      <c r="AC137" s="492">
        <v>12</v>
      </c>
      <c r="AD137" s="497">
        <f>IF(('Comparison Calculator'!$E$11-AC137)&gt;=0,0,IFERROR(-PPMT($AH$66/12,(AB137-60),($F$1-5)*12,$AH$65),0))</f>
        <v>0</v>
      </c>
      <c r="AE137" s="497">
        <f>IF(('Comparison Calculator'!$E$11-AC137)&gt;=0,$C$1*$AH$66/12,IFERROR(-IPMT($AH$66/12,(AB137-60),($F$1-5)*12,$AH$65,0),0))</f>
        <v>0</v>
      </c>
      <c r="AF137" s="497">
        <f t="shared" si="67"/>
        <v>0</v>
      </c>
      <c r="AG137" s="497">
        <f t="shared" si="54"/>
        <v>1800000</v>
      </c>
      <c r="AH137" s="493"/>
      <c r="AI137" s="493"/>
      <c r="AK137" s="492">
        <v>133</v>
      </c>
      <c r="AL137" s="492">
        <v>12</v>
      </c>
      <c r="AM137" s="497">
        <f>IF(('Comparison Calculator'!$E$11-AL137)&gt;=0,0,IFERROR(-PPMT($AQ$66/12,(AK137-60),($F$1-5)*12,$AQ$65),0))</f>
        <v>0</v>
      </c>
      <c r="AN137" s="497">
        <f>IF(('Comparison Calculator'!$E$11-AL137)&gt;=0,$C$1*$AQ$66/12,IFERROR(-IPMT($AQ$66/12,(AK137-60),($F$1-5)*12,$AQ$65,0),0))</f>
        <v>0</v>
      </c>
      <c r="AO137" s="497">
        <f t="shared" si="68"/>
        <v>0</v>
      </c>
      <c r="AP137" s="497">
        <f t="shared" si="55"/>
        <v>1800000</v>
      </c>
      <c r="AQ137" s="493"/>
      <c r="AR137" s="493"/>
      <c r="AT137" s="492">
        <v>133</v>
      </c>
      <c r="AU137" s="492">
        <v>12</v>
      </c>
      <c r="AV137" s="497">
        <f>IF(('Comparison Calculator'!$E$11-AU137)&gt;=0,0,IFERROR(-PPMT($AZ$66/12,(AT137-60),($F$1-5)*12,$AZ$65),0))</f>
        <v>0</v>
      </c>
      <c r="AW137" s="497">
        <f>IF(('Comparison Calculator'!$E$11-AU137)&gt;=0,$C$1*$AZ$66/12,IFERROR(-IPMT($AZ$66/12,(AT137-60),($F$1-5)*12,$AZ$65,0),0))</f>
        <v>0</v>
      </c>
      <c r="AX137" s="497">
        <f t="shared" si="69"/>
        <v>0</v>
      </c>
      <c r="AY137" s="497">
        <f t="shared" si="56"/>
        <v>1800000</v>
      </c>
      <c r="AZ137" s="493"/>
      <c r="BA137" s="493"/>
      <c r="BC137" s="492">
        <v>133</v>
      </c>
      <c r="BD137" s="492">
        <v>12</v>
      </c>
      <c r="BE137" s="497">
        <f>IF(('Comparison Calculator'!$E$11-BD137)&gt;=0,0,IFERROR(-PPMT($BI$66/12,(BC137-60),($F$1-5)*12,$BI$65),0))</f>
        <v>0</v>
      </c>
      <c r="BF137" s="497">
        <f>IF(('Comparison Calculator'!$E$11-BD137)&gt;=0,$C$1*$BI$66/12,IFERROR(-IPMT($BI$66/12,(BC137-60),($F$1-5)*12,$BI$65,0),0))</f>
        <v>0</v>
      </c>
      <c r="BG137" s="497">
        <f t="shared" si="70"/>
        <v>0</v>
      </c>
      <c r="BH137" s="497">
        <f t="shared" si="57"/>
        <v>1800000</v>
      </c>
      <c r="BI137" s="493"/>
      <c r="BJ137" s="493"/>
      <c r="BK137" s="492">
        <v>133</v>
      </c>
      <c r="BL137" s="492">
        <v>12</v>
      </c>
      <c r="BM137" s="497">
        <f>IF(('Comparison Calculator'!$E$11-BL137)&gt;=0,0,IFERROR(-PPMT($BQ$66/12,(BK137-60),($F$1-5)*12,$BQ$65),0))</f>
        <v>0</v>
      </c>
      <c r="BN137" s="497">
        <f>IF(('Comparison Calculator'!$E$11-BL137)&gt;=0,$C$1*$BQ$66/12,IFERROR(-IPMT($BQ$66/12,(BK137-60),($F$1-5)*12,$BQ$65,0),0))</f>
        <v>0</v>
      </c>
      <c r="BO137" s="497">
        <f t="shared" si="71"/>
        <v>0</v>
      </c>
      <c r="BP137" s="497">
        <f t="shared" si="58"/>
        <v>1800000</v>
      </c>
      <c r="BQ137" s="493"/>
      <c r="BR137" s="493"/>
      <c r="BT137" s="492">
        <v>133</v>
      </c>
      <c r="BU137" s="492">
        <v>12</v>
      </c>
      <c r="BV137" s="497">
        <f>IF(('Comparison Calculator'!$E$11-BU137)&gt;=0,0,IFERROR(-PPMT($BZ$66/12,(BT137-60),($F$1-5)*12,$BZ$65),0))</f>
        <v>0</v>
      </c>
      <c r="BW137" s="497">
        <f>IF(('Comparison Calculator'!$E$11-BU137)&gt;=0,$C$1*$BZ$66/12,IFERROR(-IPMT($BZ$66/12,(BT137-60),($F$1-5)*12,$BZ$65,0),0))</f>
        <v>0</v>
      </c>
      <c r="BX137" s="497">
        <f t="shared" si="72"/>
        <v>0</v>
      </c>
      <c r="BY137" s="497">
        <f t="shared" si="59"/>
        <v>1800000</v>
      </c>
      <c r="BZ137" s="493"/>
      <c r="CA137" s="493"/>
      <c r="CC137" s="492">
        <v>133</v>
      </c>
      <c r="CD137" s="492">
        <v>12</v>
      </c>
      <c r="CE137" s="497">
        <f>IF(('Comparison Calculator'!$E$11-CD137)&gt;=0,0,IFERROR(-PPMT($CI$66/12,(CC137-60),($F$1-5)*12,$CI$65),0))</f>
        <v>0</v>
      </c>
      <c r="CF137" s="497">
        <f>IF(('Comparison Calculator'!$E$11-CD137)&gt;=0,$C$1*$CI$66/12,IFERROR(-IPMT($CI$66/12,(CC137-60),($F$1-5)*12,$CI$65,0),0))</f>
        <v>0</v>
      </c>
      <c r="CG137" s="497">
        <f t="shared" si="73"/>
        <v>0</v>
      </c>
      <c r="CH137" s="497">
        <f t="shared" si="60"/>
        <v>1800000</v>
      </c>
      <c r="CI137" s="493"/>
      <c r="CJ137" s="493"/>
      <c r="CL137" s="492">
        <v>133</v>
      </c>
      <c r="CM137" s="492">
        <v>12</v>
      </c>
      <c r="CN137" s="497">
        <f>IF(('Comparison Calculator'!$E$11-CM137)&gt;=0,0,IFERROR(-PPMT($CR$66/12,(CL137-60),($F$1-5)*12,$CR$65),0))</f>
        <v>0</v>
      </c>
      <c r="CO137" s="497">
        <f>IF(('Comparison Calculator'!$E$11-CM137)&gt;=0,$C$1*$CI$66/12,IFERROR(-IPMT($CI$66/12,(CL137-60),($F$1-5)*12,$CI$65,0),0))</f>
        <v>0</v>
      </c>
      <c r="CP137" s="497">
        <f t="shared" si="74"/>
        <v>0</v>
      </c>
      <c r="CQ137" s="497">
        <f t="shared" si="61"/>
        <v>1800000</v>
      </c>
      <c r="CR137" s="493"/>
      <c r="CS137" s="493"/>
      <c r="CU137" s="492">
        <v>133</v>
      </c>
      <c r="CV137" s="492">
        <v>12</v>
      </c>
      <c r="CW137" s="497">
        <f>IF(('Comparison Calculator'!$E$11-CV137)&gt;=0,0,IFERROR(-PPMT($DA$66/12,(CU137-60),($F$1-5)*12,$DA$65),0))</f>
        <v>0</v>
      </c>
      <c r="CX137" s="497">
        <f>IF(('Comparison Calculator'!$E$11-CV137)&gt;=0,$C$1*$DA$66/12,IFERROR(-IPMT($DA$66/12,(CU137-60),($F$1-5)*12,$DA$65,0),0))</f>
        <v>0</v>
      </c>
      <c r="CY137" s="497">
        <f t="shared" si="75"/>
        <v>0</v>
      </c>
      <c r="CZ137" s="497">
        <f t="shared" si="62"/>
        <v>1800000</v>
      </c>
      <c r="DA137" s="493"/>
      <c r="DB137" s="493"/>
      <c r="DD137" s="492">
        <v>133</v>
      </c>
      <c r="DE137" s="492">
        <v>12</v>
      </c>
      <c r="DF137" s="497">
        <f>IF(('Comparison Calculator'!$E$11-DE137)&gt;=0,0,IFERROR(-PPMT($DJ$66/12,(DD137-60),($F$1-5)*12,$DJ$65),0))</f>
        <v>0</v>
      </c>
      <c r="DG137" s="497">
        <f>IF(('Comparison Calculator'!$E$11-DE137)&gt;=0,$C$1*$DJ$66/12,IFERROR(-IPMT($DJ$66/12,(DD137-60),($F$1-5)*12,$DJ$65,0),0))</f>
        <v>0</v>
      </c>
      <c r="DH137" s="497">
        <f t="shared" si="76"/>
        <v>0</v>
      </c>
      <c r="DI137" s="497">
        <f t="shared" si="63"/>
        <v>1800000</v>
      </c>
      <c r="DJ137" s="493"/>
      <c r="DK137" s="493"/>
    </row>
    <row r="138" spans="1:115">
      <c r="A138" s="492">
        <v>134</v>
      </c>
      <c r="B138" s="492">
        <v>12</v>
      </c>
      <c r="C138" s="497">
        <f>IF(('Comparison Calculator'!$E$11-B138)&gt;=0,0,IFERROR(-PPMT($G$66/12,(A138-60),($F$1-5)*12,$G$65),0))</f>
        <v>0</v>
      </c>
      <c r="D138" s="497">
        <f>IF(('Comparison Calculator'!$E$11-B138)&gt;=0,$C$1*$G$66/12,IFERROR(-IPMT($G$66/12,(A138-60),($F$1-5)*12,$G$65,0),0))</f>
        <v>0</v>
      </c>
      <c r="E138" s="497">
        <f t="shared" si="64"/>
        <v>0</v>
      </c>
      <c r="F138" s="497">
        <f t="shared" si="77"/>
        <v>1800000</v>
      </c>
      <c r="G138" s="493"/>
      <c r="H138" s="493"/>
      <c r="I138" s="489"/>
      <c r="J138" s="492">
        <v>134</v>
      </c>
      <c r="K138" s="492">
        <v>12</v>
      </c>
      <c r="L138" s="497">
        <f>IF(('Comparison Calculator'!$E$11-K138)&gt;=0,0,IFERROR(-PPMT($P$66/12,(J138-60),($F$1-5)*12,$P$65),0))</f>
        <v>0</v>
      </c>
      <c r="M138" s="497">
        <f>IF(('Comparison Calculator'!$E$11-K138)&gt;=0,$C$1*$P$66/12,IFERROR(-IPMT($P$66/12,(J138-60),($F$1-5)*12,$P$65,0),0))</f>
        <v>0</v>
      </c>
      <c r="N138" s="497">
        <f t="shared" si="65"/>
        <v>0</v>
      </c>
      <c r="O138" s="497">
        <f t="shared" si="52"/>
        <v>1800000</v>
      </c>
      <c r="P138" s="493"/>
      <c r="Q138" s="493"/>
      <c r="S138" s="492">
        <v>134</v>
      </c>
      <c r="T138" s="492">
        <v>12</v>
      </c>
      <c r="U138" s="497">
        <f>IF(('Comparison Calculator'!$E$11-T138)&gt;=0,0,IFERROR(-PPMT($Y$66/12,(S138-60),($F$1-5)*12,$Y$65),0))</f>
        <v>0</v>
      </c>
      <c r="V138" s="497">
        <f>IF(('Comparison Calculator'!$E$11-T138)&gt;=0,$C$1*$Y$66/12,IFERROR(-IPMT($Y$66/12,(S138-60),($F$1-5)*12,$Y$65,0),0))</f>
        <v>0</v>
      </c>
      <c r="W138" s="497">
        <f t="shared" si="66"/>
        <v>0</v>
      </c>
      <c r="X138" s="497">
        <f t="shared" si="53"/>
        <v>1800000</v>
      </c>
      <c r="Y138" s="493"/>
      <c r="Z138" s="493"/>
      <c r="AB138" s="492">
        <v>134</v>
      </c>
      <c r="AC138" s="492">
        <v>12</v>
      </c>
      <c r="AD138" s="497">
        <f>IF(('Comparison Calculator'!$E$11-AC138)&gt;=0,0,IFERROR(-PPMT($AH$66/12,(AB138-60),($F$1-5)*12,$AH$65),0))</f>
        <v>0</v>
      </c>
      <c r="AE138" s="497">
        <f>IF(('Comparison Calculator'!$E$11-AC138)&gt;=0,$C$1*$AH$66/12,IFERROR(-IPMT($AH$66/12,(AB138-60),($F$1-5)*12,$AH$65,0),0))</f>
        <v>0</v>
      </c>
      <c r="AF138" s="497">
        <f t="shared" si="67"/>
        <v>0</v>
      </c>
      <c r="AG138" s="497">
        <f t="shared" si="54"/>
        <v>1800000</v>
      </c>
      <c r="AH138" s="493"/>
      <c r="AI138" s="493"/>
      <c r="AK138" s="492">
        <v>134</v>
      </c>
      <c r="AL138" s="492">
        <v>12</v>
      </c>
      <c r="AM138" s="497">
        <f>IF(('Comparison Calculator'!$E$11-AL138)&gt;=0,0,IFERROR(-PPMT($AQ$66/12,(AK138-60),($F$1-5)*12,$AQ$65),0))</f>
        <v>0</v>
      </c>
      <c r="AN138" s="497">
        <f>IF(('Comparison Calculator'!$E$11-AL138)&gt;=0,$C$1*$AQ$66/12,IFERROR(-IPMT($AQ$66/12,(AK138-60),($F$1-5)*12,$AQ$65,0),0))</f>
        <v>0</v>
      </c>
      <c r="AO138" s="497">
        <f t="shared" si="68"/>
        <v>0</v>
      </c>
      <c r="AP138" s="497">
        <f t="shared" si="55"/>
        <v>1800000</v>
      </c>
      <c r="AQ138" s="493"/>
      <c r="AR138" s="493"/>
      <c r="AT138" s="492">
        <v>134</v>
      </c>
      <c r="AU138" s="492">
        <v>12</v>
      </c>
      <c r="AV138" s="497">
        <f>IF(('Comparison Calculator'!$E$11-AU138)&gt;=0,0,IFERROR(-PPMT($AZ$66/12,(AT138-60),($F$1-5)*12,$AZ$65),0))</f>
        <v>0</v>
      </c>
      <c r="AW138" s="497">
        <f>IF(('Comparison Calculator'!$E$11-AU138)&gt;=0,$C$1*$AZ$66/12,IFERROR(-IPMT($AZ$66/12,(AT138-60),($F$1-5)*12,$AZ$65,0),0))</f>
        <v>0</v>
      </c>
      <c r="AX138" s="497">
        <f t="shared" si="69"/>
        <v>0</v>
      </c>
      <c r="AY138" s="497">
        <f t="shared" si="56"/>
        <v>1800000</v>
      </c>
      <c r="AZ138" s="493"/>
      <c r="BA138" s="493"/>
      <c r="BC138" s="492">
        <v>134</v>
      </c>
      <c r="BD138" s="492">
        <v>12</v>
      </c>
      <c r="BE138" s="497">
        <f>IF(('Comparison Calculator'!$E$11-BD138)&gt;=0,0,IFERROR(-PPMT($BI$66/12,(BC138-60),($F$1-5)*12,$BI$65),0))</f>
        <v>0</v>
      </c>
      <c r="BF138" s="497">
        <f>IF(('Comparison Calculator'!$E$11-BD138)&gt;=0,$C$1*$BI$66/12,IFERROR(-IPMT($BI$66/12,(BC138-60),($F$1-5)*12,$BI$65,0),0))</f>
        <v>0</v>
      </c>
      <c r="BG138" s="497">
        <f t="shared" si="70"/>
        <v>0</v>
      </c>
      <c r="BH138" s="497">
        <f t="shared" si="57"/>
        <v>1800000</v>
      </c>
      <c r="BI138" s="493"/>
      <c r="BJ138" s="493"/>
      <c r="BK138" s="492">
        <v>134</v>
      </c>
      <c r="BL138" s="492">
        <v>12</v>
      </c>
      <c r="BM138" s="497">
        <f>IF(('Comparison Calculator'!$E$11-BL138)&gt;=0,0,IFERROR(-PPMT($BQ$66/12,(BK138-60),($F$1-5)*12,$BQ$65),0))</f>
        <v>0</v>
      </c>
      <c r="BN138" s="497">
        <f>IF(('Comparison Calculator'!$E$11-BL138)&gt;=0,$C$1*$BQ$66/12,IFERROR(-IPMT($BQ$66/12,(BK138-60),($F$1-5)*12,$BQ$65,0),0))</f>
        <v>0</v>
      </c>
      <c r="BO138" s="497">
        <f t="shared" si="71"/>
        <v>0</v>
      </c>
      <c r="BP138" s="497">
        <f t="shared" si="58"/>
        <v>1800000</v>
      </c>
      <c r="BQ138" s="493"/>
      <c r="BR138" s="493"/>
      <c r="BT138" s="492">
        <v>134</v>
      </c>
      <c r="BU138" s="492">
        <v>12</v>
      </c>
      <c r="BV138" s="497">
        <f>IF(('Comparison Calculator'!$E$11-BU138)&gt;=0,0,IFERROR(-PPMT($BZ$66/12,(BT138-60),($F$1-5)*12,$BZ$65),0))</f>
        <v>0</v>
      </c>
      <c r="BW138" s="497">
        <f>IF(('Comparison Calculator'!$E$11-BU138)&gt;=0,$C$1*$BZ$66/12,IFERROR(-IPMT($BZ$66/12,(BT138-60),($F$1-5)*12,$BZ$65,0),0))</f>
        <v>0</v>
      </c>
      <c r="BX138" s="497">
        <f t="shared" si="72"/>
        <v>0</v>
      </c>
      <c r="BY138" s="497">
        <f t="shared" si="59"/>
        <v>1800000</v>
      </c>
      <c r="BZ138" s="493"/>
      <c r="CA138" s="493"/>
      <c r="CC138" s="492">
        <v>134</v>
      </c>
      <c r="CD138" s="492">
        <v>12</v>
      </c>
      <c r="CE138" s="497">
        <f>IF(('Comparison Calculator'!$E$11-CD138)&gt;=0,0,IFERROR(-PPMT($CI$66/12,(CC138-60),($F$1-5)*12,$CI$65),0))</f>
        <v>0</v>
      </c>
      <c r="CF138" s="497">
        <f>IF(('Comparison Calculator'!$E$11-CD138)&gt;=0,$C$1*$CI$66/12,IFERROR(-IPMT($CI$66/12,(CC138-60),($F$1-5)*12,$CI$65,0),0))</f>
        <v>0</v>
      </c>
      <c r="CG138" s="497">
        <f t="shared" si="73"/>
        <v>0</v>
      </c>
      <c r="CH138" s="497">
        <f t="shared" si="60"/>
        <v>1800000</v>
      </c>
      <c r="CI138" s="493"/>
      <c r="CJ138" s="493"/>
      <c r="CL138" s="492">
        <v>134</v>
      </c>
      <c r="CM138" s="492">
        <v>12</v>
      </c>
      <c r="CN138" s="497">
        <f>IF(('Comparison Calculator'!$E$11-CM138)&gt;=0,0,IFERROR(-PPMT($CR$66/12,(CL138-60),($F$1-5)*12,$CR$65),0))</f>
        <v>0</v>
      </c>
      <c r="CO138" s="497">
        <f>IF(('Comparison Calculator'!$E$11-CM138)&gt;=0,$C$1*$CI$66/12,IFERROR(-IPMT($CI$66/12,(CL138-60),($F$1-5)*12,$CI$65,0),0))</f>
        <v>0</v>
      </c>
      <c r="CP138" s="497">
        <f t="shared" si="74"/>
        <v>0</v>
      </c>
      <c r="CQ138" s="497">
        <f t="shared" si="61"/>
        <v>1800000</v>
      </c>
      <c r="CR138" s="493"/>
      <c r="CS138" s="493"/>
      <c r="CU138" s="492">
        <v>134</v>
      </c>
      <c r="CV138" s="492">
        <v>12</v>
      </c>
      <c r="CW138" s="497">
        <f>IF(('Comparison Calculator'!$E$11-CV138)&gt;=0,0,IFERROR(-PPMT($DA$66/12,(CU138-60),($F$1-5)*12,$DA$65),0))</f>
        <v>0</v>
      </c>
      <c r="CX138" s="497">
        <f>IF(('Comparison Calculator'!$E$11-CV138)&gt;=0,$C$1*$DA$66/12,IFERROR(-IPMT($DA$66/12,(CU138-60),($F$1-5)*12,$DA$65,0),0))</f>
        <v>0</v>
      </c>
      <c r="CY138" s="497">
        <f t="shared" si="75"/>
        <v>0</v>
      </c>
      <c r="CZ138" s="497">
        <f t="shared" si="62"/>
        <v>1800000</v>
      </c>
      <c r="DA138" s="493"/>
      <c r="DB138" s="493"/>
      <c r="DD138" s="492">
        <v>134</v>
      </c>
      <c r="DE138" s="492">
        <v>12</v>
      </c>
      <c r="DF138" s="497">
        <f>IF(('Comparison Calculator'!$E$11-DE138)&gt;=0,0,IFERROR(-PPMT($DJ$66/12,(DD138-60),($F$1-5)*12,$DJ$65),0))</f>
        <v>0</v>
      </c>
      <c r="DG138" s="497">
        <f>IF(('Comparison Calculator'!$E$11-DE138)&gt;=0,$C$1*$DJ$66/12,IFERROR(-IPMT($DJ$66/12,(DD138-60),($F$1-5)*12,$DJ$65,0),0))</f>
        <v>0</v>
      </c>
      <c r="DH138" s="497">
        <f t="shared" si="76"/>
        <v>0</v>
      </c>
      <c r="DI138" s="497">
        <f t="shared" si="63"/>
        <v>1800000</v>
      </c>
      <c r="DJ138" s="493"/>
      <c r="DK138" s="493"/>
    </row>
    <row r="139" spans="1:115">
      <c r="A139" s="492">
        <v>135</v>
      </c>
      <c r="B139" s="492">
        <v>12</v>
      </c>
      <c r="C139" s="497">
        <f>IF(('Comparison Calculator'!$E$11-B139)&gt;=0,0,IFERROR(-PPMT($G$66/12,(A139-60),($F$1-5)*12,$G$65),0))</f>
        <v>0</v>
      </c>
      <c r="D139" s="497">
        <f>IF(('Comparison Calculator'!$E$11-B139)&gt;=0,$C$1*$G$66/12,IFERROR(-IPMT($G$66/12,(A139-60),($F$1-5)*12,$G$65,0),0))</f>
        <v>0</v>
      </c>
      <c r="E139" s="497">
        <f t="shared" si="64"/>
        <v>0</v>
      </c>
      <c r="F139" s="497">
        <f t="shared" si="77"/>
        <v>1800000</v>
      </c>
      <c r="G139" s="493"/>
      <c r="H139" s="493"/>
      <c r="I139" s="489"/>
      <c r="J139" s="492">
        <v>135</v>
      </c>
      <c r="K139" s="492">
        <v>12</v>
      </c>
      <c r="L139" s="497">
        <f>IF(('Comparison Calculator'!$E$11-K139)&gt;=0,0,IFERROR(-PPMT($P$66/12,(J139-60),($F$1-5)*12,$P$65),0))</f>
        <v>0</v>
      </c>
      <c r="M139" s="497">
        <f>IF(('Comparison Calculator'!$E$11-K139)&gt;=0,$C$1*$P$66/12,IFERROR(-IPMT($P$66/12,(J139-60),($F$1-5)*12,$P$65,0),0))</f>
        <v>0</v>
      </c>
      <c r="N139" s="497">
        <f t="shared" si="65"/>
        <v>0</v>
      </c>
      <c r="O139" s="497">
        <f t="shared" si="52"/>
        <v>1800000</v>
      </c>
      <c r="P139" s="493"/>
      <c r="Q139" s="493"/>
      <c r="S139" s="492">
        <v>135</v>
      </c>
      <c r="T139" s="492">
        <v>12</v>
      </c>
      <c r="U139" s="497">
        <f>IF(('Comparison Calculator'!$E$11-T139)&gt;=0,0,IFERROR(-PPMT($Y$66/12,(S139-60),($F$1-5)*12,$Y$65),0))</f>
        <v>0</v>
      </c>
      <c r="V139" s="497">
        <f>IF(('Comparison Calculator'!$E$11-T139)&gt;=0,$C$1*$Y$66/12,IFERROR(-IPMT($Y$66/12,(S139-60),($F$1-5)*12,$Y$65,0),0))</f>
        <v>0</v>
      </c>
      <c r="W139" s="497">
        <f t="shared" si="66"/>
        <v>0</v>
      </c>
      <c r="X139" s="497">
        <f t="shared" si="53"/>
        <v>1800000</v>
      </c>
      <c r="Y139" s="493"/>
      <c r="Z139" s="493"/>
      <c r="AB139" s="492">
        <v>135</v>
      </c>
      <c r="AC139" s="492">
        <v>12</v>
      </c>
      <c r="AD139" s="497">
        <f>IF(('Comparison Calculator'!$E$11-AC139)&gt;=0,0,IFERROR(-PPMT($AH$66/12,(AB139-60),($F$1-5)*12,$AH$65),0))</f>
        <v>0</v>
      </c>
      <c r="AE139" s="497">
        <f>IF(('Comparison Calculator'!$E$11-AC139)&gt;=0,$C$1*$AH$66/12,IFERROR(-IPMT($AH$66/12,(AB139-60),($F$1-5)*12,$AH$65,0),0))</f>
        <v>0</v>
      </c>
      <c r="AF139" s="497">
        <f t="shared" si="67"/>
        <v>0</v>
      </c>
      <c r="AG139" s="497">
        <f t="shared" si="54"/>
        <v>1800000</v>
      </c>
      <c r="AH139" s="493"/>
      <c r="AI139" s="493"/>
      <c r="AK139" s="492">
        <v>135</v>
      </c>
      <c r="AL139" s="492">
        <v>12</v>
      </c>
      <c r="AM139" s="497">
        <f>IF(('Comparison Calculator'!$E$11-AL139)&gt;=0,0,IFERROR(-PPMT($AQ$66/12,(AK139-60),($F$1-5)*12,$AQ$65),0))</f>
        <v>0</v>
      </c>
      <c r="AN139" s="497">
        <f>IF(('Comparison Calculator'!$E$11-AL139)&gt;=0,$C$1*$AQ$66/12,IFERROR(-IPMT($AQ$66/12,(AK139-60),($F$1-5)*12,$AQ$65,0),0))</f>
        <v>0</v>
      </c>
      <c r="AO139" s="497">
        <f t="shared" si="68"/>
        <v>0</v>
      </c>
      <c r="AP139" s="497">
        <f t="shared" si="55"/>
        <v>1800000</v>
      </c>
      <c r="AQ139" s="493"/>
      <c r="AR139" s="493"/>
      <c r="AT139" s="492">
        <v>135</v>
      </c>
      <c r="AU139" s="492">
        <v>12</v>
      </c>
      <c r="AV139" s="497">
        <f>IF(('Comparison Calculator'!$E$11-AU139)&gt;=0,0,IFERROR(-PPMT($AZ$66/12,(AT139-60),($F$1-5)*12,$AZ$65),0))</f>
        <v>0</v>
      </c>
      <c r="AW139" s="497">
        <f>IF(('Comparison Calculator'!$E$11-AU139)&gt;=0,$C$1*$AZ$66/12,IFERROR(-IPMT($AZ$66/12,(AT139-60),($F$1-5)*12,$AZ$65,0),0))</f>
        <v>0</v>
      </c>
      <c r="AX139" s="497">
        <f t="shared" si="69"/>
        <v>0</v>
      </c>
      <c r="AY139" s="497">
        <f t="shared" si="56"/>
        <v>1800000</v>
      </c>
      <c r="AZ139" s="493"/>
      <c r="BA139" s="493"/>
      <c r="BC139" s="492">
        <v>135</v>
      </c>
      <c r="BD139" s="492">
        <v>12</v>
      </c>
      <c r="BE139" s="497">
        <f>IF(('Comparison Calculator'!$E$11-BD139)&gt;=0,0,IFERROR(-PPMT($BI$66/12,(BC139-60),($F$1-5)*12,$BI$65),0))</f>
        <v>0</v>
      </c>
      <c r="BF139" s="497">
        <f>IF(('Comparison Calculator'!$E$11-BD139)&gt;=0,$C$1*$BI$66/12,IFERROR(-IPMT($BI$66/12,(BC139-60),($F$1-5)*12,$BI$65,0),0))</f>
        <v>0</v>
      </c>
      <c r="BG139" s="497">
        <f t="shared" si="70"/>
        <v>0</v>
      </c>
      <c r="BH139" s="497">
        <f t="shared" si="57"/>
        <v>1800000</v>
      </c>
      <c r="BI139" s="493"/>
      <c r="BJ139" s="493"/>
      <c r="BK139" s="492">
        <v>135</v>
      </c>
      <c r="BL139" s="492">
        <v>12</v>
      </c>
      <c r="BM139" s="497">
        <f>IF(('Comparison Calculator'!$E$11-BL139)&gt;=0,0,IFERROR(-PPMT($BQ$66/12,(BK139-60),($F$1-5)*12,$BQ$65),0))</f>
        <v>0</v>
      </c>
      <c r="BN139" s="497">
        <f>IF(('Comparison Calculator'!$E$11-BL139)&gt;=0,$C$1*$BQ$66/12,IFERROR(-IPMT($BQ$66/12,(BK139-60),($F$1-5)*12,$BQ$65,0),0))</f>
        <v>0</v>
      </c>
      <c r="BO139" s="497">
        <f t="shared" si="71"/>
        <v>0</v>
      </c>
      <c r="BP139" s="497">
        <f t="shared" si="58"/>
        <v>1800000</v>
      </c>
      <c r="BQ139" s="493"/>
      <c r="BR139" s="493"/>
      <c r="BT139" s="492">
        <v>135</v>
      </c>
      <c r="BU139" s="492">
        <v>12</v>
      </c>
      <c r="BV139" s="497">
        <f>IF(('Comparison Calculator'!$E$11-BU139)&gt;=0,0,IFERROR(-PPMT($BZ$66/12,(BT139-60),($F$1-5)*12,$BZ$65),0))</f>
        <v>0</v>
      </c>
      <c r="BW139" s="497">
        <f>IF(('Comparison Calculator'!$E$11-BU139)&gt;=0,$C$1*$BZ$66/12,IFERROR(-IPMT($BZ$66/12,(BT139-60),($F$1-5)*12,$BZ$65,0),0))</f>
        <v>0</v>
      </c>
      <c r="BX139" s="497">
        <f t="shared" si="72"/>
        <v>0</v>
      </c>
      <c r="BY139" s="497">
        <f t="shared" si="59"/>
        <v>1800000</v>
      </c>
      <c r="BZ139" s="493"/>
      <c r="CA139" s="493"/>
      <c r="CC139" s="492">
        <v>135</v>
      </c>
      <c r="CD139" s="492">
        <v>12</v>
      </c>
      <c r="CE139" s="497">
        <f>IF(('Comparison Calculator'!$E$11-CD139)&gt;=0,0,IFERROR(-PPMT($CI$66/12,(CC139-60),($F$1-5)*12,$CI$65),0))</f>
        <v>0</v>
      </c>
      <c r="CF139" s="497">
        <f>IF(('Comparison Calculator'!$E$11-CD139)&gt;=0,$C$1*$CI$66/12,IFERROR(-IPMT($CI$66/12,(CC139-60),($F$1-5)*12,$CI$65,0),0))</f>
        <v>0</v>
      </c>
      <c r="CG139" s="497">
        <f t="shared" si="73"/>
        <v>0</v>
      </c>
      <c r="CH139" s="497">
        <f t="shared" si="60"/>
        <v>1800000</v>
      </c>
      <c r="CI139" s="493"/>
      <c r="CJ139" s="493"/>
      <c r="CL139" s="492">
        <v>135</v>
      </c>
      <c r="CM139" s="492">
        <v>12</v>
      </c>
      <c r="CN139" s="497">
        <f>IF(('Comparison Calculator'!$E$11-CM139)&gt;=0,0,IFERROR(-PPMT($CR$66/12,(CL139-60),($F$1-5)*12,$CR$65),0))</f>
        <v>0</v>
      </c>
      <c r="CO139" s="497">
        <f>IF(('Comparison Calculator'!$E$11-CM139)&gt;=0,$C$1*$CI$66/12,IFERROR(-IPMT($CI$66/12,(CL139-60),($F$1-5)*12,$CI$65,0),0))</f>
        <v>0</v>
      </c>
      <c r="CP139" s="497">
        <f t="shared" si="74"/>
        <v>0</v>
      </c>
      <c r="CQ139" s="497">
        <f t="shared" si="61"/>
        <v>1800000</v>
      </c>
      <c r="CR139" s="493"/>
      <c r="CS139" s="493"/>
      <c r="CU139" s="492">
        <v>135</v>
      </c>
      <c r="CV139" s="492">
        <v>12</v>
      </c>
      <c r="CW139" s="497">
        <f>IF(('Comparison Calculator'!$E$11-CV139)&gt;=0,0,IFERROR(-PPMT($DA$66/12,(CU139-60),($F$1-5)*12,$DA$65),0))</f>
        <v>0</v>
      </c>
      <c r="CX139" s="497">
        <f>IF(('Comparison Calculator'!$E$11-CV139)&gt;=0,$C$1*$DA$66/12,IFERROR(-IPMT($DA$66/12,(CU139-60),($F$1-5)*12,$DA$65,0),0))</f>
        <v>0</v>
      </c>
      <c r="CY139" s="497">
        <f t="shared" si="75"/>
        <v>0</v>
      </c>
      <c r="CZ139" s="497">
        <f t="shared" si="62"/>
        <v>1800000</v>
      </c>
      <c r="DA139" s="493"/>
      <c r="DB139" s="493"/>
      <c r="DD139" s="492">
        <v>135</v>
      </c>
      <c r="DE139" s="492">
        <v>12</v>
      </c>
      <c r="DF139" s="497">
        <f>IF(('Comparison Calculator'!$E$11-DE139)&gt;=0,0,IFERROR(-PPMT($DJ$66/12,(DD139-60),($F$1-5)*12,$DJ$65),0))</f>
        <v>0</v>
      </c>
      <c r="DG139" s="497">
        <f>IF(('Comparison Calculator'!$E$11-DE139)&gt;=0,$C$1*$DJ$66/12,IFERROR(-IPMT($DJ$66/12,(DD139-60),($F$1-5)*12,$DJ$65,0),0))</f>
        <v>0</v>
      </c>
      <c r="DH139" s="497">
        <f t="shared" si="76"/>
        <v>0</v>
      </c>
      <c r="DI139" s="497">
        <f t="shared" si="63"/>
        <v>1800000</v>
      </c>
      <c r="DJ139" s="493"/>
      <c r="DK139" s="493"/>
    </row>
    <row r="140" spans="1:115">
      <c r="A140" s="492">
        <v>136</v>
      </c>
      <c r="B140" s="492">
        <v>12</v>
      </c>
      <c r="C140" s="497">
        <f>IF(('Comparison Calculator'!$E$11-B140)&gt;=0,0,IFERROR(-PPMT($G$66/12,(A140-60),($F$1-5)*12,$G$65),0))</f>
        <v>0</v>
      </c>
      <c r="D140" s="497">
        <f>IF(('Comparison Calculator'!$E$11-B140)&gt;=0,$C$1*$G$66/12,IFERROR(-IPMT($G$66/12,(A140-60),($F$1-5)*12,$G$65,0),0))</f>
        <v>0</v>
      </c>
      <c r="E140" s="497">
        <f t="shared" si="64"/>
        <v>0</v>
      </c>
      <c r="F140" s="497">
        <f t="shared" si="77"/>
        <v>1800000</v>
      </c>
      <c r="G140" s="493"/>
      <c r="H140" s="493"/>
      <c r="I140" s="489"/>
      <c r="J140" s="492">
        <v>136</v>
      </c>
      <c r="K140" s="492">
        <v>12</v>
      </c>
      <c r="L140" s="497">
        <f>IF(('Comparison Calculator'!$E$11-K140)&gt;=0,0,IFERROR(-PPMT($P$66/12,(J140-60),($F$1-5)*12,$P$65),0))</f>
        <v>0</v>
      </c>
      <c r="M140" s="497">
        <f>IF(('Comparison Calculator'!$E$11-K140)&gt;=0,$C$1*$P$66/12,IFERROR(-IPMT($P$66/12,(J140-60),($F$1-5)*12,$P$65,0),0))</f>
        <v>0</v>
      </c>
      <c r="N140" s="497">
        <f t="shared" si="65"/>
        <v>0</v>
      </c>
      <c r="O140" s="497">
        <f t="shared" si="52"/>
        <v>1800000</v>
      </c>
      <c r="P140" s="493"/>
      <c r="Q140" s="493"/>
      <c r="S140" s="492">
        <v>136</v>
      </c>
      <c r="T140" s="492">
        <v>12</v>
      </c>
      <c r="U140" s="497">
        <f>IF(('Comparison Calculator'!$E$11-T140)&gt;=0,0,IFERROR(-PPMT($Y$66/12,(S140-60),($F$1-5)*12,$Y$65),0))</f>
        <v>0</v>
      </c>
      <c r="V140" s="497">
        <f>IF(('Comparison Calculator'!$E$11-T140)&gt;=0,$C$1*$Y$66/12,IFERROR(-IPMT($Y$66/12,(S140-60),($F$1-5)*12,$Y$65,0),0))</f>
        <v>0</v>
      </c>
      <c r="W140" s="497">
        <f t="shared" si="66"/>
        <v>0</v>
      </c>
      <c r="X140" s="497">
        <f t="shared" si="53"/>
        <v>1800000</v>
      </c>
      <c r="Y140" s="493"/>
      <c r="Z140" s="493"/>
      <c r="AB140" s="492">
        <v>136</v>
      </c>
      <c r="AC140" s="492">
        <v>12</v>
      </c>
      <c r="AD140" s="497">
        <f>IF(('Comparison Calculator'!$E$11-AC140)&gt;=0,0,IFERROR(-PPMT($AH$66/12,(AB140-60),($F$1-5)*12,$AH$65),0))</f>
        <v>0</v>
      </c>
      <c r="AE140" s="497">
        <f>IF(('Comparison Calculator'!$E$11-AC140)&gt;=0,$C$1*$AH$66/12,IFERROR(-IPMT($AH$66/12,(AB140-60),($F$1-5)*12,$AH$65,0),0))</f>
        <v>0</v>
      </c>
      <c r="AF140" s="497">
        <f t="shared" si="67"/>
        <v>0</v>
      </c>
      <c r="AG140" s="497">
        <f t="shared" si="54"/>
        <v>1800000</v>
      </c>
      <c r="AH140" s="493"/>
      <c r="AI140" s="493"/>
      <c r="AK140" s="492">
        <v>136</v>
      </c>
      <c r="AL140" s="492">
        <v>12</v>
      </c>
      <c r="AM140" s="497">
        <f>IF(('Comparison Calculator'!$E$11-AL140)&gt;=0,0,IFERROR(-PPMT($AQ$66/12,(AK140-60),($F$1-5)*12,$AQ$65),0))</f>
        <v>0</v>
      </c>
      <c r="AN140" s="497">
        <f>IF(('Comparison Calculator'!$E$11-AL140)&gt;=0,$C$1*$AQ$66/12,IFERROR(-IPMT($AQ$66/12,(AK140-60),($F$1-5)*12,$AQ$65,0),0))</f>
        <v>0</v>
      </c>
      <c r="AO140" s="497">
        <f t="shared" si="68"/>
        <v>0</v>
      </c>
      <c r="AP140" s="497">
        <f t="shared" si="55"/>
        <v>1800000</v>
      </c>
      <c r="AQ140" s="493"/>
      <c r="AR140" s="493"/>
      <c r="AT140" s="492">
        <v>136</v>
      </c>
      <c r="AU140" s="492">
        <v>12</v>
      </c>
      <c r="AV140" s="497">
        <f>IF(('Comparison Calculator'!$E$11-AU140)&gt;=0,0,IFERROR(-PPMT($AZ$66/12,(AT140-60),($F$1-5)*12,$AZ$65),0))</f>
        <v>0</v>
      </c>
      <c r="AW140" s="497">
        <f>IF(('Comparison Calculator'!$E$11-AU140)&gt;=0,$C$1*$AZ$66/12,IFERROR(-IPMT($AZ$66/12,(AT140-60),($F$1-5)*12,$AZ$65,0),0))</f>
        <v>0</v>
      </c>
      <c r="AX140" s="497">
        <f t="shared" si="69"/>
        <v>0</v>
      </c>
      <c r="AY140" s="497">
        <f t="shared" si="56"/>
        <v>1800000</v>
      </c>
      <c r="AZ140" s="493"/>
      <c r="BA140" s="493"/>
      <c r="BC140" s="492">
        <v>136</v>
      </c>
      <c r="BD140" s="492">
        <v>12</v>
      </c>
      <c r="BE140" s="497">
        <f>IF(('Comparison Calculator'!$E$11-BD140)&gt;=0,0,IFERROR(-PPMT($BI$66/12,(BC140-60),($F$1-5)*12,$BI$65),0))</f>
        <v>0</v>
      </c>
      <c r="BF140" s="497">
        <f>IF(('Comparison Calculator'!$E$11-BD140)&gt;=0,$C$1*$BI$66/12,IFERROR(-IPMT($BI$66/12,(BC140-60),($F$1-5)*12,$BI$65,0),0))</f>
        <v>0</v>
      </c>
      <c r="BG140" s="497">
        <f t="shared" si="70"/>
        <v>0</v>
      </c>
      <c r="BH140" s="497">
        <f t="shared" si="57"/>
        <v>1800000</v>
      </c>
      <c r="BI140" s="493"/>
      <c r="BJ140" s="493"/>
      <c r="BK140" s="492">
        <v>136</v>
      </c>
      <c r="BL140" s="492">
        <v>12</v>
      </c>
      <c r="BM140" s="497">
        <f>IF(('Comparison Calculator'!$E$11-BL140)&gt;=0,0,IFERROR(-PPMT($BQ$66/12,(BK140-60),($F$1-5)*12,$BQ$65),0))</f>
        <v>0</v>
      </c>
      <c r="BN140" s="497">
        <f>IF(('Comparison Calculator'!$E$11-BL140)&gt;=0,$C$1*$BQ$66/12,IFERROR(-IPMT($BQ$66/12,(BK140-60),($F$1-5)*12,$BQ$65,0),0))</f>
        <v>0</v>
      </c>
      <c r="BO140" s="497">
        <f t="shared" si="71"/>
        <v>0</v>
      </c>
      <c r="BP140" s="497">
        <f t="shared" si="58"/>
        <v>1800000</v>
      </c>
      <c r="BQ140" s="493"/>
      <c r="BR140" s="493"/>
      <c r="BT140" s="492">
        <v>136</v>
      </c>
      <c r="BU140" s="492">
        <v>12</v>
      </c>
      <c r="BV140" s="497">
        <f>IF(('Comparison Calculator'!$E$11-BU140)&gt;=0,0,IFERROR(-PPMT($BZ$66/12,(BT140-60),($F$1-5)*12,$BZ$65),0))</f>
        <v>0</v>
      </c>
      <c r="BW140" s="497">
        <f>IF(('Comparison Calculator'!$E$11-BU140)&gt;=0,$C$1*$BZ$66/12,IFERROR(-IPMT($BZ$66/12,(BT140-60),($F$1-5)*12,$BZ$65,0),0))</f>
        <v>0</v>
      </c>
      <c r="BX140" s="497">
        <f t="shared" si="72"/>
        <v>0</v>
      </c>
      <c r="BY140" s="497">
        <f t="shared" si="59"/>
        <v>1800000</v>
      </c>
      <c r="BZ140" s="493"/>
      <c r="CA140" s="493"/>
      <c r="CC140" s="492">
        <v>136</v>
      </c>
      <c r="CD140" s="492">
        <v>12</v>
      </c>
      <c r="CE140" s="497">
        <f>IF(('Comparison Calculator'!$E$11-CD140)&gt;=0,0,IFERROR(-PPMT($CI$66/12,(CC140-60),($F$1-5)*12,$CI$65),0))</f>
        <v>0</v>
      </c>
      <c r="CF140" s="497">
        <f>IF(('Comparison Calculator'!$E$11-CD140)&gt;=0,$C$1*$CI$66/12,IFERROR(-IPMT($CI$66/12,(CC140-60),($F$1-5)*12,$CI$65,0),0))</f>
        <v>0</v>
      </c>
      <c r="CG140" s="497">
        <f t="shared" si="73"/>
        <v>0</v>
      </c>
      <c r="CH140" s="497">
        <f t="shared" si="60"/>
        <v>1800000</v>
      </c>
      <c r="CI140" s="493"/>
      <c r="CJ140" s="493"/>
      <c r="CL140" s="492">
        <v>136</v>
      </c>
      <c r="CM140" s="492">
        <v>12</v>
      </c>
      <c r="CN140" s="497">
        <f>IF(('Comparison Calculator'!$E$11-CM140)&gt;=0,0,IFERROR(-PPMT($CR$66/12,(CL140-60),($F$1-5)*12,$CR$65),0))</f>
        <v>0</v>
      </c>
      <c r="CO140" s="497">
        <f>IF(('Comparison Calculator'!$E$11-CM140)&gt;=0,$C$1*$CI$66/12,IFERROR(-IPMT($CI$66/12,(CL140-60),($F$1-5)*12,$CI$65,0),0))</f>
        <v>0</v>
      </c>
      <c r="CP140" s="497">
        <f t="shared" si="74"/>
        <v>0</v>
      </c>
      <c r="CQ140" s="497">
        <f t="shared" si="61"/>
        <v>1800000</v>
      </c>
      <c r="CR140" s="493"/>
      <c r="CS140" s="493"/>
      <c r="CU140" s="492">
        <v>136</v>
      </c>
      <c r="CV140" s="492">
        <v>12</v>
      </c>
      <c r="CW140" s="497">
        <f>IF(('Comparison Calculator'!$E$11-CV140)&gt;=0,0,IFERROR(-PPMT($DA$66/12,(CU140-60),($F$1-5)*12,$DA$65),0))</f>
        <v>0</v>
      </c>
      <c r="CX140" s="497">
        <f>IF(('Comparison Calculator'!$E$11-CV140)&gt;=0,$C$1*$DA$66/12,IFERROR(-IPMT($DA$66/12,(CU140-60),($F$1-5)*12,$DA$65,0),0))</f>
        <v>0</v>
      </c>
      <c r="CY140" s="497">
        <f t="shared" si="75"/>
        <v>0</v>
      </c>
      <c r="CZ140" s="497">
        <f t="shared" si="62"/>
        <v>1800000</v>
      </c>
      <c r="DA140" s="493"/>
      <c r="DB140" s="493"/>
      <c r="DD140" s="492">
        <v>136</v>
      </c>
      <c r="DE140" s="492">
        <v>12</v>
      </c>
      <c r="DF140" s="497">
        <f>IF(('Comparison Calculator'!$E$11-DE140)&gt;=0,0,IFERROR(-PPMT($DJ$66/12,(DD140-60),($F$1-5)*12,$DJ$65),0))</f>
        <v>0</v>
      </c>
      <c r="DG140" s="497">
        <f>IF(('Comparison Calculator'!$E$11-DE140)&gt;=0,$C$1*$DJ$66/12,IFERROR(-IPMT($DJ$66/12,(DD140-60),($F$1-5)*12,$DJ$65,0),0))</f>
        <v>0</v>
      </c>
      <c r="DH140" s="497">
        <f t="shared" si="76"/>
        <v>0</v>
      </c>
      <c r="DI140" s="497">
        <f t="shared" si="63"/>
        <v>1800000</v>
      </c>
      <c r="DJ140" s="493"/>
      <c r="DK140" s="493"/>
    </row>
    <row r="141" spans="1:115">
      <c r="A141" s="492">
        <v>137</v>
      </c>
      <c r="B141" s="492">
        <v>12</v>
      </c>
      <c r="C141" s="497">
        <f>IF(('Comparison Calculator'!$E$11-B141)&gt;=0,0,IFERROR(-PPMT($G$66/12,(A141-60),($F$1-5)*12,$G$65),0))</f>
        <v>0</v>
      </c>
      <c r="D141" s="497">
        <f>IF(('Comparison Calculator'!$E$11-B141)&gt;=0,$C$1*$G$66/12,IFERROR(-IPMT($G$66/12,(A141-60),($F$1-5)*12,$G$65,0),0))</f>
        <v>0</v>
      </c>
      <c r="E141" s="497">
        <f t="shared" si="64"/>
        <v>0</v>
      </c>
      <c r="F141" s="497">
        <f t="shared" si="77"/>
        <v>1800000</v>
      </c>
      <c r="G141" s="493"/>
      <c r="H141" s="493"/>
      <c r="I141" s="489"/>
      <c r="J141" s="492">
        <v>137</v>
      </c>
      <c r="K141" s="492">
        <v>12</v>
      </c>
      <c r="L141" s="497">
        <f>IF(('Comparison Calculator'!$E$11-K141)&gt;=0,0,IFERROR(-PPMT($P$66/12,(J141-60),($F$1-5)*12,$P$65),0))</f>
        <v>0</v>
      </c>
      <c r="M141" s="497">
        <f>IF(('Comparison Calculator'!$E$11-K141)&gt;=0,$C$1*$P$66/12,IFERROR(-IPMT($P$66/12,(J141-60),($F$1-5)*12,$P$65,0),0))</f>
        <v>0</v>
      </c>
      <c r="N141" s="497">
        <f t="shared" si="65"/>
        <v>0</v>
      </c>
      <c r="O141" s="497">
        <f t="shared" si="52"/>
        <v>1800000</v>
      </c>
      <c r="P141" s="493"/>
      <c r="Q141" s="493"/>
      <c r="S141" s="492">
        <v>137</v>
      </c>
      <c r="T141" s="492">
        <v>12</v>
      </c>
      <c r="U141" s="497">
        <f>IF(('Comparison Calculator'!$E$11-T141)&gt;=0,0,IFERROR(-PPMT($Y$66/12,(S141-60),($F$1-5)*12,$Y$65),0))</f>
        <v>0</v>
      </c>
      <c r="V141" s="497">
        <f>IF(('Comparison Calculator'!$E$11-T141)&gt;=0,$C$1*$Y$66/12,IFERROR(-IPMT($Y$66/12,(S141-60),($F$1-5)*12,$Y$65,0),0))</f>
        <v>0</v>
      </c>
      <c r="W141" s="497">
        <f t="shared" si="66"/>
        <v>0</v>
      </c>
      <c r="X141" s="497">
        <f t="shared" si="53"/>
        <v>1800000</v>
      </c>
      <c r="Y141" s="493"/>
      <c r="Z141" s="493"/>
      <c r="AB141" s="492">
        <v>137</v>
      </c>
      <c r="AC141" s="492">
        <v>12</v>
      </c>
      <c r="AD141" s="497">
        <f>IF(('Comparison Calculator'!$E$11-AC141)&gt;=0,0,IFERROR(-PPMT($AH$66/12,(AB141-60),($F$1-5)*12,$AH$65),0))</f>
        <v>0</v>
      </c>
      <c r="AE141" s="497">
        <f>IF(('Comparison Calculator'!$E$11-AC141)&gt;=0,$C$1*$AH$66/12,IFERROR(-IPMT($AH$66/12,(AB141-60),($F$1-5)*12,$AH$65,0),0))</f>
        <v>0</v>
      </c>
      <c r="AF141" s="497">
        <f t="shared" si="67"/>
        <v>0</v>
      </c>
      <c r="AG141" s="497">
        <f t="shared" si="54"/>
        <v>1800000</v>
      </c>
      <c r="AH141" s="493"/>
      <c r="AI141" s="493"/>
      <c r="AK141" s="492">
        <v>137</v>
      </c>
      <c r="AL141" s="492">
        <v>12</v>
      </c>
      <c r="AM141" s="497">
        <f>IF(('Comparison Calculator'!$E$11-AL141)&gt;=0,0,IFERROR(-PPMT($AQ$66/12,(AK141-60),($F$1-5)*12,$AQ$65),0))</f>
        <v>0</v>
      </c>
      <c r="AN141" s="497">
        <f>IF(('Comparison Calculator'!$E$11-AL141)&gt;=0,$C$1*$AQ$66/12,IFERROR(-IPMT($AQ$66/12,(AK141-60),($F$1-5)*12,$AQ$65,0),0))</f>
        <v>0</v>
      </c>
      <c r="AO141" s="497">
        <f t="shared" si="68"/>
        <v>0</v>
      </c>
      <c r="AP141" s="497">
        <f t="shared" si="55"/>
        <v>1800000</v>
      </c>
      <c r="AQ141" s="493"/>
      <c r="AR141" s="493"/>
      <c r="AT141" s="492">
        <v>137</v>
      </c>
      <c r="AU141" s="492">
        <v>12</v>
      </c>
      <c r="AV141" s="497">
        <f>IF(('Comparison Calculator'!$E$11-AU141)&gt;=0,0,IFERROR(-PPMT($AZ$66/12,(AT141-60),($F$1-5)*12,$AZ$65),0))</f>
        <v>0</v>
      </c>
      <c r="AW141" s="497">
        <f>IF(('Comparison Calculator'!$E$11-AU141)&gt;=0,$C$1*$AZ$66/12,IFERROR(-IPMT($AZ$66/12,(AT141-60),($F$1-5)*12,$AZ$65,0),0))</f>
        <v>0</v>
      </c>
      <c r="AX141" s="497">
        <f t="shared" si="69"/>
        <v>0</v>
      </c>
      <c r="AY141" s="497">
        <f t="shared" si="56"/>
        <v>1800000</v>
      </c>
      <c r="AZ141" s="493"/>
      <c r="BA141" s="493"/>
      <c r="BC141" s="492">
        <v>137</v>
      </c>
      <c r="BD141" s="492">
        <v>12</v>
      </c>
      <c r="BE141" s="497">
        <f>IF(('Comparison Calculator'!$E$11-BD141)&gt;=0,0,IFERROR(-PPMT($BI$66/12,(BC141-60),($F$1-5)*12,$BI$65),0))</f>
        <v>0</v>
      </c>
      <c r="BF141" s="497">
        <f>IF(('Comparison Calculator'!$E$11-BD141)&gt;=0,$C$1*$BI$66/12,IFERROR(-IPMT($BI$66/12,(BC141-60),($F$1-5)*12,$BI$65,0),0))</f>
        <v>0</v>
      </c>
      <c r="BG141" s="497">
        <f t="shared" si="70"/>
        <v>0</v>
      </c>
      <c r="BH141" s="497">
        <f t="shared" si="57"/>
        <v>1800000</v>
      </c>
      <c r="BI141" s="493"/>
      <c r="BJ141" s="493"/>
      <c r="BK141" s="492">
        <v>137</v>
      </c>
      <c r="BL141" s="492">
        <v>12</v>
      </c>
      <c r="BM141" s="497">
        <f>IF(('Comparison Calculator'!$E$11-BL141)&gt;=0,0,IFERROR(-PPMT($BQ$66/12,(BK141-60),($F$1-5)*12,$BQ$65),0))</f>
        <v>0</v>
      </c>
      <c r="BN141" s="497">
        <f>IF(('Comparison Calculator'!$E$11-BL141)&gt;=0,$C$1*$BQ$66/12,IFERROR(-IPMT($BQ$66/12,(BK141-60),($F$1-5)*12,$BQ$65,0),0))</f>
        <v>0</v>
      </c>
      <c r="BO141" s="497">
        <f t="shared" si="71"/>
        <v>0</v>
      </c>
      <c r="BP141" s="497">
        <f t="shared" si="58"/>
        <v>1800000</v>
      </c>
      <c r="BQ141" s="493"/>
      <c r="BR141" s="493"/>
      <c r="BT141" s="492">
        <v>137</v>
      </c>
      <c r="BU141" s="492">
        <v>12</v>
      </c>
      <c r="BV141" s="497">
        <f>IF(('Comparison Calculator'!$E$11-BU141)&gt;=0,0,IFERROR(-PPMT($BZ$66/12,(BT141-60),($F$1-5)*12,$BZ$65),0))</f>
        <v>0</v>
      </c>
      <c r="BW141" s="497">
        <f>IF(('Comparison Calculator'!$E$11-BU141)&gt;=0,$C$1*$BZ$66/12,IFERROR(-IPMT($BZ$66/12,(BT141-60),($F$1-5)*12,$BZ$65,0),0))</f>
        <v>0</v>
      </c>
      <c r="BX141" s="497">
        <f t="shared" si="72"/>
        <v>0</v>
      </c>
      <c r="BY141" s="497">
        <f t="shared" si="59"/>
        <v>1800000</v>
      </c>
      <c r="BZ141" s="493"/>
      <c r="CA141" s="493"/>
      <c r="CC141" s="492">
        <v>137</v>
      </c>
      <c r="CD141" s="492">
        <v>12</v>
      </c>
      <c r="CE141" s="497">
        <f>IF(('Comparison Calculator'!$E$11-CD141)&gt;=0,0,IFERROR(-PPMT($CI$66/12,(CC141-60),($F$1-5)*12,$CI$65),0))</f>
        <v>0</v>
      </c>
      <c r="CF141" s="497">
        <f>IF(('Comparison Calculator'!$E$11-CD141)&gt;=0,$C$1*$CI$66/12,IFERROR(-IPMT($CI$66/12,(CC141-60),($F$1-5)*12,$CI$65,0),0))</f>
        <v>0</v>
      </c>
      <c r="CG141" s="497">
        <f t="shared" si="73"/>
        <v>0</v>
      </c>
      <c r="CH141" s="497">
        <f t="shared" si="60"/>
        <v>1800000</v>
      </c>
      <c r="CI141" s="493"/>
      <c r="CJ141" s="493"/>
      <c r="CL141" s="492">
        <v>137</v>
      </c>
      <c r="CM141" s="492">
        <v>12</v>
      </c>
      <c r="CN141" s="497">
        <f>IF(('Comparison Calculator'!$E$11-CM141)&gt;=0,0,IFERROR(-PPMT($CR$66/12,(CL141-60),($F$1-5)*12,$CR$65),0))</f>
        <v>0</v>
      </c>
      <c r="CO141" s="497">
        <f>IF(('Comparison Calculator'!$E$11-CM141)&gt;=0,$C$1*$CI$66/12,IFERROR(-IPMT($CI$66/12,(CL141-60),($F$1-5)*12,$CI$65,0),0))</f>
        <v>0</v>
      </c>
      <c r="CP141" s="497">
        <f t="shared" si="74"/>
        <v>0</v>
      </c>
      <c r="CQ141" s="497">
        <f t="shared" si="61"/>
        <v>1800000</v>
      </c>
      <c r="CR141" s="493"/>
      <c r="CS141" s="493"/>
      <c r="CU141" s="492">
        <v>137</v>
      </c>
      <c r="CV141" s="492">
        <v>12</v>
      </c>
      <c r="CW141" s="497">
        <f>IF(('Comparison Calculator'!$E$11-CV141)&gt;=0,0,IFERROR(-PPMT($DA$66/12,(CU141-60),($F$1-5)*12,$DA$65),0))</f>
        <v>0</v>
      </c>
      <c r="CX141" s="497">
        <f>IF(('Comparison Calculator'!$E$11-CV141)&gt;=0,$C$1*$DA$66/12,IFERROR(-IPMT($DA$66/12,(CU141-60),($F$1-5)*12,$DA$65,0),0))</f>
        <v>0</v>
      </c>
      <c r="CY141" s="497">
        <f t="shared" si="75"/>
        <v>0</v>
      </c>
      <c r="CZ141" s="497">
        <f t="shared" si="62"/>
        <v>1800000</v>
      </c>
      <c r="DA141" s="493"/>
      <c r="DB141" s="493"/>
      <c r="DD141" s="492">
        <v>137</v>
      </c>
      <c r="DE141" s="492">
        <v>12</v>
      </c>
      <c r="DF141" s="497">
        <f>IF(('Comparison Calculator'!$E$11-DE141)&gt;=0,0,IFERROR(-PPMT($DJ$66/12,(DD141-60),($F$1-5)*12,$DJ$65),0))</f>
        <v>0</v>
      </c>
      <c r="DG141" s="497">
        <f>IF(('Comparison Calculator'!$E$11-DE141)&gt;=0,$C$1*$DJ$66/12,IFERROR(-IPMT($DJ$66/12,(DD141-60),($F$1-5)*12,$DJ$65,0),0))</f>
        <v>0</v>
      </c>
      <c r="DH141" s="497">
        <f t="shared" si="76"/>
        <v>0</v>
      </c>
      <c r="DI141" s="497">
        <f t="shared" si="63"/>
        <v>1800000</v>
      </c>
      <c r="DJ141" s="493"/>
      <c r="DK141" s="493"/>
    </row>
    <row r="142" spans="1:115">
      <c r="A142" s="492">
        <v>138</v>
      </c>
      <c r="B142" s="492">
        <v>12</v>
      </c>
      <c r="C142" s="497">
        <f>IF(('Comparison Calculator'!$E$11-B142)&gt;=0,0,IFERROR(-PPMT($G$66/12,(A142-60),($F$1-5)*12,$G$65),0))</f>
        <v>0</v>
      </c>
      <c r="D142" s="497">
        <f>IF(('Comparison Calculator'!$E$11-B142)&gt;=0,$C$1*$G$66/12,IFERROR(-IPMT($G$66/12,(A142-60),($F$1-5)*12,$G$65,0),0))</f>
        <v>0</v>
      </c>
      <c r="E142" s="497">
        <f t="shared" si="64"/>
        <v>0</v>
      </c>
      <c r="F142" s="497">
        <f t="shared" si="77"/>
        <v>1800000</v>
      </c>
      <c r="G142" s="493"/>
      <c r="H142" s="493"/>
      <c r="I142" s="489"/>
      <c r="J142" s="492">
        <v>138</v>
      </c>
      <c r="K142" s="492">
        <v>12</v>
      </c>
      <c r="L142" s="497">
        <f>IF(('Comparison Calculator'!$E$11-K142)&gt;=0,0,IFERROR(-PPMT($P$66/12,(J142-60),($F$1-5)*12,$P$65),0))</f>
        <v>0</v>
      </c>
      <c r="M142" s="497">
        <f>IF(('Comparison Calculator'!$E$11-K142)&gt;=0,$C$1*$P$66/12,IFERROR(-IPMT($P$66/12,(J142-60),($F$1-5)*12,$P$65,0),0))</f>
        <v>0</v>
      </c>
      <c r="N142" s="497">
        <f t="shared" si="65"/>
        <v>0</v>
      </c>
      <c r="O142" s="497">
        <f t="shared" si="52"/>
        <v>1800000</v>
      </c>
      <c r="P142" s="493"/>
      <c r="Q142" s="493"/>
      <c r="S142" s="492">
        <v>138</v>
      </c>
      <c r="T142" s="492">
        <v>12</v>
      </c>
      <c r="U142" s="497">
        <f>IF(('Comparison Calculator'!$E$11-T142)&gt;=0,0,IFERROR(-PPMT($Y$66/12,(S142-60),($F$1-5)*12,$Y$65),0))</f>
        <v>0</v>
      </c>
      <c r="V142" s="497">
        <f>IF(('Comparison Calculator'!$E$11-T142)&gt;=0,$C$1*$Y$66/12,IFERROR(-IPMT($Y$66/12,(S142-60),($F$1-5)*12,$Y$65,0),0))</f>
        <v>0</v>
      </c>
      <c r="W142" s="497">
        <f t="shared" si="66"/>
        <v>0</v>
      </c>
      <c r="X142" s="497">
        <f t="shared" si="53"/>
        <v>1800000</v>
      </c>
      <c r="Y142" s="493"/>
      <c r="Z142" s="493"/>
      <c r="AB142" s="492">
        <v>138</v>
      </c>
      <c r="AC142" s="492">
        <v>12</v>
      </c>
      <c r="AD142" s="497">
        <f>IF(('Comparison Calculator'!$E$11-AC142)&gt;=0,0,IFERROR(-PPMT($AH$66/12,(AB142-60),($F$1-5)*12,$AH$65),0))</f>
        <v>0</v>
      </c>
      <c r="AE142" s="497">
        <f>IF(('Comparison Calculator'!$E$11-AC142)&gt;=0,$C$1*$AH$66/12,IFERROR(-IPMT($AH$66/12,(AB142-60),($F$1-5)*12,$AH$65,0),0))</f>
        <v>0</v>
      </c>
      <c r="AF142" s="497">
        <f t="shared" si="67"/>
        <v>0</v>
      </c>
      <c r="AG142" s="497">
        <f t="shared" si="54"/>
        <v>1800000</v>
      </c>
      <c r="AH142" s="493"/>
      <c r="AI142" s="493"/>
      <c r="AK142" s="492">
        <v>138</v>
      </c>
      <c r="AL142" s="492">
        <v>12</v>
      </c>
      <c r="AM142" s="497">
        <f>IF(('Comparison Calculator'!$E$11-AL142)&gt;=0,0,IFERROR(-PPMT($AQ$66/12,(AK142-60),($F$1-5)*12,$AQ$65),0))</f>
        <v>0</v>
      </c>
      <c r="AN142" s="497">
        <f>IF(('Comparison Calculator'!$E$11-AL142)&gt;=0,$C$1*$AQ$66/12,IFERROR(-IPMT($AQ$66/12,(AK142-60),($F$1-5)*12,$AQ$65,0),0))</f>
        <v>0</v>
      </c>
      <c r="AO142" s="497">
        <f t="shared" si="68"/>
        <v>0</v>
      </c>
      <c r="AP142" s="497">
        <f t="shared" si="55"/>
        <v>1800000</v>
      </c>
      <c r="AQ142" s="493"/>
      <c r="AR142" s="493"/>
      <c r="AT142" s="492">
        <v>138</v>
      </c>
      <c r="AU142" s="492">
        <v>12</v>
      </c>
      <c r="AV142" s="497">
        <f>IF(('Comparison Calculator'!$E$11-AU142)&gt;=0,0,IFERROR(-PPMT($AZ$66/12,(AT142-60),($F$1-5)*12,$AZ$65),0))</f>
        <v>0</v>
      </c>
      <c r="AW142" s="497">
        <f>IF(('Comparison Calculator'!$E$11-AU142)&gt;=0,$C$1*$AZ$66/12,IFERROR(-IPMT($AZ$66/12,(AT142-60),($F$1-5)*12,$AZ$65,0),0))</f>
        <v>0</v>
      </c>
      <c r="AX142" s="497">
        <f t="shared" si="69"/>
        <v>0</v>
      </c>
      <c r="AY142" s="497">
        <f t="shared" si="56"/>
        <v>1800000</v>
      </c>
      <c r="AZ142" s="493"/>
      <c r="BA142" s="493"/>
      <c r="BC142" s="492">
        <v>138</v>
      </c>
      <c r="BD142" s="492">
        <v>12</v>
      </c>
      <c r="BE142" s="497">
        <f>IF(('Comparison Calculator'!$E$11-BD142)&gt;=0,0,IFERROR(-PPMT($BI$66/12,(BC142-60),($F$1-5)*12,$BI$65),0))</f>
        <v>0</v>
      </c>
      <c r="BF142" s="497">
        <f>IF(('Comparison Calculator'!$E$11-BD142)&gt;=0,$C$1*$BI$66/12,IFERROR(-IPMT($BI$66/12,(BC142-60),($F$1-5)*12,$BI$65,0),0))</f>
        <v>0</v>
      </c>
      <c r="BG142" s="497">
        <f t="shared" si="70"/>
        <v>0</v>
      </c>
      <c r="BH142" s="497">
        <f t="shared" si="57"/>
        <v>1800000</v>
      </c>
      <c r="BI142" s="493"/>
      <c r="BJ142" s="493"/>
      <c r="BK142" s="492">
        <v>138</v>
      </c>
      <c r="BL142" s="492">
        <v>12</v>
      </c>
      <c r="BM142" s="497">
        <f>IF(('Comparison Calculator'!$E$11-BL142)&gt;=0,0,IFERROR(-PPMT($BQ$66/12,(BK142-60),($F$1-5)*12,$BQ$65),0))</f>
        <v>0</v>
      </c>
      <c r="BN142" s="497">
        <f>IF(('Comparison Calculator'!$E$11-BL142)&gt;=0,$C$1*$BQ$66/12,IFERROR(-IPMT($BQ$66/12,(BK142-60),($F$1-5)*12,$BQ$65,0),0))</f>
        <v>0</v>
      </c>
      <c r="BO142" s="497">
        <f t="shared" si="71"/>
        <v>0</v>
      </c>
      <c r="BP142" s="497">
        <f t="shared" si="58"/>
        <v>1800000</v>
      </c>
      <c r="BQ142" s="493"/>
      <c r="BR142" s="493"/>
      <c r="BT142" s="492">
        <v>138</v>
      </c>
      <c r="BU142" s="492">
        <v>12</v>
      </c>
      <c r="BV142" s="497">
        <f>IF(('Comparison Calculator'!$E$11-BU142)&gt;=0,0,IFERROR(-PPMT($BZ$66/12,(BT142-60),($F$1-5)*12,$BZ$65),0))</f>
        <v>0</v>
      </c>
      <c r="BW142" s="497">
        <f>IF(('Comparison Calculator'!$E$11-BU142)&gt;=0,$C$1*$BZ$66/12,IFERROR(-IPMT($BZ$66/12,(BT142-60),($F$1-5)*12,$BZ$65,0),0))</f>
        <v>0</v>
      </c>
      <c r="BX142" s="497">
        <f t="shared" si="72"/>
        <v>0</v>
      </c>
      <c r="BY142" s="497">
        <f t="shared" si="59"/>
        <v>1800000</v>
      </c>
      <c r="BZ142" s="493"/>
      <c r="CA142" s="493"/>
      <c r="CC142" s="492">
        <v>138</v>
      </c>
      <c r="CD142" s="492">
        <v>12</v>
      </c>
      <c r="CE142" s="497">
        <f>IF(('Comparison Calculator'!$E$11-CD142)&gt;=0,0,IFERROR(-PPMT($CI$66/12,(CC142-60),($F$1-5)*12,$CI$65),0))</f>
        <v>0</v>
      </c>
      <c r="CF142" s="497">
        <f>IF(('Comparison Calculator'!$E$11-CD142)&gt;=0,$C$1*$CI$66/12,IFERROR(-IPMT($CI$66/12,(CC142-60),($F$1-5)*12,$CI$65,0),0))</f>
        <v>0</v>
      </c>
      <c r="CG142" s="497">
        <f t="shared" si="73"/>
        <v>0</v>
      </c>
      <c r="CH142" s="497">
        <f t="shared" si="60"/>
        <v>1800000</v>
      </c>
      <c r="CI142" s="493"/>
      <c r="CJ142" s="493"/>
      <c r="CL142" s="492">
        <v>138</v>
      </c>
      <c r="CM142" s="492">
        <v>12</v>
      </c>
      <c r="CN142" s="497">
        <f>IF(('Comparison Calculator'!$E$11-CM142)&gt;=0,0,IFERROR(-PPMT($CR$66/12,(CL142-60),($F$1-5)*12,$CR$65),0))</f>
        <v>0</v>
      </c>
      <c r="CO142" s="497">
        <f>IF(('Comparison Calculator'!$E$11-CM142)&gt;=0,$C$1*$CI$66/12,IFERROR(-IPMT($CI$66/12,(CL142-60),($F$1-5)*12,$CI$65,0),0))</f>
        <v>0</v>
      </c>
      <c r="CP142" s="497">
        <f t="shared" si="74"/>
        <v>0</v>
      </c>
      <c r="CQ142" s="497">
        <f t="shared" si="61"/>
        <v>1800000</v>
      </c>
      <c r="CR142" s="493"/>
      <c r="CS142" s="493"/>
      <c r="CU142" s="492">
        <v>138</v>
      </c>
      <c r="CV142" s="492">
        <v>12</v>
      </c>
      <c r="CW142" s="497">
        <f>IF(('Comparison Calculator'!$E$11-CV142)&gt;=0,0,IFERROR(-PPMT($DA$66/12,(CU142-60),($F$1-5)*12,$DA$65),0))</f>
        <v>0</v>
      </c>
      <c r="CX142" s="497">
        <f>IF(('Comparison Calculator'!$E$11-CV142)&gt;=0,$C$1*$DA$66/12,IFERROR(-IPMT($DA$66/12,(CU142-60),($F$1-5)*12,$DA$65,0),0))</f>
        <v>0</v>
      </c>
      <c r="CY142" s="497">
        <f t="shared" si="75"/>
        <v>0</v>
      </c>
      <c r="CZ142" s="497">
        <f t="shared" si="62"/>
        <v>1800000</v>
      </c>
      <c r="DA142" s="493"/>
      <c r="DB142" s="493"/>
      <c r="DD142" s="492">
        <v>138</v>
      </c>
      <c r="DE142" s="492">
        <v>12</v>
      </c>
      <c r="DF142" s="497">
        <f>IF(('Comparison Calculator'!$E$11-DE142)&gt;=0,0,IFERROR(-PPMT($DJ$66/12,(DD142-60),($F$1-5)*12,$DJ$65),0))</f>
        <v>0</v>
      </c>
      <c r="DG142" s="497">
        <f>IF(('Comparison Calculator'!$E$11-DE142)&gt;=0,$C$1*$DJ$66/12,IFERROR(-IPMT($DJ$66/12,(DD142-60),($F$1-5)*12,$DJ$65,0),0))</f>
        <v>0</v>
      </c>
      <c r="DH142" s="497">
        <f t="shared" si="76"/>
        <v>0</v>
      </c>
      <c r="DI142" s="497">
        <f t="shared" si="63"/>
        <v>1800000</v>
      </c>
      <c r="DJ142" s="493"/>
      <c r="DK142" s="493"/>
    </row>
    <row r="143" spans="1:115">
      <c r="A143" s="492">
        <v>139</v>
      </c>
      <c r="B143" s="492">
        <v>12</v>
      </c>
      <c r="C143" s="497">
        <f>IF(('Comparison Calculator'!$E$11-B143)&gt;=0,0,IFERROR(-PPMT($G$66/12,(A143-60),($F$1-5)*12,$G$65),0))</f>
        <v>0</v>
      </c>
      <c r="D143" s="497">
        <f>IF(('Comparison Calculator'!$E$11-B143)&gt;=0,$C$1*$G$66/12,IFERROR(-IPMT($G$66/12,(A143-60),($F$1-5)*12,$G$65,0),0))</f>
        <v>0</v>
      </c>
      <c r="E143" s="497">
        <f t="shared" si="64"/>
        <v>0</v>
      </c>
      <c r="F143" s="497">
        <f t="shared" si="77"/>
        <v>1800000</v>
      </c>
      <c r="G143" s="493"/>
      <c r="H143" s="493"/>
      <c r="I143" s="489"/>
      <c r="J143" s="492">
        <v>139</v>
      </c>
      <c r="K143" s="492">
        <v>12</v>
      </c>
      <c r="L143" s="497">
        <f>IF(('Comparison Calculator'!$E$11-K143)&gt;=0,0,IFERROR(-PPMT($P$66/12,(J143-60),($F$1-5)*12,$P$65),0))</f>
        <v>0</v>
      </c>
      <c r="M143" s="497">
        <f>IF(('Comparison Calculator'!$E$11-K143)&gt;=0,$C$1*$P$66/12,IFERROR(-IPMT($P$66/12,(J143-60),($F$1-5)*12,$P$65,0),0))</f>
        <v>0</v>
      </c>
      <c r="N143" s="497">
        <f t="shared" si="65"/>
        <v>0</v>
      </c>
      <c r="O143" s="497">
        <f t="shared" si="52"/>
        <v>1800000</v>
      </c>
      <c r="P143" s="493"/>
      <c r="Q143" s="493"/>
      <c r="S143" s="492">
        <v>139</v>
      </c>
      <c r="T143" s="492">
        <v>12</v>
      </c>
      <c r="U143" s="497">
        <f>IF(('Comparison Calculator'!$E$11-T143)&gt;=0,0,IFERROR(-PPMT($Y$66/12,(S143-60),($F$1-5)*12,$Y$65),0))</f>
        <v>0</v>
      </c>
      <c r="V143" s="497">
        <f>IF(('Comparison Calculator'!$E$11-T143)&gt;=0,$C$1*$Y$66/12,IFERROR(-IPMT($Y$66/12,(S143-60),($F$1-5)*12,$Y$65,0),0))</f>
        <v>0</v>
      </c>
      <c r="W143" s="497">
        <f t="shared" si="66"/>
        <v>0</v>
      </c>
      <c r="X143" s="497">
        <f t="shared" si="53"/>
        <v>1800000</v>
      </c>
      <c r="Y143" s="493"/>
      <c r="Z143" s="493"/>
      <c r="AB143" s="492">
        <v>139</v>
      </c>
      <c r="AC143" s="492">
        <v>12</v>
      </c>
      <c r="AD143" s="497">
        <f>IF(('Comparison Calculator'!$E$11-AC143)&gt;=0,0,IFERROR(-PPMT($AH$66/12,(AB143-60),($F$1-5)*12,$AH$65),0))</f>
        <v>0</v>
      </c>
      <c r="AE143" s="497">
        <f>IF(('Comparison Calculator'!$E$11-AC143)&gt;=0,$C$1*$AH$66/12,IFERROR(-IPMT($AH$66/12,(AB143-60),($F$1-5)*12,$AH$65,0),0))</f>
        <v>0</v>
      </c>
      <c r="AF143" s="497">
        <f t="shared" si="67"/>
        <v>0</v>
      </c>
      <c r="AG143" s="497">
        <f t="shared" si="54"/>
        <v>1800000</v>
      </c>
      <c r="AH143" s="493"/>
      <c r="AI143" s="493"/>
      <c r="AK143" s="492">
        <v>139</v>
      </c>
      <c r="AL143" s="492">
        <v>12</v>
      </c>
      <c r="AM143" s="497">
        <f>IF(('Comparison Calculator'!$E$11-AL143)&gt;=0,0,IFERROR(-PPMT($AQ$66/12,(AK143-60),($F$1-5)*12,$AQ$65),0))</f>
        <v>0</v>
      </c>
      <c r="AN143" s="497">
        <f>IF(('Comparison Calculator'!$E$11-AL143)&gt;=0,$C$1*$AQ$66/12,IFERROR(-IPMT($AQ$66/12,(AK143-60),($F$1-5)*12,$AQ$65,0),0))</f>
        <v>0</v>
      </c>
      <c r="AO143" s="497">
        <f t="shared" si="68"/>
        <v>0</v>
      </c>
      <c r="AP143" s="497">
        <f t="shared" si="55"/>
        <v>1800000</v>
      </c>
      <c r="AQ143" s="493"/>
      <c r="AR143" s="493"/>
      <c r="AT143" s="492">
        <v>139</v>
      </c>
      <c r="AU143" s="492">
        <v>12</v>
      </c>
      <c r="AV143" s="497">
        <f>IF(('Comparison Calculator'!$E$11-AU143)&gt;=0,0,IFERROR(-PPMT($AZ$66/12,(AT143-60),($F$1-5)*12,$AZ$65),0))</f>
        <v>0</v>
      </c>
      <c r="AW143" s="497">
        <f>IF(('Comparison Calculator'!$E$11-AU143)&gt;=0,$C$1*$AZ$66/12,IFERROR(-IPMT($AZ$66/12,(AT143-60),($F$1-5)*12,$AZ$65,0),0))</f>
        <v>0</v>
      </c>
      <c r="AX143" s="497">
        <f t="shared" si="69"/>
        <v>0</v>
      </c>
      <c r="AY143" s="497">
        <f t="shared" si="56"/>
        <v>1800000</v>
      </c>
      <c r="AZ143" s="493"/>
      <c r="BA143" s="493"/>
      <c r="BC143" s="492">
        <v>139</v>
      </c>
      <c r="BD143" s="492">
        <v>12</v>
      </c>
      <c r="BE143" s="497">
        <f>IF(('Comparison Calculator'!$E$11-BD143)&gt;=0,0,IFERROR(-PPMT($BI$66/12,(BC143-60),($F$1-5)*12,$BI$65),0))</f>
        <v>0</v>
      </c>
      <c r="BF143" s="497">
        <f>IF(('Comparison Calculator'!$E$11-BD143)&gt;=0,$C$1*$BI$66/12,IFERROR(-IPMT($BI$66/12,(BC143-60),($F$1-5)*12,$BI$65,0),0))</f>
        <v>0</v>
      </c>
      <c r="BG143" s="497">
        <f t="shared" si="70"/>
        <v>0</v>
      </c>
      <c r="BH143" s="497">
        <f t="shared" si="57"/>
        <v>1800000</v>
      </c>
      <c r="BI143" s="493"/>
      <c r="BJ143" s="493"/>
      <c r="BK143" s="492">
        <v>139</v>
      </c>
      <c r="BL143" s="492">
        <v>12</v>
      </c>
      <c r="BM143" s="497">
        <f>IF(('Comparison Calculator'!$E$11-BL143)&gt;=0,0,IFERROR(-PPMT($BQ$66/12,(BK143-60),($F$1-5)*12,$BQ$65),0))</f>
        <v>0</v>
      </c>
      <c r="BN143" s="497">
        <f>IF(('Comparison Calculator'!$E$11-BL143)&gt;=0,$C$1*$BQ$66/12,IFERROR(-IPMT($BQ$66/12,(BK143-60),($F$1-5)*12,$BQ$65,0),0))</f>
        <v>0</v>
      </c>
      <c r="BO143" s="497">
        <f t="shared" si="71"/>
        <v>0</v>
      </c>
      <c r="BP143" s="497">
        <f t="shared" si="58"/>
        <v>1800000</v>
      </c>
      <c r="BQ143" s="493"/>
      <c r="BR143" s="493"/>
      <c r="BT143" s="492">
        <v>139</v>
      </c>
      <c r="BU143" s="492">
        <v>12</v>
      </c>
      <c r="BV143" s="497">
        <f>IF(('Comparison Calculator'!$E$11-BU143)&gt;=0,0,IFERROR(-PPMT($BZ$66/12,(BT143-60),($F$1-5)*12,$BZ$65),0))</f>
        <v>0</v>
      </c>
      <c r="BW143" s="497">
        <f>IF(('Comparison Calculator'!$E$11-BU143)&gt;=0,$C$1*$BZ$66/12,IFERROR(-IPMT($BZ$66/12,(BT143-60),($F$1-5)*12,$BZ$65,0),0))</f>
        <v>0</v>
      </c>
      <c r="BX143" s="497">
        <f t="shared" si="72"/>
        <v>0</v>
      </c>
      <c r="BY143" s="497">
        <f t="shared" si="59"/>
        <v>1800000</v>
      </c>
      <c r="BZ143" s="493"/>
      <c r="CA143" s="493"/>
      <c r="CC143" s="492">
        <v>139</v>
      </c>
      <c r="CD143" s="492">
        <v>12</v>
      </c>
      <c r="CE143" s="497">
        <f>IF(('Comparison Calculator'!$E$11-CD143)&gt;=0,0,IFERROR(-PPMT($CI$66/12,(CC143-60),($F$1-5)*12,$CI$65),0))</f>
        <v>0</v>
      </c>
      <c r="CF143" s="497">
        <f>IF(('Comparison Calculator'!$E$11-CD143)&gt;=0,$C$1*$CI$66/12,IFERROR(-IPMT($CI$66/12,(CC143-60),($F$1-5)*12,$CI$65,0),0))</f>
        <v>0</v>
      </c>
      <c r="CG143" s="497">
        <f t="shared" si="73"/>
        <v>0</v>
      </c>
      <c r="CH143" s="497">
        <f t="shared" si="60"/>
        <v>1800000</v>
      </c>
      <c r="CI143" s="493"/>
      <c r="CJ143" s="493"/>
      <c r="CL143" s="492">
        <v>139</v>
      </c>
      <c r="CM143" s="492">
        <v>12</v>
      </c>
      <c r="CN143" s="497">
        <f>IF(('Comparison Calculator'!$E$11-CM143)&gt;=0,0,IFERROR(-PPMT($CR$66/12,(CL143-60),($F$1-5)*12,$CR$65),0))</f>
        <v>0</v>
      </c>
      <c r="CO143" s="497">
        <f>IF(('Comparison Calculator'!$E$11-CM143)&gt;=0,$C$1*$CI$66/12,IFERROR(-IPMT($CI$66/12,(CL143-60),($F$1-5)*12,$CI$65,0),0))</f>
        <v>0</v>
      </c>
      <c r="CP143" s="497">
        <f t="shared" si="74"/>
        <v>0</v>
      </c>
      <c r="CQ143" s="497">
        <f t="shared" si="61"/>
        <v>1800000</v>
      </c>
      <c r="CR143" s="493"/>
      <c r="CS143" s="493"/>
      <c r="CU143" s="492">
        <v>139</v>
      </c>
      <c r="CV143" s="492">
        <v>12</v>
      </c>
      <c r="CW143" s="497">
        <f>IF(('Comparison Calculator'!$E$11-CV143)&gt;=0,0,IFERROR(-PPMT($DA$66/12,(CU143-60),($F$1-5)*12,$DA$65),0))</f>
        <v>0</v>
      </c>
      <c r="CX143" s="497">
        <f>IF(('Comparison Calculator'!$E$11-CV143)&gt;=0,$C$1*$DA$66/12,IFERROR(-IPMT($DA$66/12,(CU143-60),($F$1-5)*12,$DA$65,0),0))</f>
        <v>0</v>
      </c>
      <c r="CY143" s="497">
        <f t="shared" si="75"/>
        <v>0</v>
      </c>
      <c r="CZ143" s="497">
        <f t="shared" si="62"/>
        <v>1800000</v>
      </c>
      <c r="DA143" s="493"/>
      <c r="DB143" s="493"/>
      <c r="DD143" s="492">
        <v>139</v>
      </c>
      <c r="DE143" s="492">
        <v>12</v>
      </c>
      <c r="DF143" s="497">
        <f>IF(('Comparison Calculator'!$E$11-DE143)&gt;=0,0,IFERROR(-PPMT($DJ$66/12,(DD143-60),($F$1-5)*12,$DJ$65),0))</f>
        <v>0</v>
      </c>
      <c r="DG143" s="497">
        <f>IF(('Comparison Calculator'!$E$11-DE143)&gt;=0,$C$1*$DJ$66/12,IFERROR(-IPMT($DJ$66/12,(DD143-60),($F$1-5)*12,$DJ$65,0),0))</f>
        <v>0</v>
      </c>
      <c r="DH143" s="497">
        <f t="shared" si="76"/>
        <v>0</v>
      </c>
      <c r="DI143" s="497">
        <f t="shared" si="63"/>
        <v>1800000</v>
      </c>
      <c r="DJ143" s="493"/>
      <c r="DK143" s="493"/>
    </row>
    <row r="144" spans="1:115">
      <c r="A144" s="492">
        <v>140</v>
      </c>
      <c r="B144" s="492">
        <v>12</v>
      </c>
      <c r="C144" s="497">
        <f>IF(('Comparison Calculator'!$E$11-B144)&gt;=0,0,IFERROR(-PPMT($G$66/12,(A144-60),($F$1-5)*12,$G$65),0))</f>
        <v>0</v>
      </c>
      <c r="D144" s="497">
        <f>IF(('Comparison Calculator'!$E$11-B144)&gt;=0,$C$1*$G$66/12,IFERROR(-IPMT($G$66/12,(A144-60),($F$1-5)*12,$G$65,0),0))</f>
        <v>0</v>
      </c>
      <c r="E144" s="497">
        <f t="shared" si="64"/>
        <v>0</v>
      </c>
      <c r="F144" s="497">
        <f t="shared" si="77"/>
        <v>1800000</v>
      </c>
      <c r="G144" s="493"/>
      <c r="H144" s="493"/>
      <c r="I144" s="489"/>
      <c r="J144" s="492">
        <v>140</v>
      </c>
      <c r="K144" s="492">
        <v>12</v>
      </c>
      <c r="L144" s="497">
        <f>IF(('Comparison Calculator'!$E$11-K144)&gt;=0,0,IFERROR(-PPMT($P$66/12,(J144-60),($F$1-5)*12,$P$65),0))</f>
        <v>0</v>
      </c>
      <c r="M144" s="497">
        <f>IF(('Comparison Calculator'!$E$11-K144)&gt;=0,$C$1*$P$66/12,IFERROR(-IPMT($P$66/12,(J144-60),($F$1-5)*12,$P$65,0),0))</f>
        <v>0</v>
      </c>
      <c r="N144" s="497">
        <f t="shared" si="65"/>
        <v>0</v>
      </c>
      <c r="O144" s="497">
        <f t="shared" si="52"/>
        <v>1800000</v>
      </c>
      <c r="P144" s="493"/>
      <c r="Q144" s="493"/>
      <c r="S144" s="492">
        <v>140</v>
      </c>
      <c r="T144" s="492">
        <v>12</v>
      </c>
      <c r="U144" s="497">
        <f>IF(('Comparison Calculator'!$E$11-T144)&gt;=0,0,IFERROR(-PPMT($Y$66/12,(S144-60),($F$1-5)*12,$Y$65),0))</f>
        <v>0</v>
      </c>
      <c r="V144" s="497">
        <f>IF(('Comparison Calculator'!$E$11-T144)&gt;=0,$C$1*$Y$66/12,IFERROR(-IPMT($Y$66/12,(S144-60),($F$1-5)*12,$Y$65,0),0))</f>
        <v>0</v>
      </c>
      <c r="W144" s="497">
        <f t="shared" si="66"/>
        <v>0</v>
      </c>
      <c r="X144" s="497">
        <f t="shared" si="53"/>
        <v>1800000</v>
      </c>
      <c r="Y144" s="493"/>
      <c r="Z144" s="493"/>
      <c r="AB144" s="492">
        <v>140</v>
      </c>
      <c r="AC144" s="492">
        <v>12</v>
      </c>
      <c r="AD144" s="497">
        <f>IF(('Comparison Calculator'!$E$11-AC144)&gt;=0,0,IFERROR(-PPMT($AH$66/12,(AB144-60),($F$1-5)*12,$AH$65),0))</f>
        <v>0</v>
      </c>
      <c r="AE144" s="497">
        <f>IF(('Comparison Calculator'!$E$11-AC144)&gt;=0,$C$1*$AH$66/12,IFERROR(-IPMT($AH$66/12,(AB144-60),($F$1-5)*12,$AH$65,0),0))</f>
        <v>0</v>
      </c>
      <c r="AF144" s="497">
        <f t="shared" si="67"/>
        <v>0</v>
      </c>
      <c r="AG144" s="497">
        <f t="shared" si="54"/>
        <v>1800000</v>
      </c>
      <c r="AH144" s="493"/>
      <c r="AI144" s="493"/>
      <c r="AK144" s="492">
        <v>140</v>
      </c>
      <c r="AL144" s="492">
        <v>12</v>
      </c>
      <c r="AM144" s="497">
        <f>IF(('Comparison Calculator'!$E$11-AL144)&gt;=0,0,IFERROR(-PPMT($AQ$66/12,(AK144-60),($F$1-5)*12,$AQ$65),0))</f>
        <v>0</v>
      </c>
      <c r="AN144" s="497">
        <f>IF(('Comparison Calculator'!$E$11-AL144)&gt;=0,$C$1*$AQ$66/12,IFERROR(-IPMT($AQ$66/12,(AK144-60),($F$1-5)*12,$AQ$65,0),0))</f>
        <v>0</v>
      </c>
      <c r="AO144" s="497">
        <f t="shared" si="68"/>
        <v>0</v>
      </c>
      <c r="AP144" s="497">
        <f t="shared" si="55"/>
        <v>1800000</v>
      </c>
      <c r="AQ144" s="493"/>
      <c r="AR144" s="493"/>
      <c r="AT144" s="492">
        <v>140</v>
      </c>
      <c r="AU144" s="492">
        <v>12</v>
      </c>
      <c r="AV144" s="497">
        <f>IF(('Comparison Calculator'!$E$11-AU144)&gt;=0,0,IFERROR(-PPMT($AZ$66/12,(AT144-60),($F$1-5)*12,$AZ$65),0))</f>
        <v>0</v>
      </c>
      <c r="AW144" s="497">
        <f>IF(('Comparison Calculator'!$E$11-AU144)&gt;=0,$C$1*$AZ$66/12,IFERROR(-IPMT($AZ$66/12,(AT144-60),($F$1-5)*12,$AZ$65,0),0))</f>
        <v>0</v>
      </c>
      <c r="AX144" s="497">
        <f t="shared" si="69"/>
        <v>0</v>
      </c>
      <c r="AY144" s="497">
        <f t="shared" si="56"/>
        <v>1800000</v>
      </c>
      <c r="AZ144" s="493"/>
      <c r="BA144" s="493"/>
      <c r="BC144" s="492">
        <v>140</v>
      </c>
      <c r="BD144" s="492">
        <v>12</v>
      </c>
      <c r="BE144" s="497">
        <f>IF(('Comparison Calculator'!$E$11-BD144)&gt;=0,0,IFERROR(-PPMT($BI$66/12,(BC144-60),($F$1-5)*12,$BI$65),0))</f>
        <v>0</v>
      </c>
      <c r="BF144" s="497">
        <f>IF(('Comparison Calculator'!$E$11-BD144)&gt;=0,$C$1*$BI$66/12,IFERROR(-IPMT($BI$66/12,(BC144-60),($F$1-5)*12,$BI$65,0),0))</f>
        <v>0</v>
      </c>
      <c r="BG144" s="497">
        <f t="shared" si="70"/>
        <v>0</v>
      </c>
      <c r="BH144" s="497">
        <f t="shared" si="57"/>
        <v>1800000</v>
      </c>
      <c r="BI144" s="493"/>
      <c r="BJ144" s="493"/>
      <c r="BK144" s="492">
        <v>140</v>
      </c>
      <c r="BL144" s="492">
        <v>12</v>
      </c>
      <c r="BM144" s="497">
        <f>IF(('Comparison Calculator'!$E$11-BL144)&gt;=0,0,IFERROR(-PPMT($BQ$66/12,(BK144-60),($F$1-5)*12,$BQ$65),0))</f>
        <v>0</v>
      </c>
      <c r="BN144" s="497">
        <f>IF(('Comparison Calculator'!$E$11-BL144)&gt;=0,$C$1*$BQ$66/12,IFERROR(-IPMT($BQ$66/12,(BK144-60),($F$1-5)*12,$BQ$65,0),0))</f>
        <v>0</v>
      </c>
      <c r="BO144" s="497">
        <f t="shared" si="71"/>
        <v>0</v>
      </c>
      <c r="BP144" s="497">
        <f t="shared" si="58"/>
        <v>1800000</v>
      </c>
      <c r="BQ144" s="493"/>
      <c r="BR144" s="493"/>
      <c r="BT144" s="492">
        <v>140</v>
      </c>
      <c r="BU144" s="492">
        <v>12</v>
      </c>
      <c r="BV144" s="497">
        <f>IF(('Comparison Calculator'!$E$11-BU144)&gt;=0,0,IFERROR(-PPMT($BZ$66/12,(BT144-60),($F$1-5)*12,$BZ$65),0))</f>
        <v>0</v>
      </c>
      <c r="BW144" s="497">
        <f>IF(('Comparison Calculator'!$E$11-BU144)&gt;=0,$C$1*$BZ$66/12,IFERROR(-IPMT($BZ$66/12,(BT144-60),($F$1-5)*12,$BZ$65,0),0))</f>
        <v>0</v>
      </c>
      <c r="BX144" s="497">
        <f t="shared" si="72"/>
        <v>0</v>
      </c>
      <c r="BY144" s="497">
        <f t="shared" si="59"/>
        <v>1800000</v>
      </c>
      <c r="BZ144" s="493"/>
      <c r="CA144" s="493"/>
      <c r="CC144" s="492">
        <v>140</v>
      </c>
      <c r="CD144" s="492">
        <v>12</v>
      </c>
      <c r="CE144" s="497">
        <f>IF(('Comparison Calculator'!$E$11-CD144)&gt;=0,0,IFERROR(-PPMT($CI$66/12,(CC144-60),($F$1-5)*12,$CI$65),0))</f>
        <v>0</v>
      </c>
      <c r="CF144" s="497">
        <f>IF(('Comparison Calculator'!$E$11-CD144)&gt;=0,$C$1*$CI$66/12,IFERROR(-IPMT($CI$66/12,(CC144-60),($F$1-5)*12,$CI$65,0),0))</f>
        <v>0</v>
      </c>
      <c r="CG144" s="497">
        <f t="shared" si="73"/>
        <v>0</v>
      </c>
      <c r="CH144" s="497">
        <f t="shared" si="60"/>
        <v>1800000</v>
      </c>
      <c r="CI144" s="493"/>
      <c r="CJ144" s="493"/>
      <c r="CL144" s="492">
        <v>140</v>
      </c>
      <c r="CM144" s="492">
        <v>12</v>
      </c>
      <c r="CN144" s="497">
        <f>IF(('Comparison Calculator'!$E$11-CM144)&gt;=0,0,IFERROR(-PPMT($CR$66/12,(CL144-60),($F$1-5)*12,$CR$65),0))</f>
        <v>0</v>
      </c>
      <c r="CO144" s="497">
        <f>IF(('Comparison Calculator'!$E$11-CM144)&gt;=0,$C$1*$CI$66/12,IFERROR(-IPMT($CI$66/12,(CL144-60),($F$1-5)*12,$CI$65,0),0))</f>
        <v>0</v>
      </c>
      <c r="CP144" s="497">
        <f t="shared" si="74"/>
        <v>0</v>
      </c>
      <c r="CQ144" s="497">
        <f t="shared" si="61"/>
        <v>1800000</v>
      </c>
      <c r="CR144" s="493"/>
      <c r="CS144" s="493"/>
      <c r="CU144" s="492">
        <v>140</v>
      </c>
      <c r="CV144" s="492">
        <v>12</v>
      </c>
      <c r="CW144" s="497">
        <f>IF(('Comparison Calculator'!$E$11-CV144)&gt;=0,0,IFERROR(-PPMT($DA$66/12,(CU144-60),($F$1-5)*12,$DA$65),0))</f>
        <v>0</v>
      </c>
      <c r="CX144" s="497">
        <f>IF(('Comparison Calculator'!$E$11-CV144)&gt;=0,$C$1*$DA$66/12,IFERROR(-IPMT($DA$66/12,(CU144-60),($F$1-5)*12,$DA$65,0),0))</f>
        <v>0</v>
      </c>
      <c r="CY144" s="497">
        <f t="shared" si="75"/>
        <v>0</v>
      </c>
      <c r="CZ144" s="497">
        <f t="shared" si="62"/>
        <v>1800000</v>
      </c>
      <c r="DA144" s="493"/>
      <c r="DB144" s="493"/>
      <c r="DD144" s="492">
        <v>140</v>
      </c>
      <c r="DE144" s="492">
        <v>12</v>
      </c>
      <c r="DF144" s="497">
        <f>IF(('Comparison Calculator'!$E$11-DE144)&gt;=0,0,IFERROR(-PPMT($DJ$66/12,(DD144-60),($F$1-5)*12,$DJ$65),0))</f>
        <v>0</v>
      </c>
      <c r="DG144" s="497">
        <f>IF(('Comparison Calculator'!$E$11-DE144)&gt;=0,$C$1*$DJ$66/12,IFERROR(-IPMT($DJ$66/12,(DD144-60),($F$1-5)*12,$DJ$65,0),0))</f>
        <v>0</v>
      </c>
      <c r="DH144" s="497">
        <f t="shared" si="76"/>
        <v>0</v>
      </c>
      <c r="DI144" s="497">
        <f t="shared" si="63"/>
        <v>1800000</v>
      </c>
      <c r="DJ144" s="493"/>
      <c r="DK144" s="493"/>
    </row>
    <row r="145" spans="1:115">
      <c r="A145" s="492">
        <v>141</v>
      </c>
      <c r="B145" s="492">
        <v>12</v>
      </c>
      <c r="C145" s="497">
        <f>IF(('Comparison Calculator'!$E$11-B145)&gt;=0,0,IFERROR(-PPMT($G$66/12,(A145-60),($F$1-5)*12,$G$65),0))</f>
        <v>0</v>
      </c>
      <c r="D145" s="497">
        <f>IF(('Comparison Calculator'!$E$11-B145)&gt;=0,$C$1*$G$66/12,IFERROR(-IPMT($G$66/12,(A145-60),($F$1-5)*12,$G$65,0),0))</f>
        <v>0</v>
      </c>
      <c r="E145" s="497">
        <f t="shared" si="64"/>
        <v>0</v>
      </c>
      <c r="F145" s="497">
        <f t="shared" si="77"/>
        <v>1800000</v>
      </c>
      <c r="G145" s="493"/>
      <c r="H145" s="493"/>
      <c r="I145" s="489"/>
      <c r="J145" s="492">
        <v>141</v>
      </c>
      <c r="K145" s="492">
        <v>12</v>
      </c>
      <c r="L145" s="497">
        <f>IF(('Comparison Calculator'!$E$11-K145)&gt;=0,0,IFERROR(-PPMT($P$66/12,(J145-60),($F$1-5)*12,$P$65),0))</f>
        <v>0</v>
      </c>
      <c r="M145" s="497">
        <f>IF(('Comparison Calculator'!$E$11-K145)&gt;=0,$C$1*$P$66/12,IFERROR(-IPMT($P$66/12,(J145-60),($F$1-5)*12,$P$65,0),0))</f>
        <v>0</v>
      </c>
      <c r="N145" s="497">
        <f t="shared" si="65"/>
        <v>0</v>
      </c>
      <c r="O145" s="497">
        <f t="shared" si="52"/>
        <v>1800000</v>
      </c>
      <c r="P145" s="493"/>
      <c r="Q145" s="493"/>
      <c r="S145" s="492">
        <v>141</v>
      </c>
      <c r="T145" s="492">
        <v>12</v>
      </c>
      <c r="U145" s="497">
        <f>IF(('Comparison Calculator'!$E$11-T145)&gt;=0,0,IFERROR(-PPMT($Y$66/12,(S145-60),($F$1-5)*12,$Y$65),0))</f>
        <v>0</v>
      </c>
      <c r="V145" s="497">
        <f>IF(('Comparison Calculator'!$E$11-T145)&gt;=0,$C$1*$Y$66/12,IFERROR(-IPMT($Y$66/12,(S145-60),($F$1-5)*12,$Y$65,0),0))</f>
        <v>0</v>
      </c>
      <c r="W145" s="497">
        <f t="shared" si="66"/>
        <v>0</v>
      </c>
      <c r="X145" s="497">
        <f t="shared" si="53"/>
        <v>1800000</v>
      </c>
      <c r="Y145" s="493"/>
      <c r="Z145" s="493"/>
      <c r="AB145" s="492">
        <v>141</v>
      </c>
      <c r="AC145" s="492">
        <v>12</v>
      </c>
      <c r="AD145" s="497">
        <f>IF(('Comparison Calculator'!$E$11-AC145)&gt;=0,0,IFERROR(-PPMT($AH$66/12,(AB145-60),($F$1-5)*12,$AH$65),0))</f>
        <v>0</v>
      </c>
      <c r="AE145" s="497">
        <f>IF(('Comparison Calculator'!$E$11-AC145)&gt;=0,$C$1*$AH$66/12,IFERROR(-IPMT($AH$66/12,(AB145-60),($F$1-5)*12,$AH$65,0),0))</f>
        <v>0</v>
      </c>
      <c r="AF145" s="497">
        <f t="shared" si="67"/>
        <v>0</v>
      </c>
      <c r="AG145" s="497">
        <f t="shared" si="54"/>
        <v>1800000</v>
      </c>
      <c r="AH145" s="493"/>
      <c r="AI145" s="493"/>
      <c r="AK145" s="492">
        <v>141</v>
      </c>
      <c r="AL145" s="492">
        <v>12</v>
      </c>
      <c r="AM145" s="497">
        <f>IF(('Comparison Calculator'!$E$11-AL145)&gt;=0,0,IFERROR(-PPMT($AQ$66/12,(AK145-60),($F$1-5)*12,$AQ$65),0))</f>
        <v>0</v>
      </c>
      <c r="AN145" s="497">
        <f>IF(('Comparison Calculator'!$E$11-AL145)&gt;=0,$C$1*$AQ$66/12,IFERROR(-IPMT($AQ$66/12,(AK145-60),($F$1-5)*12,$AQ$65,0),0))</f>
        <v>0</v>
      </c>
      <c r="AO145" s="497">
        <f t="shared" si="68"/>
        <v>0</v>
      </c>
      <c r="AP145" s="497">
        <f t="shared" si="55"/>
        <v>1800000</v>
      </c>
      <c r="AQ145" s="493"/>
      <c r="AR145" s="493"/>
      <c r="AT145" s="492">
        <v>141</v>
      </c>
      <c r="AU145" s="492">
        <v>12</v>
      </c>
      <c r="AV145" s="497">
        <f>IF(('Comparison Calculator'!$E$11-AU145)&gt;=0,0,IFERROR(-PPMT($AZ$66/12,(AT145-60),($F$1-5)*12,$AZ$65),0))</f>
        <v>0</v>
      </c>
      <c r="AW145" s="497">
        <f>IF(('Comparison Calculator'!$E$11-AU145)&gt;=0,$C$1*$AZ$66/12,IFERROR(-IPMT($AZ$66/12,(AT145-60),($F$1-5)*12,$AZ$65,0),0))</f>
        <v>0</v>
      </c>
      <c r="AX145" s="497">
        <f t="shared" si="69"/>
        <v>0</v>
      </c>
      <c r="AY145" s="497">
        <f t="shared" si="56"/>
        <v>1800000</v>
      </c>
      <c r="AZ145" s="493"/>
      <c r="BA145" s="493"/>
      <c r="BC145" s="492">
        <v>141</v>
      </c>
      <c r="BD145" s="492">
        <v>12</v>
      </c>
      <c r="BE145" s="497">
        <f>IF(('Comparison Calculator'!$E$11-BD145)&gt;=0,0,IFERROR(-PPMT($BI$66/12,(BC145-60),($F$1-5)*12,$BI$65),0))</f>
        <v>0</v>
      </c>
      <c r="BF145" s="497">
        <f>IF(('Comparison Calculator'!$E$11-BD145)&gt;=0,$C$1*$BI$66/12,IFERROR(-IPMT($BI$66/12,(BC145-60),($F$1-5)*12,$BI$65,0),0))</f>
        <v>0</v>
      </c>
      <c r="BG145" s="497">
        <f t="shared" si="70"/>
        <v>0</v>
      </c>
      <c r="BH145" s="497">
        <f t="shared" si="57"/>
        <v>1800000</v>
      </c>
      <c r="BI145" s="493"/>
      <c r="BJ145" s="493"/>
      <c r="BK145" s="492">
        <v>141</v>
      </c>
      <c r="BL145" s="492">
        <v>12</v>
      </c>
      <c r="BM145" s="497">
        <f>IF(('Comparison Calculator'!$E$11-BL145)&gt;=0,0,IFERROR(-PPMT($BQ$66/12,(BK145-60),($F$1-5)*12,$BQ$65),0))</f>
        <v>0</v>
      </c>
      <c r="BN145" s="497">
        <f>IF(('Comparison Calculator'!$E$11-BL145)&gt;=0,$C$1*$BQ$66/12,IFERROR(-IPMT($BQ$66/12,(BK145-60),($F$1-5)*12,$BQ$65,0),0))</f>
        <v>0</v>
      </c>
      <c r="BO145" s="497">
        <f t="shared" si="71"/>
        <v>0</v>
      </c>
      <c r="BP145" s="497">
        <f t="shared" si="58"/>
        <v>1800000</v>
      </c>
      <c r="BQ145" s="493"/>
      <c r="BR145" s="493"/>
      <c r="BT145" s="492">
        <v>141</v>
      </c>
      <c r="BU145" s="492">
        <v>12</v>
      </c>
      <c r="BV145" s="497">
        <f>IF(('Comparison Calculator'!$E$11-BU145)&gt;=0,0,IFERROR(-PPMT($BZ$66/12,(BT145-60),($F$1-5)*12,$BZ$65),0))</f>
        <v>0</v>
      </c>
      <c r="BW145" s="497">
        <f>IF(('Comparison Calculator'!$E$11-BU145)&gt;=0,$C$1*$BZ$66/12,IFERROR(-IPMT($BZ$66/12,(BT145-60),($F$1-5)*12,$BZ$65,0),0))</f>
        <v>0</v>
      </c>
      <c r="BX145" s="497">
        <f t="shared" si="72"/>
        <v>0</v>
      </c>
      <c r="BY145" s="497">
        <f t="shared" si="59"/>
        <v>1800000</v>
      </c>
      <c r="BZ145" s="493"/>
      <c r="CA145" s="493"/>
      <c r="CC145" s="492">
        <v>141</v>
      </c>
      <c r="CD145" s="492">
        <v>12</v>
      </c>
      <c r="CE145" s="497">
        <f>IF(('Comparison Calculator'!$E$11-CD145)&gt;=0,0,IFERROR(-PPMT($CI$66/12,(CC145-60),($F$1-5)*12,$CI$65),0))</f>
        <v>0</v>
      </c>
      <c r="CF145" s="497">
        <f>IF(('Comparison Calculator'!$E$11-CD145)&gt;=0,$C$1*$CI$66/12,IFERROR(-IPMT($CI$66/12,(CC145-60),($F$1-5)*12,$CI$65,0),0))</f>
        <v>0</v>
      </c>
      <c r="CG145" s="497">
        <f t="shared" si="73"/>
        <v>0</v>
      </c>
      <c r="CH145" s="497">
        <f t="shared" si="60"/>
        <v>1800000</v>
      </c>
      <c r="CI145" s="493"/>
      <c r="CJ145" s="493"/>
      <c r="CL145" s="492">
        <v>141</v>
      </c>
      <c r="CM145" s="492">
        <v>12</v>
      </c>
      <c r="CN145" s="497">
        <f>IF(('Comparison Calculator'!$E$11-CM145)&gt;=0,0,IFERROR(-PPMT($CR$66/12,(CL145-60),($F$1-5)*12,$CR$65),0))</f>
        <v>0</v>
      </c>
      <c r="CO145" s="497">
        <f>IF(('Comparison Calculator'!$E$11-CM145)&gt;=0,$C$1*$CI$66/12,IFERROR(-IPMT($CI$66/12,(CL145-60),($F$1-5)*12,$CI$65,0),0))</f>
        <v>0</v>
      </c>
      <c r="CP145" s="497">
        <f t="shared" si="74"/>
        <v>0</v>
      </c>
      <c r="CQ145" s="497">
        <f t="shared" si="61"/>
        <v>1800000</v>
      </c>
      <c r="CR145" s="493"/>
      <c r="CS145" s="493"/>
      <c r="CU145" s="492">
        <v>141</v>
      </c>
      <c r="CV145" s="492">
        <v>12</v>
      </c>
      <c r="CW145" s="497">
        <f>IF(('Comparison Calculator'!$E$11-CV145)&gt;=0,0,IFERROR(-PPMT($DA$66/12,(CU145-60),($F$1-5)*12,$DA$65),0))</f>
        <v>0</v>
      </c>
      <c r="CX145" s="497">
        <f>IF(('Comparison Calculator'!$E$11-CV145)&gt;=0,$C$1*$DA$66/12,IFERROR(-IPMT($DA$66/12,(CU145-60),($F$1-5)*12,$DA$65,0),0))</f>
        <v>0</v>
      </c>
      <c r="CY145" s="497">
        <f t="shared" si="75"/>
        <v>0</v>
      </c>
      <c r="CZ145" s="497">
        <f t="shared" si="62"/>
        <v>1800000</v>
      </c>
      <c r="DA145" s="493"/>
      <c r="DB145" s="493"/>
      <c r="DD145" s="492">
        <v>141</v>
      </c>
      <c r="DE145" s="492">
        <v>12</v>
      </c>
      <c r="DF145" s="497">
        <f>IF(('Comparison Calculator'!$E$11-DE145)&gt;=0,0,IFERROR(-PPMT($DJ$66/12,(DD145-60),($F$1-5)*12,$DJ$65),0))</f>
        <v>0</v>
      </c>
      <c r="DG145" s="497">
        <f>IF(('Comparison Calculator'!$E$11-DE145)&gt;=0,$C$1*$DJ$66/12,IFERROR(-IPMT($DJ$66/12,(DD145-60),($F$1-5)*12,$DJ$65,0),0))</f>
        <v>0</v>
      </c>
      <c r="DH145" s="497">
        <f t="shared" si="76"/>
        <v>0</v>
      </c>
      <c r="DI145" s="497">
        <f t="shared" si="63"/>
        <v>1800000</v>
      </c>
      <c r="DJ145" s="493"/>
      <c r="DK145" s="493"/>
    </row>
    <row r="146" spans="1:115">
      <c r="A146" s="492">
        <v>142</v>
      </c>
      <c r="B146" s="492">
        <v>12</v>
      </c>
      <c r="C146" s="497">
        <f>IF(('Comparison Calculator'!$E$11-B146)&gt;=0,0,IFERROR(-PPMT($G$66/12,(A146-60),($F$1-5)*12,$G$65),0))</f>
        <v>0</v>
      </c>
      <c r="D146" s="497">
        <f>IF(('Comparison Calculator'!$E$11-B146)&gt;=0,$C$1*$G$66/12,IFERROR(-IPMT($G$66/12,(A146-60),($F$1-5)*12,$G$65,0),0))</f>
        <v>0</v>
      </c>
      <c r="E146" s="497">
        <f t="shared" si="64"/>
        <v>0</v>
      </c>
      <c r="F146" s="497">
        <f t="shared" si="77"/>
        <v>1800000</v>
      </c>
      <c r="G146" s="493"/>
      <c r="H146" s="493"/>
      <c r="I146" s="489"/>
      <c r="J146" s="492">
        <v>142</v>
      </c>
      <c r="K146" s="492">
        <v>12</v>
      </c>
      <c r="L146" s="497">
        <f>IF(('Comparison Calculator'!$E$11-K146)&gt;=0,0,IFERROR(-PPMT($P$66/12,(J146-60),($F$1-5)*12,$P$65),0))</f>
        <v>0</v>
      </c>
      <c r="M146" s="497">
        <f>IF(('Comparison Calculator'!$E$11-K146)&gt;=0,$C$1*$P$66/12,IFERROR(-IPMT($P$66/12,(J146-60),($F$1-5)*12,$P$65,0),0))</f>
        <v>0</v>
      </c>
      <c r="N146" s="497">
        <f t="shared" si="65"/>
        <v>0</v>
      </c>
      <c r="O146" s="497">
        <f t="shared" si="52"/>
        <v>1800000</v>
      </c>
      <c r="P146" s="493"/>
      <c r="Q146" s="493"/>
      <c r="S146" s="492">
        <v>142</v>
      </c>
      <c r="T146" s="492">
        <v>12</v>
      </c>
      <c r="U146" s="497">
        <f>IF(('Comparison Calculator'!$E$11-T146)&gt;=0,0,IFERROR(-PPMT($Y$66/12,(S146-60),($F$1-5)*12,$Y$65),0))</f>
        <v>0</v>
      </c>
      <c r="V146" s="497">
        <f>IF(('Comparison Calculator'!$E$11-T146)&gt;=0,$C$1*$Y$66/12,IFERROR(-IPMT($Y$66/12,(S146-60),($F$1-5)*12,$Y$65,0),0))</f>
        <v>0</v>
      </c>
      <c r="W146" s="497">
        <f t="shared" si="66"/>
        <v>0</v>
      </c>
      <c r="X146" s="497">
        <f t="shared" si="53"/>
        <v>1800000</v>
      </c>
      <c r="Y146" s="493"/>
      <c r="Z146" s="493"/>
      <c r="AB146" s="492">
        <v>142</v>
      </c>
      <c r="AC146" s="492">
        <v>12</v>
      </c>
      <c r="AD146" s="497">
        <f>IF(('Comparison Calculator'!$E$11-AC146)&gt;=0,0,IFERROR(-PPMT($AH$66/12,(AB146-60),($F$1-5)*12,$AH$65),0))</f>
        <v>0</v>
      </c>
      <c r="AE146" s="497">
        <f>IF(('Comparison Calculator'!$E$11-AC146)&gt;=0,$C$1*$AH$66/12,IFERROR(-IPMT($AH$66/12,(AB146-60),($F$1-5)*12,$AH$65,0),0))</f>
        <v>0</v>
      </c>
      <c r="AF146" s="497">
        <f t="shared" si="67"/>
        <v>0</v>
      </c>
      <c r="AG146" s="497">
        <f t="shared" si="54"/>
        <v>1800000</v>
      </c>
      <c r="AH146" s="493"/>
      <c r="AI146" s="493"/>
      <c r="AK146" s="492">
        <v>142</v>
      </c>
      <c r="AL146" s="492">
        <v>12</v>
      </c>
      <c r="AM146" s="497">
        <f>IF(('Comparison Calculator'!$E$11-AL146)&gt;=0,0,IFERROR(-PPMT($AQ$66/12,(AK146-60),($F$1-5)*12,$AQ$65),0))</f>
        <v>0</v>
      </c>
      <c r="AN146" s="497">
        <f>IF(('Comparison Calculator'!$E$11-AL146)&gt;=0,$C$1*$AQ$66/12,IFERROR(-IPMT($AQ$66/12,(AK146-60),($F$1-5)*12,$AQ$65,0),0))</f>
        <v>0</v>
      </c>
      <c r="AO146" s="497">
        <f t="shared" si="68"/>
        <v>0</v>
      </c>
      <c r="AP146" s="497">
        <f t="shared" si="55"/>
        <v>1800000</v>
      </c>
      <c r="AQ146" s="493"/>
      <c r="AR146" s="493"/>
      <c r="AT146" s="492">
        <v>142</v>
      </c>
      <c r="AU146" s="492">
        <v>12</v>
      </c>
      <c r="AV146" s="497">
        <f>IF(('Comparison Calculator'!$E$11-AU146)&gt;=0,0,IFERROR(-PPMT($AZ$66/12,(AT146-60),($F$1-5)*12,$AZ$65),0))</f>
        <v>0</v>
      </c>
      <c r="AW146" s="497">
        <f>IF(('Comparison Calculator'!$E$11-AU146)&gt;=0,$C$1*$AZ$66/12,IFERROR(-IPMT($AZ$66/12,(AT146-60),($F$1-5)*12,$AZ$65,0),0))</f>
        <v>0</v>
      </c>
      <c r="AX146" s="497">
        <f t="shared" si="69"/>
        <v>0</v>
      </c>
      <c r="AY146" s="497">
        <f t="shared" si="56"/>
        <v>1800000</v>
      </c>
      <c r="AZ146" s="493"/>
      <c r="BA146" s="493"/>
      <c r="BC146" s="492">
        <v>142</v>
      </c>
      <c r="BD146" s="492">
        <v>12</v>
      </c>
      <c r="BE146" s="497">
        <f>IF(('Comparison Calculator'!$E$11-BD146)&gt;=0,0,IFERROR(-PPMT($BI$66/12,(BC146-60),($F$1-5)*12,$BI$65),0))</f>
        <v>0</v>
      </c>
      <c r="BF146" s="497">
        <f>IF(('Comparison Calculator'!$E$11-BD146)&gt;=0,$C$1*$BI$66/12,IFERROR(-IPMT($BI$66/12,(BC146-60),($F$1-5)*12,$BI$65,0),0))</f>
        <v>0</v>
      </c>
      <c r="BG146" s="497">
        <f t="shared" si="70"/>
        <v>0</v>
      </c>
      <c r="BH146" s="497">
        <f t="shared" si="57"/>
        <v>1800000</v>
      </c>
      <c r="BI146" s="493"/>
      <c r="BJ146" s="493"/>
      <c r="BK146" s="492">
        <v>142</v>
      </c>
      <c r="BL146" s="492">
        <v>12</v>
      </c>
      <c r="BM146" s="497">
        <f>IF(('Comparison Calculator'!$E$11-BL146)&gt;=0,0,IFERROR(-PPMT($BQ$66/12,(BK146-60),($F$1-5)*12,$BQ$65),0))</f>
        <v>0</v>
      </c>
      <c r="BN146" s="497">
        <f>IF(('Comparison Calculator'!$E$11-BL146)&gt;=0,$C$1*$BQ$66/12,IFERROR(-IPMT($BQ$66/12,(BK146-60),($F$1-5)*12,$BQ$65,0),0))</f>
        <v>0</v>
      </c>
      <c r="BO146" s="497">
        <f t="shared" si="71"/>
        <v>0</v>
      </c>
      <c r="BP146" s="497">
        <f t="shared" si="58"/>
        <v>1800000</v>
      </c>
      <c r="BQ146" s="493"/>
      <c r="BR146" s="493"/>
      <c r="BT146" s="492">
        <v>142</v>
      </c>
      <c r="BU146" s="492">
        <v>12</v>
      </c>
      <c r="BV146" s="497">
        <f>IF(('Comparison Calculator'!$E$11-BU146)&gt;=0,0,IFERROR(-PPMT($BZ$66/12,(BT146-60),($F$1-5)*12,$BZ$65),0))</f>
        <v>0</v>
      </c>
      <c r="BW146" s="497">
        <f>IF(('Comparison Calculator'!$E$11-BU146)&gt;=0,$C$1*$BZ$66/12,IFERROR(-IPMT($BZ$66/12,(BT146-60),($F$1-5)*12,$BZ$65,0),0))</f>
        <v>0</v>
      </c>
      <c r="BX146" s="497">
        <f t="shared" si="72"/>
        <v>0</v>
      </c>
      <c r="BY146" s="497">
        <f t="shared" si="59"/>
        <v>1800000</v>
      </c>
      <c r="BZ146" s="493"/>
      <c r="CA146" s="493"/>
      <c r="CC146" s="492">
        <v>142</v>
      </c>
      <c r="CD146" s="492">
        <v>12</v>
      </c>
      <c r="CE146" s="497">
        <f>IF(('Comparison Calculator'!$E$11-CD146)&gt;=0,0,IFERROR(-PPMT($CI$66/12,(CC146-60),($F$1-5)*12,$CI$65),0))</f>
        <v>0</v>
      </c>
      <c r="CF146" s="497">
        <f>IF(('Comparison Calculator'!$E$11-CD146)&gt;=0,$C$1*$CI$66/12,IFERROR(-IPMT($CI$66/12,(CC146-60),($F$1-5)*12,$CI$65,0),0))</f>
        <v>0</v>
      </c>
      <c r="CG146" s="497">
        <f t="shared" si="73"/>
        <v>0</v>
      </c>
      <c r="CH146" s="497">
        <f t="shared" si="60"/>
        <v>1800000</v>
      </c>
      <c r="CI146" s="493"/>
      <c r="CJ146" s="493"/>
      <c r="CL146" s="492">
        <v>142</v>
      </c>
      <c r="CM146" s="492">
        <v>12</v>
      </c>
      <c r="CN146" s="497">
        <f>IF(('Comparison Calculator'!$E$11-CM146)&gt;=0,0,IFERROR(-PPMT($CR$66/12,(CL146-60),($F$1-5)*12,$CR$65),0))</f>
        <v>0</v>
      </c>
      <c r="CO146" s="497">
        <f>IF(('Comparison Calculator'!$E$11-CM146)&gt;=0,$C$1*$CI$66/12,IFERROR(-IPMT($CI$66/12,(CL146-60),($F$1-5)*12,$CI$65,0),0))</f>
        <v>0</v>
      </c>
      <c r="CP146" s="497">
        <f t="shared" si="74"/>
        <v>0</v>
      </c>
      <c r="CQ146" s="497">
        <f t="shared" si="61"/>
        <v>1800000</v>
      </c>
      <c r="CR146" s="493"/>
      <c r="CS146" s="493"/>
      <c r="CU146" s="492">
        <v>142</v>
      </c>
      <c r="CV146" s="492">
        <v>12</v>
      </c>
      <c r="CW146" s="497">
        <f>IF(('Comparison Calculator'!$E$11-CV146)&gt;=0,0,IFERROR(-PPMT($DA$66/12,(CU146-60),($F$1-5)*12,$DA$65),0))</f>
        <v>0</v>
      </c>
      <c r="CX146" s="497">
        <f>IF(('Comparison Calculator'!$E$11-CV146)&gt;=0,$C$1*$DA$66/12,IFERROR(-IPMT($DA$66/12,(CU146-60),($F$1-5)*12,$DA$65,0),0))</f>
        <v>0</v>
      </c>
      <c r="CY146" s="497">
        <f t="shared" si="75"/>
        <v>0</v>
      </c>
      <c r="CZ146" s="497">
        <f t="shared" si="62"/>
        <v>1800000</v>
      </c>
      <c r="DA146" s="493"/>
      <c r="DB146" s="493"/>
      <c r="DD146" s="492">
        <v>142</v>
      </c>
      <c r="DE146" s="492">
        <v>12</v>
      </c>
      <c r="DF146" s="497">
        <f>IF(('Comparison Calculator'!$E$11-DE146)&gt;=0,0,IFERROR(-PPMT($DJ$66/12,(DD146-60),($F$1-5)*12,$DJ$65),0))</f>
        <v>0</v>
      </c>
      <c r="DG146" s="497">
        <f>IF(('Comparison Calculator'!$E$11-DE146)&gt;=0,$C$1*$DJ$66/12,IFERROR(-IPMT($DJ$66/12,(DD146-60),($F$1-5)*12,$DJ$65,0),0))</f>
        <v>0</v>
      </c>
      <c r="DH146" s="497">
        <f t="shared" si="76"/>
        <v>0</v>
      </c>
      <c r="DI146" s="497">
        <f t="shared" si="63"/>
        <v>1800000</v>
      </c>
      <c r="DJ146" s="493"/>
      <c r="DK146" s="493"/>
    </row>
    <row r="147" spans="1:115">
      <c r="A147" s="492">
        <v>143</v>
      </c>
      <c r="B147" s="492">
        <v>12</v>
      </c>
      <c r="C147" s="497">
        <f>IF(('Comparison Calculator'!$E$11-B147)&gt;=0,0,IFERROR(-PPMT($G$66/12,(A147-60),($F$1-5)*12,$G$65),0))</f>
        <v>0</v>
      </c>
      <c r="D147" s="497">
        <f>IF(('Comparison Calculator'!$E$11-B147)&gt;=0,$C$1*$G$66/12,IFERROR(-IPMT($G$66/12,(A147-60),($F$1-5)*12,$G$65,0),0))</f>
        <v>0</v>
      </c>
      <c r="E147" s="497">
        <f t="shared" si="64"/>
        <v>0</v>
      </c>
      <c r="F147" s="497">
        <f t="shared" si="77"/>
        <v>1800000</v>
      </c>
      <c r="G147" s="493"/>
      <c r="H147" s="493"/>
      <c r="I147" s="489"/>
      <c r="J147" s="492">
        <v>143</v>
      </c>
      <c r="K147" s="492">
        <v>12</v>
      </c>
      <c r="L147" s="497">
        <f>IF(('Comparison Calculator'!$E$11-K147)&gt;=0,0,IFERROR(-PPMT($P$66/12,(J147-60),($F$1-5)*12,$P$65),0))</f>
        <v>0</v>
      </c>
      <c r="M147" s="497">
        <f>IF(('Comparison Calculator'!$E$11-K147)&gt;=0,$C$1*$P$66/12,IFERROR(-IPMT($P$66/12,(J147-60),($F$1-5)*12,$P$65,0),0))</f>
        <v>0</v>
      </c>
      <c r="N147" s="497">
        <f t="shared" si="65"/>
        <v>0</v>
      </c>
      <c r="O147" s="497">
        <f t="shared" si="52"/>
        <v>1800000</v>
      </c>
      <c r="P147" s="493"/>
      <c r="Q147" s="493"/>
      <c r="S147" s="492">
        <v>143</v>
      </c>
      <c r="T147" s="492">
        <v>12</v>
      </c>
      <c r="U147" s="497">
        <f>IF(('Comparison Calculator'!$E$11-T147)&gt;=0,0,IFERROR(-PPMT($Y$66/12,(S147-60),($F$1-5)*12,$Y$65),0))</f>
        <v>0</v>
      </c>
      <c r="V147" s="497">
        <f>IF(('Comparison Calculator'!$E$11-T147)&gt;=0,$C$1*$Y$66/12,IFERROR(-IPMT($Y$66/12,(S147-60),($F$1-5)*12,$Y$65,0),0))</f>
        <v>0</v>
      </c>
      <c r="W147" s="497">
        <f t="shared" si="66"/>
        <v>0</v>
      </c>
      <c r="X147" s="497">
        <f t="shared" si="53"/>
        <v>1800000</v>
      </c>
      <c r="Y147" s="493"/>
      <c r="Z147" s="493"/>
      <c r="AB147" s="492">
        <v>143</v>
      </c>
      <c r="AC147" s="492">
        <v>12</v>
      </c>
      <c r="AD147" s="497">
        <f>IF(('Comparison Calculator'!$E$11-AC147)&gt;=0,0,IFERROR(-PPMT($AH$66/12,(AB147-60),($F$1-5)*12,$AH$65),0))</f>
        <v>0</v>
      </c>
      <c r="AE147" s="497">
        <f>IF(('Comparison Calculator'!$E$11-AC147)&gt;=0,$C$1*$AH$66/12,IFERROR(-IPMT($AH$66/12,(AB147-60),($F$1-5)*12,$AH$65,0),0))</f>
        <v>0</v>
      </c>
      <c r="AF147" s="497">
        <f t="shared" si="67"/>
        <v>0</v>
      </c>
      <c r="AG147" s="497">
        <f t="shared" si="54"/>
        <v>1800000</v>
      </c>
      <c r="AH147" s="493"/>
      <c r="AI147" s="493"/>
      <c r="AK147" s="492">
        <v>143</v>
      </c>
      <c r="AL147" s="492">
        <v>12</v>
      </c>
      <c r="AM147" s="497">
        <f>IF(('Comparison Calculator'!$E$11-AL147)&gt;=0,0,IFERROR(-PPMT($AQ$66/12,(AK147-60),($F$1-5)*12,$AQ$65),0))</f>
        <v>0</v>
      </c>
      <c r="AN147" s="497">
        <f>IF(('Comparison Calculator'!$E$11-AL147)&gt;=0,$C$1*$AQ$66/12,IFERROR(-IPMT($AQ$66/12,(AK147-60),($F$1-5)*12,$AQ$65,0),0))</f>
        <v>0</v>
      </c>
      <c r="AO147" s="497">
        <f t="shared" si="68"/>
        <v>0</v>
      </c>
      <c r="AP147" s="497">
        <f t="shared" si="55"/>
        <v>1800000</v>
      </c>
      <c r="AQ147" s="493"/>
      <c r="AR147" s="493"/>
      <c r="AT147" s="492">
        <v>143</v>
      </c>
      <c r="AU147" s="492">
        <v>12</v>
      </c>
      <c r="AV147" s="497">
        <f>IF(('Comparison Calculator'!$E$11-AU147)&gt;=0,0,IFERROR(-PPMT($AZ$66/12,(AT147-60),($F$1-5)*12,$AZ$65),0))</f>
        <v>0</v>
      </c>
      <c r="AW147" s="497">
        <f>IF(('Comparison Calculator'!$E$11-AU147)&gt;=0,$C$1*$AZ$66/12,IFERROR(-IPMT($AZ$66/12,(AT147-60),($F$1-5)*12,$AZ$65,0),0))</f>
        <v>0</v>
      </c>
      <c r="AX147" s="497">
        <f t="shared" si="69"/>
        <v>0</v>
      </c>
      <c r="AY147" s="497">
        <f t="shared" si="56"/>
        <v>1800000</v>
      </c>
      <c r="AZ147" s="493"/>
      <c r="BA147" s="493"/>
      <c r="BC147" s="492">
        <v>143</v>
      </c>
      <c r="BD147" s="492">
        <v>12</v>
      </c>
      <c r="BE147" s="497">
        <f>IF(('Comparison Calculator'!$E$11-BD147)&gt;=0,0,IFERROR(-PPMT($BI$66/12,(BC147-60),($F$1-5)*12,$BI$65),0))</f>
        <v>0</v>
      </c>
      <c r="BF147" s="497">
        <f>IF(('Comparison Calculator'!$E$11-BD147)&gt;=0,$C$1*$BI$66/12,IFERROR(-IPMT($BI$66/12,(BC147-60),($F$1-5)*12,$BI$65,0),0))</f>
        <v>0</v>
      </c>
      <c r="BG147" s="497">
        <f t="shared" si="70"/>
        <v>0</v>
      </c>
      <c r="BH147" s="497">
        <f t="shared" si="57"/>
        <v>1800000</v>
      </c>
      <c r="BI147" s="493"/>
      <c r="BJ147" s="493"/>
      <c r="BK147" s="492">
        <v>143</v>
      </c>
      <c r="BL147" s="492">
        <v>12</v>
      </c>
      <c r="BM147" s="497">
        <f>IF(('Comparison Calculator'!$E$11-BL147)&gt;=0,0,IFERROR(-PPMT($BQ$66/12,(BK147-60),($F$1-5)*12,$BQ$65),0))</f>
        <v>0</v>
      </c>
      <c r="BN147" s="497">
        <f>IF(('Comparison Calculator'!$E$11-BL147)&gt;=0,$C$1*$BQ$66/12,IFERROR(-IPMT($BQ$66/12,(BK147-60),($F$1-5)*12,$BQ$65,0),0))</f>
        <v>0</v>
      </c>
      <c r="BO147" s="497">
        <f t="shared" si="71"/>
        <v>0</v>
      </c>
      <c r="BP147" s="497">
        <f t="shared" si="58"/>
        <v>1800000</v>
      </c>
      <c r="BQ147" s="493"/>
      <c r="BR147" s="493"/>
      <c r="BT147" s="492">
        <v>143</v>
      </c>
      <c r="BU147" s="492">
        <v>12</v>
      </c>
      <c r="BV147" s="497">
        <f>IF(('Comparison Calculator'!$E$11-BU147)&gt;=0,0,IFERROR(-PPMT($BZ$66/12,(BT147-60),($F$1-5)*12,$BZ$65),0))</f>
        <v>0</v>
      </c>
      <c r="BW147" s="497">
        <f>IF(('Comparison Calculator'!$E$11-BU147)&gt;=0,$C$1*$BZ$66/12,IFERROR(-IPMT($BZ$66/12,(BT147-60),($F$1-5)*12,$BZ$65,0),0))</f>
        <v>0</v>
      </c>
      <c r="BX147" s="497">
        <f t="shared" si="72"/>
        <v>0</v>
      </c>
      <c r="BY147" s="497">
        <f t="shared" si="59"/>
        <v>1800000</v>
      </c>
      <c r="BZ147" s="493"/>
      <c r="CA147" s="493"/>
      <c r="CC147" s="492">
        <v>143</v>
      </c>
      <c r="CD147" s="492">
        <v>12</v>
      </c>
      <c r="CE147" s="497">
        <f>IF(('Comparison Calculator'!$E$11-CD147)&gt;=0,0,IFERROR(-PPMT($CI$66/12,(CC147-60),($F$1-5)*12,$CI$65),0))</f>
        <v>0</v>
      </c>
      <c r="CF147" s="497">
        <f>IF(('Comparison Calculator'!$E$11-CD147)&gt;=0,$C$1*$CI$66/12,IFERROR(-IPMT($CI$66/12,(CC147-60),($F$1-5)*12,$CI$65,0),0))</f>
        <v>0</v>
      </c>
      <c r="CG147" s="497">
        <f t="shared" si="73"/>
        <v>0</v>
      </c>
      <c r="CH147" s="497">
        <f t="shared" si="60"/>
        <v>1800000</v>
      </c>
      <c r="CI147" s="493"/>
      <c r="CJ147" s="493"/>
      <c r="CL147" s="492">
        <v>143</v>
      </c>
      <c r="CM147" s="492">
        <v>12</v>
      </c>
      <c r="CN147" s="497">
        <f>IF(('Comparison Calculator'!$E$11-CM147)&gt;=0,0,IFERROR(-PPMT($CR$66/12,(CL147-60),($F$1-5)*12,$CR$65),0))</f>
        <v>0</v>
      </c>
      <c r="CO147" s="497">
        <f>IF(('Comparison Calculator'!$E$11-CM147)&gt;=0,$C$1*$CI$66/12,IFERROR(-IPMT($CI$66/12,(CL147-60),($F$1-5)*12,$CI$65,0),0))</f>
        <v>0</v>
      </c>
      <c r="CP147" s="497">
        <f t="shared" si="74"/>
        <v>0</v>
      </c>
      <c r="CQ147" s="497">
        <f t="shared" si="61"/>
        <v>1800000</v>
      </c>
      <c r="CR147" s="493"/>
      <c r="CS147" s="493"/>
      <c r="CU147" s="492">
        <v>143</v>
      </c>
      <c r="CV147" s="492">
        <v>12</v>
      </c>
      <c r="CW147" s="497">
        <f>IF(('Comparison Calculator'!$E$11-CV147)&gt;=0,0,IFERROR(-PPMT($DA$66/12,(CU147-60),($F$1-5)*12,$DA$65),0))</f>
        <v>0</v>
      </c>
      <c r="CX147" s="497">
        <f>IF(('Comparison Calculator'!$E$11-CV147)&gt;=0,$C$1*$DA$66/12,IFERROR(-IPMT($DA$66/12,(CU147-60),($F$1-5)*12,$DA$65,0),0))</f>
        <v>0</v>
      </c>
      <c r="CY147" s="497">
        <f t="shared" si="75"/>
        <v>0</v>
      </c>
      <c r="CZ147" s="497">
        <f t="shared" si="62"/>
        <v>1800000</v>
      </c>
      <c r="DA147" s="493"/>
      <c r="DB147" s="493"/>
      <c r="DD147" s="492">
        <v>143</v>
      </c>
      <c r="DE147" s="492">
        <v>12</v>
      </c>
      <c r="DF147" s="497">
        <f>IF(('Comparison Calculator'!$E$11-DE147)&gt;=0,0,IFERROR(-PPMT($DJ$66/12,(DD147-60),($F$1-5)*12,$DJ$65),0))</f>
        <v>0</v>
      </c>
      <c r="DG147" s="497">
        <f>IF(('Comparison Calculator'!$E$11-DE147)&gt;=0,$C$1*$DJ$66/12,IFERROR(-IPMT($DJ$66/12,(DD147-60),($F$1-5)*12,$DJ$65,0),0))</f>
        <v>0</v>
      </c>
      <c r="DH147" s="497">
        <f t="shared" si="76"/>
        <v>0</v>
      </c>
      <c r="DI147" s="497">
        <f t="shared" si="63"/>
        <v>1800000</v>
      </c>
      <c r="DJ147" s="493"/>
      <c r="DK147" s="493"/>
    </row>
    <row r="148" spans="1:115">
      <c r="A148" s="492">
        <v>144</v>
      </c>
      <c r="B148" s="492">
        <v>12</v>
      </c>
      <c r="C148" s="497">
        <f>IF(('Comparison Calculator'!$E$11-B148)&gt;=0,0,IFERROR(-PPMT($G$66/12,(A148-60),($F$1-5)*12,$G$65),0))</f>
        <v>0</v>
      </c>
      <c r="D148" s="497">
        <f>IF(('Comparison Calculator'!$E$11-B148)&gt;=0,$C$1*$G$66/12,IFERROR(-IPMT($G$66/12,(A148-60),($F$1-5)*12,$G$65,0),0))</f>
        <v>0</v>
      </c>
      <c r="E148" s="497">
        <f t="shared" si="64"/>
        <v>0</v>
      </c>
      <c r="F148" s="497">
        <f t="shared" si="77"/>
        <v>1800000</v>
      </c>
      <c r="G148" s="493"/>
      <c r="H148" s="493"/>
      <c r="I148" s="489"/>
      <c r="J148" s="492">
        <v>144</v>
      </c>
      <c r="K148" s="492">
        <v>12</v>
      </c>
      <c r="L148" s="497">
        <f>IF(('Comparison Calculator'!$E$11-K148)&gt;=0,0,IFERROR(-PPMT($P$66/12,(J148-60),($F$1-5)*12,$P$65),0))</f>
        <v>0</v>
      </c>
      <c r="M148" s="497">
        <f>IF(('Comparison Calculator'!$E$11-K148)&gt;=0,$C$1*$P$66/12,IFERROR(-IPMT($P$66/12,(J148-60),($F$1-5)*12,$P$65,0),0))</f>
        <v>0</v>
      </c>
      <c r="N148" s="497">
        <f t="shared" si="65"/>
        <v>0</v>
      </c>
      <c r="O148" s="497">
        <f t="shared" si="52"/>
        <v>1800000</v>
      </c>
      <c r="P148" s="493"/>
      <c r="Q148" s="493"/>
      <c r="S148" s="492">
        <v>144</v>
      </c>
      <c r="T148" s="492">
        <v>12</v>
      </c>
      <c r="U148" s="497">
        <f>IF(('Comparison Calculator'!$E$11-T148)&gt;=0,0,IFERROR(-PPMT($Y$66/12,(S148-60),($F$1-5)*12,$Y$65),0))</f>
        <v>0</v>
      </c>
      <c r="V148" s="497">
        <f>IF(('Comparison Calculator'!$E$11-T148)&gt;=0,$C$1*$Y$66/12,IFERROR(-IPMT($Y$66/12,(S148-60),($F$1-5)*12,$Y$65,0),0))</f>
        <v>0</v>
      </c>
      <c r="W148" s="497">
        <f t="shared" si="66"/>
        <v>0</v>
      </c>
      <c r="X148" s="497">
        <f t="shared" si="53"/>
        <v>1800000</v>
      </c>
      <c r="Y148" s="493"/>
      <c r="Z148" s="493"/>
      <c r="AB148" s="492">
        <v>144</v>
      </c>
      <c r="AC148" s="492">
        <v>12</v>
      </c>
      <c r="AD148" s="497">
        <f>IF(('Comparison Calculator'!$E$11-AC148)&gt;=0,0,IFERROR(-PPMT($AH$66/12,(AB148-60),($F$1-5)*12,$AH$65),0))</f>
        <v>0</v>
      </c>
      <c r="AE148" s="497">
        <f>IF(('Comparison Calculator'!$E$11-AC148)&gt;=0,$C$1*$AH$66/12,IFERROR(-IPMT($AH$66/12,(AB148-60),($F$1-5)*12,$AH$65,0),0))</f>
        <v>0</v>
      </c>
      <c r="AF148" s="497">
        <f t="shared" si="67"/>
        <v>0</v>
      </c>
      <c r="AG148" s="497">
        <f t="shared" si="54"/>
        <v>1800000</v>
      </c>
      <c r="AH148" s="493"/>
      <c r="AI148" s="493"/>
      <c r="AK148" s="492">
        <v>144</v>
      </c>
      <c r="AL148" s="492">
        <v>12</v>
      </c>
      <c r="AM148" s="497">
        <f>IF(('Comparison Calculator'!$E$11-AL148)&gt;=0,0,IFERROR(-PPMT($AQ$66/12,(AK148-60),($F$1-5)*12,$AQ$65),0))</f>
        <v>0</v>
      </c>
      <c r="AN148" s="497">
        <f>IF(('Comparison Calculator'!$E$11-AL148)&gt;=0,$C$1*$AQ$66/12,IFERROR(-IPMT($AQ$66/12,(AK148-60),($F$1-5)*12,$AQ$65,0),0))</f>
        <v>0</v>
      </c>
      <c r="AO148" s="497">
        <f t="shared" si="68"/>
        <v>0</v>
      </c>
      <c r="AP148" s="497">
        <f t="shared" si="55"/>
        <v>1800000</v>
      </c>
      <c r="AQ148" s="493"/>
      <c r="AR148" s="493"/>
      <c r="AT148" s="492">
        <v>144</v>
      </c>
      <c r="AU148" s="492">
        <v>12</v>
      </c>
      <c r="AV148" s="497">
        <f>IF(('Comparison Calculator'!$E$11-AU148)&gt;=0,0,IFERROR(-PPMT($AZ$66/12,(AT148-60),($F$1-5)*12,$AZ$65),0))</f>
        <v>0</v>
      </c>
      <c r="AW148" s="497">
        <f>IF(('Comparison Calculator'!$E$11-AU148)&gt;=0,$C$1*$AZ$66/12,IFERROR(-IPMT($AZ$66/12,(AT148-60),($F$1-5)*12,$AZ$65,0),0))</f>
        <v>0</v>
      </c>
      <c r="AX148" s="497">
        <f t="shared" si="69"/>
        <v>0</v>
      </c>
      <c r="AY148" s="497">
        <f t="shared" si="56"/>
        <v>1800000</v>
      </c>
      <c r="AZ148" s="493"/>
      <c r="BA148" s="493"/>
      <c r="BC148" s="492">
        <v>144</v>
      </c>
      <c r="BD148" s="492">
        <v>12</v>
      </c>
      <c r="BE148" s="497">
        <f>IF(('Comparison Calculator'!$E$11-BD148)&gt;=0,0,IFERROR(-PPMT($BI$66/12,(BC148-60),($F$1-5)*12,$BI$65),0))</f>
        <v>0</v>
      </c>
      <c r="BF148" s="497">
        <f>IF(('Comparison Calculator'!$E$11-BD148)&gt;=0,$C$1*$BI$66/12,IFERROR(-IPMT($BI$66/12,(BC148-60),($F$1-5)*12,$BI$65,0),0))</f>
        <v>0</v>
      </c>
      <c r="BG148" s="497">
        <f t="shared" si="70"/>
        <v>0</v>
      </c>
      <c r="BH148" s="497">
        <f t="shared" si="57"/>
        <v>1800000</v>
      </c>
      <c r="BI148" s="493"/>
      <c r="BJ148" s="493"/>
      <c r="BK148" s="492">
        <v>144</v>
      </c>
      <c r="BL148" s="492">
        <v>12</v>
      </c>
      <c r="BM148" s="497">
        <f>IF(('Comparison Calculator'!$E$11-BL148)&gt;=0,0,IFERROR(-PPMT($BQ$66/12,(BK148-60),($F$1-5)*12,$BQ$65),0))</f>
        <v>0</v>
      </c>
      <c r="BN148" s="497">
        <f>IF(('Comparison Calculator'!$E$11-BL148)&gt;=0,$C$1*$BQ$66/12,IFERROR(-IPMT($BQ$66/12,(BK148-60),($F$1-5)*12,$BQ$65,0),0))</f>
        <v>0</v>
      </c>
      <c r="BO148" s="497">
        <f t="shared" si="71"/>
        <v>0</v>
      </c>
      <c r="BP148" s="497">
        <f t="shared" si="58"/>
        <v>1800000</v>
      </c>
      <c r="BQ148" s="493"/>
      <c r="BR148" s="493"/>
      <c r="BT148" s="492">
        <v>144</v>
      </c>
      <c r="BU148" s="492">
        <v>12</v>
      </c>
      <c r="BV148" s="497">
        <f>IF(('Comparison Calculator'!$E$11-BU148)&gt;=0,0,IFERROR(-PPMT($BZ$66/12,(BT148-60),($F$1-5)*12,$BZ$65),0))</f>
        <v>0</v>
      </c>
      <c r="BW148" s="497">
        <f>IF(('Comparison Calculator'!$E$11-BU148)&gt;=0,$C$1*$BZ$66/12,IFERROR(-IPMT($BZ$66/12,(BT148-60),($F$1-5)*12,$BZ$65,0),0))</f>
        <v>0</v>
      </c>
      <c r="BX148" s="497">
        <f t="shared" si="72"/>
        <v>0</v>
      </c>
      <c r="BY148" s="497">
        <f t="shared" si="59"/>
        <v>1800000</v>
      </c>
      <c r="BZ148" s="493"/>
      <c r="CA148" s="493"/>
      <c r="CC148" s="492">
        <v>144</v>
      </c>
      <c r="CD148" s="492">
        <v>12</v>
      </c>
      <c r="CE148" s="497">
        <f>IF(('Comparison Calculator'!$E$11-CD148)&gt;=0,0,IFERROR(-PPMT($CI$66/12,(CC148-60),($F$1-5)*12,$CI$65),0))</f>
        <v>0</v>
      </c>
      <c r="CF148" s="497">
        <f>IF(('Comparison Calculator'!$E$11-CD148)&gt;=0,$C$1*$CI$66/12,IFERROR(-IPMT($CI$66/12,(CC148-60),($F$1-5)*12,$CI$65,0),0))</f>
        <v>0</v>
      </c>
      <c r="CG148" s="497">
        <f t="shared" si="73"/>
        <v>0</v>
      </c>
      <c r="CH148" s="497">
        <f t="shared" si="60"/>
        <v>1800000</v>
      </c>
      <c r="CI148" s="493"/>
      <c r="CJ148" s="493"/>
      <c r="CL148" s="492">
        <v>144</v>
      </c>
      <c r="CM148" s="492">
        <v>12</v>
      </c>
      <c r="CN148" s="497">
        <f>IF(('Comparison Calculator'!$E$11-CM148)&gt;=0,0,IFERROR(-PPMT($CR$66/12,(CL148-60),($F$1-5)*12,$CR$65),0))</f>
        <v>0</v>
      </c>
      <c r="CO148" s="497">
        <f>IF(('Comparison Calculator'!$E$11-CM148)&gt;=0,$C$1*$CI$66/12,IFERROR(-IPMT($CI$66/12,(CL148-60),($F$1-5)*12,$CI$65,0),0))</f>
        <v>0</v>
      </c>
      <c r="CP148" s="497">
        <f t="shared" si="74"/>
        <v>0</v>
      </c>
      <c r="CQ148" s="497">
        <f t="shared" si="61"/>
        <v>1800000</v>
      </c>
      <c r="CR148" s="493"/>
      <c r="CS148" s="493"/>
      <c r="CU148" s="492">
        <v>144</v>
      </c>
      <c r="CV148" s="492">
        <v>12</v>
      </c>
      <c r="CW148" s="497">
        <f>IF(('Comparison Calculator'!$E$11-CV148)&gt;=0,0,IFERROR(-PPMT($DA$66/12,(CU148-60),($F$1-5)*12,$DA$65),0))</f>
        <v>0</v>
      </c>
      <c r="CX148" s="497">
        <f>IF(('Comparison Calculator'!$E$11-CV148)&gt;=0,$C$1*$DA$66/12,IFERROR(-IPMT($DA$66/12,(CU148-60),($F$1-5)*12,$DA$65,0),0))</f>
        <v>0</v>
      </c>
      <c r="CY148" s="497">
        <f t="shared" si="75"/>
        <v>0</v>
      </c>
      <c r="CZ148" s="497">
        <f t="shared" si="62"/>
        <v>1800000</v>
      </c>
      <c r="DA148" s="493"/>
      <c r="DB148" s="493"/>
      <c r="DD148" s="492">
        <v>144</v>
      </c>
      <c r="DE148" s="492">
        <v>12</v>
      </c>
      <c r="DF148" s="497">
        <f>IF(('Comparison Calculator'!$E$11-DE148)&gt;=0,0,IFERROR(-PPMT($DJ$66/12,(DD148-60),($F$1-5)*12,$DJ$65),0))</f>
        <v>0</v>
      </c>
      <c r="DG148" s="497">
        <f>IF(('Comparison Calculator'!$E$11-DE148)&gt;=0,$C$1*$DJ$66/12,IFERROR(-IPMT($DJ$66/12,(DD148-60),($F$1-5)*12,$DJ$65,0),0))</f>
        <v>0</v>
      </c>
      <c r="DH148" s="497">
        <f t="shared" si="76"/>
        <v>0</v>
      </c>
      <c r="DI148" s="497">
        <f t="shared" si="63"/>
        <v>1800000</v>
      </c>
      <c r="DJ148" s="493"/>
      <c r="DK148" s="493"/>
    </row>
    <row r="149" spans="1:115">
      <c r="A149" s="492">
        <v>145</v>
      </c>
      <c r="B149" s="492">
        <v>13</v>
      </c>
      <c r="C149" s="497">
        <f>IF(('Comparison Calculator'!$E$11-B149)&gt;=0,0,IFERROR(-PPMT($G$66/12,(A149-60),($F$1-5)*12,$G$65),0))</f>
        <v>0</v>
      </c>
      <c r="D149" s="497">
        <f>IF(('Comparison Calculator'!$E$11-B149)&gt;=0,$C$1*$G$66/12,IFERROR(-IPMT($G$66/12,(A149-60),($F$1-5)*12,$G$65,0),0))</f>
        <v>0</v>
      </c>
      <c r="E149" s="497">
        <f t="shared" si="64"/>
        <v>0</v>
      </c>
      <c r="F149" s="497">
        <f t="shared" si="77"/>
        <v>1800000</v>
      </c>
      <c r="G149" s="493"/>
      <c r="H149" s="493"/>
      <c r="I149" s="489"/>
      <c r="J149" s="492">
        <v>145</v>
      </c>
      <c r="K149" s="492">
        <v>13</v>
      </c>
      <c r="L149" s="497">
        <f>IF(('Comparison Calculator'!$E$11-K149)&gt;=0,0,IFERROR(-PPMT($P$66/12,(J149-60),($F$1-5)*12,$P$65),0))</f>
        <v>0</v>
      </c>
      <c r="M149" s="497">
        <f>IF(('Comparison Calculator'!$E$11-K149)&gt;=0,$C$1*$P$66/12,IFERROR(-IPMT($P$66/12,(J149-60),($F$1-5)*12,$P$65,0),0))</f>
        <v>0</v>
      </c>
      <c r="N149" s="497">
        <f t="shared" si="65"/>
        <v>0</v>
      </c>
      <c r="O149" s="497">
        <f t="shared" si="52"/>
        <v>1800000</v>
      </c>
      <c r="P149" s="493"/>
      <c r="Q149" s="493"/>
      <c r="S149" s="492">
        <v>145</v>
      </c>
      <c r="T149" s="492">
        <v>13</v>
      </c>
      <c r="U149" s="497">
        <f>IF(('Comparison Calculator'!$E$11-T149)&gt;=0,0,IFERROR(-PPMT($Y$66/12,(S149-60),($F$1-5)*12,$Y$65),0))</f>
        <v>0</v>
      </c>
      <c r="V149" s="497">
        <f>IF(('Comparison Calculator'!$E$11-T149)&gt;=0,$C$1*$Y$66/12,IFERROR(-IPMT($Y$66/12,(S149-60),($F$1-5)*12,$Y$65,0),0))</f>
        <v>0</v>
      </c>
      <c r="W149" s="497">
        <f t="shared" si="66"/>
        <v>0</v>
      </c>
      <c r="X149" s="497">
        <f t="shared" si="53"/>
        <v>1800000</v>
      </c>
      <c r="Y149" s="493"/>
      <c r="Z149" s="493"/>
      <c r="AB149" s="492">
        <v>145</v>
      </c>
      <c r="AC149" s="492">
        <v>13</v>
      </c>
      <c r="AD149" s="497">
        <f>IF(('Comparison Calculator'!$E$11-AC149)&gt;=0,0,IFERROR(-PPMT($AH$66/12,(AB149-60),($F$1-5)*12,$AH$65),0))</f>
        <v>0</v>
      </c>
      <c r="AE149" s="497">
        <f>IF(('Comparison Calculator'!$E$11-AC149)&gt;=0,$C$1*$AH$66/12,IFERROR(-IPMT($AH$66/12,(AB149-60),($F$1-5)*12,$AH$65,0),0))</f>
        <v>0</v>
      </c>
      <c r="AF149" s="497">
        <f t="shared" si="67"/>
        <v>0</v>
      </c>
      <c r="AG149" s="497">
        <f t="shared" si="54"/>
        <v>1800000</v>
      </c>
      <c r="AH149" s="493"/>
      <c r="AI149" s="493"/>
      <c r="AK149" s="492">
        <v>145</v>
      </c>
      <c r="AL149" s="492">
        <v>13</v>
      </c>
      <c r="AM149" s="497">
        <f>IF(('Comparison Calculator'!$E$11-AL149)&gt;=0,0,IFERROR(-PPMT($AQ$66/12,(AK149-60),($F$1-5)*12,$AQ$65),0))</f>
        <v>0</v>
      </c>
      <c r="AN149" s="497">
        <f>IF(('Comparison Calculator'!$E$11-AL149)&gt;=0,$C$1*$AQ$66/12,IFERROR(-IPMT($AQ$66/12,(AK149-60),($F$1-5)*12,$AQ$65,0),0))</f>
        <v>0</v>
      </c>
      <c r="AO149" s="497">
        <f t="shared" si="68"/>
        <v>0</v>
      </c>
      <c r="AP149" s="497">
        <f t="shared" si="55"/>
        <v>1800000</v>
      </c>
      <c r="AQ149" s="493"/>
      <c r="AR149" s="493"/>
      <c r="AT149" s="492">
        <v>145</v>
      </c>
      <c r="AU149" s="492">
        <v>13</v>
      </c>
      <c r="AV149" s="497">
        <f>IF(('Comparison Calculator'!$E$11-AU149)&gt;=0,0,IFERROR(-PPMT($AZ$66/12,(AT149-60),($F$1-5)*12,$AZ$65),0))</f>
        <v>0</v>
      </c>
      <c r="AW149" s="497">
        <f>IF(('Comparison Calculator'!$E$11-AU149)&gt;=0,$C$1*$AZ$66/12,IFERROR(-IPMT($AZ$66/12,(AT149-60),($F$1-5)*12,$AZ$65,0),0))</f>
        <v>0</v>
      </c>
      <c r="AX149" s="497">
        <f t="shared" si="69"/>
        <v>0</v>
      </c>
      <c r="AY149" s="497">
        <f t="shared" si="56"/>
        <v>1800000</v>
      </c>
      <c r="AZ149" s="493"/>
      <c r="BA149" s="493"/>
      <c r="BC149" s="492">
        <v>145</v>
      </c>
      <c r="BD149" s="492">
        <v>13</v>
      </c>
      <c r="BE149" s="497">
        <f>IF(('Comparison Calculator'!$E$11-BD149)&gt;=0,0,IFERROR(-PPMT($BI$66/12,(BC149-60),($F$1-5)*12,$BI$65),0))</f>
        <v>0</v>
      </c>
      <c r="BF149" s="497">
        <f>IF(('Comparison Calculator'!$E$11-BD149)&gt;=0,$C$1*$BI$66/12,IFERROR(-IPMT($BI$66/12,(BC149-60),($F$1-5)*12,$BI$65,0),0))</f>
        <v>0</v>
      </c>
      <c r="BG149" s="497">
        <f t="shared" si="70"/>
        <v>0</v>
      </c>
      <c r="BH149" s="497">
        <f t="shared" si="57"/>
        <v>1800000</v>
      </c>
      <c r="BI149" s="493"/>
      <c r="BJ149" s="493"/>
      <c r="BK149" s="492">
        <v>145</v>
      </c>
      <c r="BL149" s="492">
        <v>13</v>
      </c>
      <c r="BM149" s="497">
        <f>IF(('Comparison Calculator'!$E$11-BL149)&gt;=0,0,IFERROR(-PPMT($BQ$66/12,(BK149-60),($F$1-5)*12,$BQ$65),0))</f>
        <v>0</v>
      </c>
      <c r="BN149" s="497">
        <f>IF(('Comparison Calculator'!$E$11-BL149)&gt;=0,$C$1*$BQ$66/12,IFERROR(-IPMT($BQ$66/12,(BK149-60),($F$1-5)*12,$BQ$65,0),0))</f>
        <v>0</v>
      </c>
      <c r="BO149" s="497">
        <f t="shared" si="71"/>
        <v>0</v>
      </c>
      <c r="BP149" s="497">
        <f t="shared" si="58"/>
        <v>1800000</v>
      </c>
      <c r="BQ149" s="493"/>
      <c r="BR149" s="493"/>
      <c r="BT149" s="492">
        <v>145</v>
      </c>
      <c r="BU149" s="492">
        <v>13</v>
      </c>
      <c r="BV149" s="497">
        <f>IF(('Comparison Calculator'!$E$11-BU149)&gt;=0,0,IFERROR(-PPMT($BZ$66/12,(BT149-60),($F$1-5)*12,$BZ$65),0))</f>
        <v>0</v>
      </c>
      <c r="BW149" s="497">
        <f>IF(('Comparison Calculator'!$E$11-BU149)&gt;=0,$C$1*$BZ$66/12,IFERROR(-IPMT($BZ$66/12,(BT149-60),($F$1-5)*12,$BZ$65,0),0))</f>
        <v>0</v>
      </c>
      <c r="BX149" s="497">
        <f t="shared" si="72"/>
        <v>0</v>
      </c>
      <c r="BY149" s="497">
        <f t="shared" si="59"/>
        <v>1800000</v>
      </c>
      <c r="BZ149" s="493"/>
      <c r="CA149" s="493"/>
      <c r="CC149" s="492">
        <v>145</v>
      </c>
      <c r="CD149" s="492">
        <v>13</v>
      </c>
      <c r="CE149" s="497">
        <f>IF(('Comparison Calculator'!$E$11-CD149)&gt;=0,0,IFERROR(-PPMT($CI$66/12,(CC149-60),($F$1-5)*12,$CI$65),0))</f>
        <v>0</v>
      </c>
      <c r="CF149" s="497">
        <f>IF(('Comparison Calculator'!$E$11-CD149)&gt;=0,$C$1*$CI$66/12,IFERROR(-IPMT($CI$66/12,(CC149-60),($F$1-5)*12,$CI$65,0),0))</f>
        <v>0</v>
      </c>
      <c r="CG149" s="497">
        <f t="shared" si="73"/>
        <v>0</v>
      </c>
      <c r="CH149" s="497">
        <f t="shared" si="60"/>
        <v>1800000</v>
      </c>
      <c r="CI149" s="493"/>
      <c r="CJ149" s="493"/>
      <c r="CL149" s="492">
        <v>145</v>
      </c>
      <c r="CM149" s="492">
        <v>13</v>
      </c>
      <c r="CN149" s="497">
        <f>IF(('Comparison Calculator'!$E$11-CM149)&gt;=0,0,IFERROR(-PPMT($CR$66/12,(CL149-60),($F$1-5)*12,$CR$65),0))</f>
        <v>0</v>
      </c>
      <c r="CO149" s="497">
        <f>IF(('Comparison Calculator'!$E$11-CM149)&gt;=0,$C$1*$CI$66/12,IFERROR(-IPMT($CI$66/12,(CL149-60),($F$1-5)*12,$CI$65,0),0))</f>
        <v>0</v>
      </c>
      <c r="CP149" s="497">
        <f t="shared" si="74"/>
        <v>0</v>
      </c>
      <c r="CQ149" s="497">
        <f t="shared" si="61"/>
        <v>1800000</v>
      </c>
      <c r="CR149" s="493"/>
      <c r="CS149" s="493"/>
      <c r="CU149" s="492">
        <v>145</v>
      </c>
      <c r="CV149" s="492">
        <v>13</v>
      </c>
      <c r="CW149" s="497">
        <f>IF(('Comparison Calculator'!$E$11-CV149)&gt;=0,0,IFERROR(-PPMT($DA$66/12,(CU149-60),($F$1-5)*12,$DA$65),0))</f>
        <v>0</v>
      </c>
      <c r="CX149" s="497">
        <f>IF(('Comparison Calculator'!$E$11-CV149)&gt;=0,$C$1*$DA$66/12,IFERROR(-IPMT($DA$66/12,(CU149-60),($F$1-5)*12,$DA$65,0),0))</f>
        <v>0</v>
      </c>
      <c r="CY149" s="497">
        <f t="shared" si="75"/>
        <v>0</v>
      </c>
      <c r="CZ149" s="497">
        <f t="shared" si="62"/>
        <v>1800000</v>
      </c>
      <c r="DA149" s="493"/>
      <c r="DB149" s="493"/>
      <c r="DD149" s="492">
        <v>145</v>
      </c>
      <c r="DE149" s="492">
        <v>13</v>
      </c>
      <c r="DF149" s="497">
        <f>IF(('Comparison Calculator'!$E$11-DE149)&gt;=0,0,IFERROR(-PPMT($DJ$66/12,(DD149-60),($F$1-5)*12,$DJ$65),0))</f>
        <v>0</v>
      </c>
      <c r="DG149" s="497">
        <f>IF(('Comparison Calculator'!$E$11-DE149)&gt;=0,$C$1*$DJ$66/12,IFERROR(-IPMT($DJ$66/12,(DD149-60),($F$1-5)*12,$DJ$65,0),0))</f>
        <v>0</v>
      </c>
      <c r="DH149" s="497">
        <f t="shared" si="76"/>
        <v>0</v>
      </c>
      <c r="DI149" s="497">
        <f t="shared" si="63"/>
        <v>1800000</v>
      </c>
      <c r="DJ149" s="493"/>
      <c r="DK149" s="493"/>
    </row>
    <row r="150" spans="1:115">
      <c r="A150" s="492">
        <v>146</v>
      </c>
      <c r="B150" s="492">
        <v>13</v>
      </c>
      <c r="C150" s="497">
        <f>IF(('Comparison Calculator'!$E$11-B150)&gt;=0,0,IFERROR(-PPMT($G$66/12,(A150-60),($F$1-5)*12,$G$65),0))</f>
        <v>0</v>
      </c>
      <c r="D150" s="497">
        <f>IF(('Comparison Calculator'!$E$11-B150)&gt;=0,$C$1*$G$66/12,IFERROR(-IPMT($G$66/12,(A150-60),($F$1-5)*12,$G$65,0),0))</f>
        <v>0</v>
      </c>
      <c r="E150" s="497">
        <f t="shared" si="64"/>
        <v>0</v>
      </c>
      <c r="F150" s="497">
        <f t="shared" si="77"/>
        <v>1800000</v>
      </c>
      <c r="G150" s="493"/>
      <c r="H150" s="493"/>
      <c r="I150" s="489"/>
      <c r="J150" s="492">
        <v>146</v>
      </c>
      <c r="K150" s="492">
        <v>13</v>
      </c>
      <c r="L150" s="497">
        <f>IF(('Comparison Calculator'!$E$11-K150)&gt;=0,0,IFERROR(-PPMT($P$66/12,(J150-60),($F$1-5)*12,$P$65),0))</f>
        <v>0</v>
      </c>
      <c r="M150" s="497">
        <f>IF(('Comparison Calculator'!$E$11-K150)&gt;=0,$C$1*$P$66/12,IFERROR(-IPMT($P$66/12,(J150-60),($F$1-5)*12,$P$65,0),0))</f>
        <v>0</v>
      </c>
      <c r="N150" s="497">
        <f t="shared" si="65"/>
        <v>0</v>
      </c>
      <c r="O150" s="497">
        <f t="shared" si="52"/>
        <v>1800000</v>
      </c>
      <c r="P150" s="493"/>
      <c r="Q150" s="493"/>
      <c r="S150" s="492">
        <v>146</v>
      </c>
      <c r="T150" s="492">
        <v>13</v>
      </c>
      <c r="U150" s="497">
        <f>IF(('Comparison Calculator'!$E$11-T150)&gt;=0,0,IFERROR(-PPMT($Y$66/12,(S150-60),($F$1-5)*12,$Y$65),0))</f>
        <v>0</v>
      </c>
      <c r="V150" s="497">
        <f>IF(('Comparison Calculator'!$E$11-T150)&gt;=0,$C$1*$Y$66/12,IFERROR(-IPMT($Y$66/12,(S150-60),($F$1-5)*12,$Y$65,0),0))</f>
        <v>0</v>
      </c>
      <c r="W150" s="497">
        <f t="shared" si="66"/>
        <v>0</v>
      </c>
      <c r="X150" s="497">
        <f t="shared" si="53"/>
        <v>1800000</v>
      </c>
      <c r="Y150" s="493"/>
      <c r="Z150" s="493"/>
      <c r="AB150" s="492">
        <v>146</v>
      </c>
      <c r="AC150" s="492">
        <v>13</v>
      </c>
      <c r="AD150" s="497">
        <f>IF(('Comparison Calculator'!$E$11-AC150)&gt;=0,0,IFERROR(-PPMT($AH$66/12,(AB150-60),($F$1-5)*12,$AH$65),0))</f>
        <v>0</v>
      </c>
      <c r="AE150" s="497">
        <f>IF(('Comparison Calculator'!$E$11-AC150)&gt;=0,$C$1*$AH$66/12,IFERROR(-IPMT($AH$66/12,(AB150-60),($F$1-5)*12,$AH$65,0),0))</f>
        <v>0</v>
      </c>
      <c r="AF150" s="497">
        <f t="shared" si="67"/>
        <v>0</v>
      </c>
      <c r="AG150" s="497">
        <f t="shared" si="54"/>
        <v>1800000</v>
      </c>
      <c r="AH150" s="493"/>
      <c r="AI150" s="493"/>
      <c r="AK150" s="492">
        <v>146</v>
      </c>
      <c r="AL150" s="492">
        <v>13</v>
      </c>
      <c r="AM150" s="497">
        <f>IF(('Comparison Calculator'!$E$11-AL150)&gt;=0,0,IFERROR(-PPMT($AQ$66/12,(AK150-60),($F$1-5)*12,$AQ$65),0))</f>
        <v>0</v>
      </c>
      <c r="AN150" s="497">
        <f>IF(('Comparison Calculator'!$E$11-AL150)&gt;=0,$C$1*$AQ$66/12,IFERROR(-IPMT($AQ$66/12,(AK150-60),($F$1-5)*12,$AQ$65,0),0))</f>
        <v>0</v>
      </c>
      <c r="AO150" s="497">
        <f t="shared" si="68"/>
        <v>0</v>
      </c>
      <c r="AP150" s="497">
        <f t="shared" si="55"/>
        <v>1800000</v>
      </c>
      <c r="AQ150" s="493"/>
      <c r="AR150" s="493"/>
      <c r="AT150" s="492">
        <v>146</v>
      </c>
      <c r="AU150" s="492">
        <v>13</v>
      </c>
      <c r="AV150" s="497">
        <f>IF(('Comparison Calculator'!$E$11-AU150)&gt;=0,0,IFERROR(-PPMT($AZ$66/12,(AT150-60),($F$1-5)*12,$AZ$65),0))</f>
        <v>0</v>
      </c>
      <c r="AW150" s="497">
        <f>IF(('Comparison Calculator'!$E$11-AU150)&gt;=0,$C$1*$AZ$66/12,IFERROR(-IPMT($AZ$66/12,(AT150-60),($F$1-5)*12,$AZ$65,0),0))</f>
        <v>0</v>
      </c>
      <c r="AX150" s="497">
        <f t="shared" si="69"/>
        <v>0</v>
      </c>
      <c r="AY150" s="497">
        <f t="shared" si="56"/>
        <v>1800000</v>
      </c>
      <c r="AZ150" s="493"/>
      <c r="BA150" s="493"/>
      <c r="BC150" s="492">
        <v>146</v>
      </c>
      <c r="BD150" s="492">
        <v>13</v>
      </c>
      <c r="BE150" s="497">
        <f>IF(('Comparison Calculator'!$E$11-BD150)&gt;=0,0,IFERROR(-PPMT($BI$66/12,(BC150-60),($F$1-5)*12,$BI$65),0))</f>
        <v>0</v>
      </c>
      <c r="BF150" s="497">
        <f>IF(('Comparison Calculator'!$E$11-BD150)&gt;=0,$C$1*$BI$66/12,IFERROR(-IPMT($BI$66/12,(BC150-60),($F$1-5)*12,$BI$65,0),0))</f>
        <v>0</v>
      </c>
      <c r="BG150" s="497">
        <f t="shared" si="70"/>
        <v>0</v>
      </c>
      <c r="BH150" s="497">
        <f t="shared" si="57"/>
        <v>1800000</v>
      </c>
      <c r="BI150" s="493"/>
      <c r="BJ150" s="493"/>
      <c r="BK150" s="492">
        <v>146</v>
      </c>
      <c r="BL150" s="492">
        <v>13</v>
      </c>
      <c r="BM150" s="497">
        <f>IF(('Comparison Calculator'!$E$11-BL150)&gt;=0,0,IFERROR(-PPMT($BQ$66/12,(BK150-60),($F$1-5)*12,$BQ$65),0))</f>
        <v>0</v>
      </c>
      <c r="BN150" s="497">
        <f>IF(('Comparison Calculator'!$E$11-BL150)&gt;=0,$C$1*$BQ$66/12,IFERROR(-IPMT($BQ$66/12,(BK150-60),($F$1-5)*12,$BQ$65,0),0))</f>
        <v>0</v>
      </c>
      <c r="BO150" s="497">
        <f t="shared" si="71"/>
        <v>0</v>
      </c>
      <c r="BP150" s="497">
        <f t="shared" si="58"/>
        <v>1800000</v>
      </c>
      <c r="BQ150" s="493"/>
      <c r="BR150" s="493"/>
      <c r="BT150" s="492">
        <v>146</v>
      </c>
      <c r="BU150" s="492">
        <v>13</v>
      </c>
      <c r="BV150" s="497">
        <f>IF(('Comparison Calculator'!$E$11-BU150)&gt;=0,0,IFERROR(-PPMT($BZ$66/12,(BT150-60),($F$1-5)*12,$BZ$65),0))</f>
        <v>0</v>
      </c>
      <c r="BW150" s="497">
        <f>IF(('Comparison Calculator'!$E$11-BU150)&gt;=0,$C$1*$BZ$66/12,IFERROR(-IPMT($BZ$66/12,(BT150-60),($F$1-5)*12,$BZ$65,0),0))</f>
        <v>0</v>
      </c>
      <c r="BX150" s="497">
        <f t="shared" si="72"/>
        <v>0</v>
      </c>
      <c r="BY150" s="497">
        <f t="shared" si="59"/>
        <v>1800000</v>
      </c>
      <c r="BZ150" s="493"/>
      <c r="CA150" s="493"/>
      <c r="CC150" s="492">
        <v>146</v>
      </c>
      <c r="CD150" s="492">
        <v>13</v>
      </c>
      <c r="CE150" s="497">
        <f>IF(('Comparison Calculator'!$E$11-CD150)&gt;=0,0,IFERROR(-PPMT($CI$66/12,(CC150-60),($F$1-5)*12,$CI$65),0))</f>
        <v>0</v>
      </c>
      <c r="CF150" s="497">
        <f>IF(('Comparison Calculator'!$E$11-CD150)&gt;=0,$C$1*$CI$66/12,IFERROR(-IPMT($CI$66/12,(CC150-60),($F$1-5)*12,$CI$65,0),0))</f>
        <v>0</v>
      </c>
      <c r="CG150" s="497">
        <f t="shared" si="73"/>
        <v>0</v>
      </c>
      <c r="CH150" s="497">
        <f t="shared" si="60"/>
        <v>1800000</v>
      </c>
      <c r="CI150" s="493"/>
      <c r="CJ150" s="493"/>
      <c r="CL150" s="492">
        <v>146</v>
      </c>
      <c r="CM150" s="492">
        <v>13</v>
      </c>
      <c r="CN150" s="497">
        <f>IF(('Comparison Calculator'!$E$11-CM150)&gt;=0,0,IFERROR(-PPMT($CR$66/12,(CL150-60),($F$1-5)*12,$CR$65),0))</f>
        <v>0</v>
      </c>
      <c r="CO150" s="497">
        <f>IF(('Comparison Calculator'!$E$11-CM150)&gt;=0,$C$1*$CI$66/12,IFERROR(-IPMT($CI$66/12,(CL150-60),($F$1-5)*12,$CI$65,0),0))</f>
        <v>0</v>
      </c>
      <c r="CP150" s="497">
        <f t="shared" si="74"/>
        <v>0</v>
      </c>
      <c r="CQ150" s="497">
        <f t="shared" si="61"/>
        <v>1800000</v>
      </c>
      <c r="CR150" s="493"/>
      <c r="CS150" s="493"/>
      <c r="CU150" s="492">
        <v>146</v>
      </c>
      <c r="CV150" s="492">
        <v>13</v>
      </c>
      <c r="CW150" s="497">
        <f>IF(('Comparison Calculator'!$E$11-CV150)&gt;=0,0,IFERROR(-PPMT($DA$66/12,(CU150-60),($F$1-5)*12,$DA$65),0))</f>
        <v>0</v>
      </c>
      <c r="CX150" s="497">
        <f>IF(('Comparison Calculator'!$E$11-CV150)&gt;=0,$C$1*$DA$66/12,IFERROR(-IPMT($DA$66/12,(CU150-60),($F$1-5)*12,$DA$65,0),0))</f>
        <v>0</v>
      </c>
      <c r="CY150" s="497">
        <f t="shared" si="75"/>
        <v>0</v>
      </c>
      <c r="CZ150" s="497">
        <f t="shared" si="62"/>
        <v>1800000</v>
      </c>
      <c r="DA150" s="493"/>
      <c r="DB150" s="493"/>
      <c r="DD150" s="492">
        <v>146</v>
      </c>
      <c r="DE150" s="492">
        <v>13</v>
      </c>
      <c r="DF150" s="497">
        <f>IF(('Comparison Calculator'!$E$11-DE150)&gt;=0,0,IFERROR(-PPMT($DJ$66/12,(DD150-60),($F$1-5)*12,$DJ$65),0))</f>
        <v>0</v>
      </c>
      <c r="DG150" s="497">
        <f>IF(('Comparison Calculator'!$E$11-DE150)&gt;=0,$C$1*$DJ$66/12,IFERROR(-IPMT($DJ$66/12,(DD150-60),($F$1-5)*12,$DJ$65,0),0))</f>
        <v>0</v>
      </c>
      <c r="DH150" s="497">
        <f t="shared" si="76"/>
        <v>0</v>
      </c>
      <c r="DI150" s="497">
        <f t="shared" si="63"/>
        <v>1800000</v>
      </c>
      <c r="DJ150" s="493"/>
      <c r="DK150" s="493"/>
    </row>
    <row r="151" spans="1:115">
      <c r="A151" s="492">
        <v>147</v>
      </c>
      <c r="B151" s="492">
        <v>13</v>
      </c>
      <c r="C151" s="497">
        <f>IF(('Comparison Calculator'!$E$11-B151)&gt;=0,0,IFERROR(-PPMT($G$66/12,(A151-60),($F$1-5)*12,$G$65),0))</f>
        <v>0</v>
      </c>
      <c r="D151" s="497">
        <f>IF(('Comparison Calculator'!$E$11-B151)&gt;=0,$C$1*$G$66/12,IFERROR(-IPMT($G$66/12,(A151-60),($F$1-5)*12,$G$65,0),0))</f>
        <v>0</v>
      </c>
      <c r="E151" s="497">
        <f t="shared" si="64"/>
        <v>0</v>
      </c>
      <c r="F151" s="497">
        <f t="shared" si="77"/>
        <v>1800000</v>
      </c>
      <c r="G151" s="493"/>
      <c r="H151" s="493"/>
      <c r="I151" s="489"/>
      <c r="J151" s="492">
        <v>147</v>
      </c>
      <c r="K151" s="492">
        <v>13</v>
      </c>
      <c r="L151" s="497">
        <f>IF(('Comparison Calculator'!$E$11-K151)&gt;=0,0,IFERROR(-PPMT($P$66/12,(J151-60),($F$1-5)*12,$P$65),0))</f>
        <v>0</v>
      </c>
      <c r="M151" s="497">
        <f>IF(('Comparison Calculator'!$E$11-K151)&gt;=0,$C$1*$P$66/12,IFERROR(-IPMT($P$66/12,(J151-60),($F$1-5)*12,$P$65,0),0))</f>
        <v>0</v>
      </c>
      <c r="N151" s="497">
        <f t="shared" si="65"/>
        <v>0</v>
      </c>
      <c r="O151" s="497">
        <f t="shared" si="52"/>
        <v>1800000</v>
      </c>
      <c r="P151" s="493"/>
      <c r="Q151" s="493"/>
      <c r="S151" s="492">
        <v>147</v>
      </c>
      <c r="T151" s="492">
        <v>13</v>
      </c>
      <c r="U151" s="497">
        <f>IF(('Comparison Calculator'!$E$11-T151)&gt;=0,0,IFERROR(-PPMT($Y$66/12,(S151-60),($F$1-5)*12,$Y$65),0))</f>
        <v>0</v>
      </c>
      <c r="V151" s="497">
        <f>IF(('Comparison Calculator'!$E$11-T151)&gt;=0,$C$1*$Y$66/12,IFERROR(-IPMT($Y$66/12,(S151-60),($F$1-5)*12,$Y$65,0),0))</f>
        <v>0</v>
      </c>
      <c r="W151" s="497">
        <f t="shared" si="66"/>
        <v>0</v>
      </c>
      <c r="X151" s="497">
        <f t="shared" si="53"/>
        <v>1800000</v>
      </c>
      <c r="Y151" s="493"/>
      <c r="Z151" s="493"/>
      <c r="AB151" s="492">
        <v>147</v>
      </c>
      <c r="AC151" s="492">
        <v>13</v>
      </c>
      <c r="AD151" s="497">
        <f>IF(('Comparison Calculator'!$E$11-AC151)&gt;=0,0,IFERROR(-PPMT($AH$66/12,(AB151-60),($F$1-5)*12,$AH$65),0))</f>
        <v>0</v>
      </c>
      <c r="AE151" s="497">
        <f>IF(('Comparison Calculator'!$E$11-AC151)&gt;=0,$C$1*$AH$66/12,IFERROR(-IPMT($AH$66/12,(AB151-60),($F$1-5)*12,$AH$65,0),0))</f>
        <v>0</v>
      </c>
      <c r="AF151" s="497">
        <f t="shared" si="67"/>
        <v>0</v>
      </c>
      <c r="AG151" s="497">
        <f t="shared" si="54"/>
        <v>1800000</v>
      </c>
      <c r="AH151" s="493"/>
      <c r="AI151" s="493"/>
      <c r="AK151" s="492">
        <v>147</v>
      </c>
      <c r="AL151" s="492">
        <v>13</v>
      </c>
      <c r="AM151" s="497">
        <f>IF(('Comparison Calculator'!$E$11-AL151)&gt;=0,0,IFERROR(-PPMT($AQ$66/12,(AK151-60),($F$1-5)*12,$AQ$65),0))</f>
        <v>0</v>
      </c>
      <c r="AN151" s="497">
        <f>IF(('Comparison Calculator'!$E$11-AL151)&gt;=0,$C$1*$AQ$66/12,IFERROR(-IPMT($AQ$66/12,(AK151-60),($F$1-5)*12,$AQ$65,0),0))</f>
        <v>0</v>
      </c>
      <c r="AO151" s="497">
        <f t="shared" si="68"/>
        <v>0</v>
      </c>
      <c r="AP151" s="497">
        <f t="shared" si="55"/>
        <v>1800000</v>
      </c>
      <c r="AQ151" s="493"/>
      <c r="AR151" s="493"/>
      <c r="AT151" s="492">
        <v>147</v>
      </c>
      <c r="AU151" s="492">
        <v>13</v>
      </c>
      <c r="AV151" s="497">
        <f>IF(('Comparison Calculator'!$E$11-AU151)&gt;=0,0,IFERROR(-PPMT($AZ$66/12,(AT151-60),($F$1-5)*12,$AZ$65),0))</f>
        <v>0</v>
      </c>
      <c r="AW151" s="497">
        <f>IF(('Comparison Calculator'!$E$11-AU151)&gt;=0,$C$1*$AZ$66/12,IFERROR(-IPMT($AZ$66/12,(AT151-60),($F$1-5)*12,$AZ$65,0),0))</f>
        <v>0</v>
      </c>
      <c r="AX151" s="497">
        <f t="shared" si="69"/>
        <v>0</v>
      </c>
      <c r="AY151" s="497">
        <f t="shared" si="56"/>
        <v>1800000</v>
      </c>
      <c r="AZ151" s="493"/>
      <c r="BA151" s="493"/>
      <c r="BC151" s="492">
        <v>147</v>
      </c>
      <c r="BD151" s="492">
        <v>13</v>
      </c>
      <c r="BE151" s="497">
        <f>IF(('Comparison Calculator'!$E$11-BD151)&gt;=0,0,IFERROR(-PPMT($BI$66/12,(BC151-60),($F$1-5)*12,$BI$65),0))</f>
        <v>0</v>
      </c>
      <c r="BF151" s="497">
        <f>IF(('Comparison Calculator'!$E$11-BD151)&gt;=0,$C$1*$BI$66/12,IFERROR(-IPMT($BI$66/12,(BC151-60),($F$1-5)*12,$BI$65,0),0))</f>
        <v>0</v>
      </c>
      <c r="BG151" s="497">
        <f t="shared" si="70"/>
        <v>0</v>
      </c>
      <c r="BH151" s="497">
        <f t="shared" si="57"/>
        <v>1800000</v>
      </c>
      <c r="BI151" s="493"/>
      <c r="BJ151" s="493"/>
      <c r="BK151" s="492">
        <v>147</v>
      </c>
      <c r="BL151" s="492">
        <v>13</v>
      </c>
      <c r="BM151" s="497">
        <f>IF(('Comparison Calculator'!$E$11-BL151)&gt;=0,0,IFERROR(-PPMT($BQ$66/12,(BK151-60),($F$1-5)*12,$BQ$65),0))</f>
        <v>0</v>
      </c>
      <c r="BN151" s="497">
        <f>IF(('Comparison Calculator'!$E$11-BL151)&gt;=0,$C$1*$BQ$66/12,IFERROR(-IPMT($BQ$66/12,(BK151-60),($F$1-5)*12,$BQ$65,0),0))</f>
        <v>0</v>
      </c>
      <c r="BO151" s="497">
        <f t="shared" si="71"/>
        <v>0</v>
      </c>
      <c r="BP151" s="497">
        <f t="shared" si="58"/>
        <v>1800000</v>
      </c>
      <c r="BQ151" s="493"/>
      <c r="BR151" s="493"/>
      <c r="BT151" s="492">
        <v>147</v>
      </c>
      <c r="BU151" s="492">
        <v>13</v>
      </c>
      <c r="BV151" s="497">
        <f>IF(('Comparison Calculator'!$E$11-BU151)&gt;=0,0,IFERROR(-PPMT($BZ$66/12,(BT151-60),($F$1-5)*12,$BZ$65),0))</f>
        <v>0</v>
      </c>
      <c r="BW151" s="497">
        <f>IF(('Comparison Calculator'!$E$11-BU151)&gt;=0,$C$1*$BZ$66/12,IFERROR(-IPMT($BZ$66/12,(BT151-60),($F$1-5)*12,$BZ$65,0),0))</f>
        <v>0</v>
      </c>
      <c r="BX151" s="497">
        <f t="shared" si="72"/>
        <v>0</v>
      </c>
      <c r="BY151" s="497">
        <f t="shared" si="59"/>
        <v>1800000</v>
      </c>
      <c r="BZ151" s="493"/>
      <c r="CA151" s="493"/>
      <c r="CC151" s="492">
        <v>147</v>
      </c>
      <c r="CD151" s="492">
        <v>13</v>
      </c>
      <c r="CE151" s="497">
        <f>IF(('Comparison Calculator'!$E$11-CD151)&gt;=0,0,IFERROR(-PPMT($CI$66/12,(CC151-60),($F$1-5)*12,$CI$65),0))</f>
        <v>0</v>
      </c>
      <c r="CF151" s="497">
        <f>IF(('Comparison Calculator'!$E$11-CD151)&gt;=0,$C$1*$CI$66/12,IFERROR(-IPMT($CI$66/12,(CC151-60),($F$1-5)*12,$CI$65,0),0))</f>
        <v>0</v>
      </c>
      <c r="CG151" s="497">
        <f t="shared" si="73"/>
        <v>0</v>
      </c>
      <c r="CH151" s="497">
        <f t="shared" si="60"/>
        <v>1800000</v>
      </c>
      <c r="CI151" s="493"/>
      <c r="CJ151" s="493"/>
      <c r="CL151" s="492">
        <v>147</v>
      </c>
      <c r="CM151" s="492">
        <v>13</v>
      </c>
      <c r="CN151" s="497">
        <f>IF(('Comparison Calculator'!$E$11-CM151)&gt;=0,0,IFERROR(-PPMT($CR$66/12,(CL151-60),($F$1-5)*12,$CR$65),0))</f>
        <v>0</v>
      </c>
      <c r="CO151" s="497">
        <f>IF(('Comparison Calculator'!$E$11-CM151)&gt;=0,$C$1*$CI$66/12,IFERROR(-IPMT($CI$66/12,(CL151-60),($F$1-5)*12,$CI$65,0),0))</f>
        <v>0</v>
      </c>
      <c r="CP151" s="497">
        <f t="shared" si="74"/>
        <v>0</v>
      </c>
      <c r="CQ151" s="497">
        <f t="shared" si="61"/>
        <v>1800000</v>
      </c>
      <c r="CR151" s="493"/>
      <c r="CS151" s="493"/>
      <c r="CU151" s="492">
        <v>147</v>
      </c>
      <c r="CV151" s="492">
        <v>13</v>
      </c>
      <c r="CW151" s="497">
        <f>IF(('Comparison Calculator'!$E$11-CV151)&gt;=0,0,IFERROR(-PPMT($DA$66/12,(CU151-60),($F$1-5)*12,$DA$65),0))</f>
        <v>0</v>
      </c>
      <c r="CX151" s="497">
        <f>IF(('Comparison Calculator'!$E$11-CV151)&gt;=0,$C$1*$DA$66/12,IFERROR(-IPMT($DA$66/12,(CU151-60),($F$1-5)*12,$DA$65,0),0))</f>
        <v>0</v>
      </c>
      <c r="CY151" s="497">
        <f t="shared" si="75"/>
        <v>0</v>
      </c>
      <c r="CZ151" s="497">
        <f t="shared" si="62"/>
        <v>1800000</v>
      </c>
      <c r="DA151" s="493"/>
      <c r="DB151" s="493"/>
      <c r="DD151" s="492">
        <v>147</v>
      </c>
      <c r="DE151" s="492">
        <v>13</v>
      </c>
      <c r="DF151" s="497">
        <f>IF(('Comparison Calculator'!$E$11-DE151)&gt;=0,0,IFERROR(-PPMT($DJ$66/12,(DD151-60),($F$1-5)*12,$DJ$65),0))</f>
        <v>0</v>
      </c>
      <c r="DG151" s="497">
        <f>IF(('Comparison Calculator'!$E$11-DE151)&gt;=0,$C$1*$DJ$66/12,IFERROR(-IPMT($DJ$66/12,(DD151-60),($F$1-5)*12,$DJ$65,0),0))</f>
        <v>0</v>
      </c>
      <c r="DH151" s="497">
        <f t="shared" si="76"/>
        <v>0</v>
      </c>
      <c r="DI151" s="497">
        <f t="shared" si="63"/>
        <v>1800000</v>
      </c>
      <c r="DJ151" s="493"/>
      <c r="DK151" s="493"/>
    </row>
    <row r="152" spans="1:115">
      <c r="A152" s="492">
        <v>148</v>
      </c>
      <c r="B152" s="492">
        <v>13</v>
      </c>
      <c r="C152" s="497">
        <f>IF(('Comparison Calculator'!$E$11-B152)&gt;=0,0,IFERROR(-PPMT($G$66/12,(A152-60),($F$1-5)*12,$G$65),0))</f>
        <v>0</v>
      </c>
      <c r="D152" s="497">
        <f>IF(('Comparison Calculator'!$E$11-B152)&gt;=0,$C$1*$G$66/12,IFERROR(-IPMT($G$66/12,(A152-60),($F$1-5)*12,$G$65,0),0))</f>
        <v>0</v>
      </c>
      <c r="E152" s="497">
        <f t="shared" si="64"/>
        <v>0</v>
      </c>
      <c r="F152" s="497">
        <f t="shared" si="77"/>
        <v>1800000</v>
      </c>
      <c r="G152" s="493"/>
      <c r="H152" s="493"/>
      <c r="I152" s="489"/>
      <c r="J152" s="492">
        <v>148</v>
      </c>
      <c r="K152" s="492">
        <v>13</v>
      </c>
      <c r="L152" s="497">
        <f>IF(('Comparison Calculator'!$E$11-K152)&gt;=0,0,IFERROR(-PPMT($P$66/12,(J152-60),($F$1-5)*12,$P$65),0))</f>
        <v>0</v>
      </c>
      <c r="M152" s="497">
        <f>IF(('Comparison Calculator'!$E$11-K152)&gt;=0,$C$1*$P$66/12,IFERROR(-IPMT($P$66/12,(J152-60),($F$1-5)*12,$P$65,0),0))</f>
        <v>0</v>
      </c>
      <c r="N152" s="497">
        <f t="shared" si="65"/>
        <v>0</v>
      </c>
      <c r="O152" s="497">
        <f t="shared" si="52"/>
        <v>1800000</v>
      </c>
      <c r="P152" s="493"/>
      <c r="Q152" s="493"/>
      <c r="S152" s="492">
        <v>148</v>
      </c>
      <c r="T152" s="492">
        <v>13</v>
      </c>
      <c r="U152" s="497">
        <f>IF(('Comparison Calculator'!$E$11-T152)&gt;=0,0,IFERROR(-PPMT($Y$66/12,(S152-60),($F$1-5)*12,$Y$65),0))</f>
        <v>0</v>
      </c>
      <c r="V152" s="497">
        <f>IF(('Comparison Calculator'!$E$11-T152)&gt;=0,$C$1*$Y$66/12,IFERROR(-IPMT($Y$66/12,(S152-60),($F$1-5)*12,$Y$65,0),0))</f>
        <v>0</v>
      </c>
      <c r="W152" s="497">
        <f t="shared" si="66"/>
        <v>0</v>
      </c>
      <c r="X152" s="497">
        <f t="shared" si="53"/>
        <v>1800000</v>
      </c>
      <c r="Y152" s="493"/>
      <c r="Z152" s="493"/>
      <c r="AB152" s="492">
        <v>148</v>
      </c>
      <c r="AC152" s="492">
        <v>13</v>
      </c>
      <c r="AD152" s="497">
        <f>IF(('Comparison Calculator'!$E$11-AC152)&gt;=0,0,IFERROR(-PPMT($AH$66/12,(AB152-60),($F$1-5)*12,$AH$65),0))</f>
        <v>0</v>
      </c>
      <c r="AE152" s="497">
        <f>IF(('Comparison Calculator'!$E$11-AC152)&gt;=0,$C$1*$AH$66/12,IFERROR(-IPMT($AH$66/12,(AB152-60),($F$1-5)*12,$AH$65,0),0))</f>
        <v>0</v>
      </c>
      <c r="AF152" s="497">
        <f t="shared" si="67"/>
        <v>0</v>
      </c>
      <c r="AG152" s="497">
        <f t="shared" si="54"/>
        <v>1800000</v>
      </c>
      <c r="AH152" s="493"/>
      <c r="AI152" s="493"/>
      <c r="AK152" s="492">
        <v>148</v>
      </c>
      <c r="AL152" s="492">
        <v>13</v>
      </c>
      <c r="AM152" s="497">
        <f>IF(('Comparison Calculator'!$E$11-AL152)&gt;=0,0,IFERROR(-PPMT($AQ$66/12,(AK152-60),($F$1-5)*12,$AQ$65),0))</f>
        <v>0</v>
      </c>
      <c r="AN152" s="497">
        <f>IF(('Comparison Calculator'!$E$11-AL152)&gt;=0,$C$1*$AQ$66/12,IFERROR(-IPMT($AQ$66/12,(AK152-60),($F$1-5)*12,$AQ$65,0),0))</f>
        <v>0</v>
      </c>
      <c r="AO152" s="497">
        <f t="shared" si="68"/>
        <v>0</v>
      </c>
      <c r="AP152" s="497">
        <f t="shared" si="55"/>
        <v>1800000</v>
      </c>
      <c r="AQ152" s="493"/>
      <c r="AR152" s="493"/>
      <c r="AT152" s="492">
        <v>148</v>
      </c>
      <c r="AU152" s="492">
        <v>13</v>
      </c>
      <c r="AV152" s="497">
        <f>IF(('Comparison Calculator'!$E$11-AU152)&gt;=0,0,IFERROR(-PPMT($AZ$66/12,(AT152-60),($F$1-5)*12,$AZ$65),0))</f>
        <v>0</v>
      </c>
      <c r="AW152" s="497">
        <f>IF(('Comparison Calculator'!$E$11-AU152)&gt;=0,$C$1*$AZ$66/12,IFERROR(-IPMT($AZ$66/12,(AT152-60),($F$1-5)*12,$AZ$65,0),0))</f>
        <v>0</v>
      </c>
      <c r="AX152" s="497">
        <f t="shared" si="69"/>
        <v>0</v>
      </c>
      <c r="AY152" s="497">
        <f t="shared" si="56"/>
        <v>1800000</v>
      </c>
      <c r="AZ152" s="493"/>
      <c r="BA152" s="493"/>
      <c r="BC152" s="492">
        <v>148</v>
      </c>
      <c r="BD152" s="492">
        <v>13</v>
      </c>
      <c r="BE152" s="497">
        <f>IF(('Comparison Calculator'!$E$11-BD152)&gt;=0,0,IFERROR(-PPMT($BI$66/12,(BC152-60),($F$1-5)*12,$BI$65),0))</f>
        <v>0</v>
      </c>
      <c r="BF152" s="497">
        <f>IF(('Comparison Calculator'!$E$11-BD152)&gt;=0,$C$1*$BI$66/12,IFERROR(-IPMT($BI$66/12,(BC152-60),($F$1-5)*12,$BI$65,0),0))</f>
        <v>0</v>
      </c>
      <c r="BG152" s="497">
        <f t="shared" si="70"/>
        <v>0</v>
      </c>
      <c r="BH152" s="497">
        <f t="shared" si="57"/>
        <v>1800000</v>
      </c>
      <c r="BI152" s="493"/>
      <c r="BJ152" s="493"/>
      <c r="BK152" s="492">
        <v>148</v>
      </c>
      <c r="BL152" s="492">
        <v>13</v>
      </c>
      <c r="BM152" s="497">
        <f>IF(('Comparison Calculator'!$E$11-BL152)&gt;=0,0,IFERROR(-PPMT($BQ$66/12,(BK152-60),($F$1-5)*12,$BQ$65),0))</f>
        <v>0</v>
      </c>
      <c r="BN152" s="497">
        <f>IF(('Comparison Calculator'!$E$11-BL152)&gt;=0,$C$1*$BQ$66/12,IFERROR(-IPMT($BQ$66/12,(BK152-60),($F$1-5)*12,$BQ$65,0),0))</f>
        <v>0</v>
      </c>
      <c r="BO152" s="497">
        <f t="shared" si="71"/>
        <v>0</v>
      </c>
      <c r="BP152" s="497">
        <f t="shared" si="58"/>
        <v>1800000</v>
      </c>
      <c r="BQ152" s="493"/>
      <c r="BR152" s="493"/>
      <c r="BT152" s="492">
        <v>148</v>
      </c>
      <c r="BU152" s="492">
        <v>13</v>
      </c>
      <c r="BV152" s="497">
        <f>IF(('Comparison Calculator'!$E$11-BU152)&gt;=0,0,IFERROR(-PPMT($BZ$66/12,(BT152-60),($F$1-5)*12,$BZ$65),0))</f>
        <v>0</v>
      </c>
      <c r="BW152" s="497">
        <f>IF(('Comparison Calculator'!$E$11-BU152)&gt;=0,$C$1*$BZ$66/12,IFERROR(-IPMT($BZ$66/12,(BT152-60),($F$1-5)*12,$BZ$65,0),0))</f>
        <v>0</v>
      </c>
      <c r="BX152" s="497">
        <f t="shared" si="72"/>
        <v>0</v>
      </c>
      <c r="BY152" s="497">
        <f t="shared" si="59"/>
        <v>1800000</v>
      </c>
      <c r="BZ152" s="493"/>
      <c r="CA152" s="493"/>
      <c r="CC152" s="492">
        <v>148</v>
      </c>
      <c r="CD152" s="492">
        <v>13</v>
      </c>
      <c r="CE152" s="497">
        <f>IF(('Comparison Calculator'!$E$11-CD152)&gt;=0,0,IFERROR(-PPMT($CI$66/12,(CC152-60),($F$1-5)*12,$CI$65),0))</f>
        <v>0</v>
      </c>
      <c r="CF152" s="497">
        <f>IF(('Comparison Calculator'!$E$11-CD152)&gt;=0,$C$1*$CI$66/12,IFERROR(-IPMT($CI$66/12,(CC152-60),($F$1-5)*12,$CI$65,0),0))</f>
        <v>0</v>
      </c>
      <c r="CG152" s="497">
        <f t="shared" si="73"/>
        <v>0</v>
      </c>
      <c r="CH152" s="497">
        <f t="shared" si="60"/>
        <v>1800000</v>
      </c>
      <c r="CI152" s="493"/>
      <c r="CJ152" s="493"/>
      <c r="CL152" s="492">
        <v>148</v>
      </c>
      <c r="CM152" s="492">
        <v>13</v>
      </c>
      <c r="CN152" s="497">
        <f>IF(('Comparison Calculator'!$E$11-CM152)&gt;=0,0,IFERROR(-PPMT($CR$66/12,(CL152-60),($F$1-5)*12,$CR$65),0))</f>
        <v>0</v>
      </c>
      <c r="CO152" s="497">
        <f>IF(('Comparison Calculator'!$E$11-CM152)&gt;=0,$C$1*$CI$66/12,IFERROR(-IPMT($CI$66/12,(CL152-60),($F$1-5)*12,$CI$65,0),0))</f>
        <v>0</v>
      </c>
      <c r="CP152" s="497">
        <f t="shared" si="74"/>
        <v>0</v>
      </c>
      <c r="CQ152" s="497">
        <f t="shared" si="61"/>
        <v>1800000</v>
      </c>
      <c r="CR152" s="493"/>
      <c r="CS152" s="493"/>
      <c r="CU152" s="492">
        <v>148</v>
      </c>
      <c r="CV152" s="492">
        <v>13</v>
      </c>
      <c r="CW152" s="497">
        <f>IF(('Comparison Calculator'!$E$11-CV152)&gt;=0,0,IFERROR(-PPMT($DA$66/12,(CU152-60),($F$1-5)*12,$DA$65),0))</f>
        <v>0</v>
      </c>
      <c r="CX152" s="497">
        <f>IF(('Comparison Calculator'!$E$11-CV152)&gt;=0,$C$1*$DA$66/12,IFERROR(-IPMT($DA$66/12,(CU152-60),($F$1-5)*12,$DA$65,0),0))</f>
        <v>0</v>
      </c>
      <c r="CY152" s="497">
        <f t="shared" si="75"/>
        <v>0</v>
      </c>
      <c r="CZ152" s="497">
        <f t="shared" si="62"/>
        <v>1800000</v>
      </c>
      <c r="DA152" s="493"/>
      <c r="DB152" s="493"/>
      <c r="DD152" s="492">
        <v>148</v>
      </c>
      <c r="DE152" s="492">
        <v>13</v>
      </c>
      <c r="DF152" s="497">
        <f>IF(('Comparison Calculator'!$E$11-DE152)&gt;=0,0,IFERROR(-PPMT($DJ$66/12,(DD152-60),($F$1-5)*12,$DJ$65),0))</f>
        <v>0</v>
      </c>
      <c r="DG152" s="497">
        <f>IF(('Comparison Calculator'!$E$11-DE152)&gt;=0,$C$1*$DJ$66/12,IFERROR(-IPMT($DJ$66/12,(DD152-60),($F$1-5)*12,$DJ$65,0),0))</f>
        <v>0</v>
      </c>
      <c r="DH152" s="497">
        <f t="shared" si="76"/>
        <v>0</v>
      </c>
      <c r="DI152" s="497">
        <f t="shared" si="63"/>
        <v>1800000</v>
      </c>
      <c r="DJ152" s="493"/>
      <c r="DK152" s="493"/>
    </row>
    <row r="153" spans="1:115">
      <c r="A153" s="492">
        <v>149</v>
      </c>
      <c r="B153" s="492">
        <v>13</v>
      </c>
      <c r="C153" s="497">
        <f>IF(('Comparison Calculator'!$E$11-B153)&gt;=0,0,IFERROR(-PPMT($G$66/12,(A153-60),($F$1-5)*12,$G$65),0))</f>
        <v>0</v>
      </c>
      <c r="D153" s="497">
        <f>IF(('Comparison Calculator'!$E$11-B153)&gt;=0,$C$1*$G$66/12,IFERROR(-IPMT($G$66/12,(A153-60),($F$1-5)*12,$G$65,0),0))</f>
        <v>0</v>
      </c>
      <c r="E153" s="497">
        <f t="shared" si="64"/>
        <v>0</v>
      </c>
      <c r="F153" s="497">
        <f t="shared" si="77"/>
        <v>1800000</v>
      </c>
      <c r="G153" s="493"/>
      <c r="H153" s="493"/>
      <c r="I153" s="489"/>
      <c r="J153" s="492">
        <v>149</v>
      </c>
      <c r="K153" s="492">
        <v>13</v>
      </c>
      <c r="L153" s="497">
        <f>IF(('Comparison Calculator'!$E$11-K153)&gt;=0,0,IFERROR(-PPMT($P$66/12,(J153-60),($F$1-5)*12,$P$65),0))</f>
        <v>0</v>
      </c>
      <c r="M153" s="497">
        <f>IF(('Comparison Calculator'!$E$11-K153)&gt;=0,$C$1*$P$66/12,IFERROR(-IPMT($P$66/12,(J153-60),($F$1-5)*12,$P$65,0),0))</f>
        <v>0</v>
      </c>
      <c r="N153" s="497">
        <f t="shared" si="65"/>
        <v>0</v>
      </c>
      <c r="O153" s="497">
        <f t="shared" ref="O153:O216" si="78">O152-L153</f>
        <v>1800000</v>
      </c>
      <c r="P153" s="493"/>
      <c r="Q153" s="493"/>
      <c r="S153" s="492">
        <v>149</v>
      </c>
      <c r="T153" s="492">
        <v>13</v>
      </c>
      <c r="U153" s="497">
        <f>IF(('Comparison Calculator'!$E$11-T153)&gt;=0,0,IFERROR(-PPMT($Y$66/12,(S153-60),($F$1-5)*12,$Y$65),0))</f>
        <v>0</v>
      </c>
      <c r="V153" s="497">
        <f>IF(('Comparison Calculator'!$E$11-T153)&gt;=0,$C$1*$Y$66/12,IFERROR(-IPMT($Y$66/12,(S153-60),($F$1-5)*12,$Y$65,0),0))</f>
        <v>0</v>
      </c>
      <c r="W153" s="497">
        <f t="shared" si="66"/>
        <v>0</v>
      </c>
      <c r="X153" s="497">
        <f t="shared" ref="X153:X216" si="79">X152-U153</f>
        <v>1800000</v>
      </c>
      <c r="Y153" s="493"/>
      <c r="Z153" s="493"/>
      <c r="AB153" s="492">
        <v>149</v>
      </c>
      <c r="AC153" s="492">
        <v>13</v>
      </c>
      <c r="AD153" s="497">
        <f>IF(('Comparison Calculator'!$E$11-AC153)&gt;=0,0,IFERROR(-PPMT($AH$66/12,(AB153-60),($F$1-5)*12,$AH$65),0))</f>
        <v>0</v>
      </c>
      <c r="AE153" s="497">
        <f>IF(('Comparison Calculator'!$E$11-AC153)&gt;=0,$C$1*$AH$66/12,IFERROR(-IPMT($AH$66/12,(AB153-60),($F$1-5)*12,$AH$65,0),0))</f>
        <v>0</v>
      </c>
      <c r="AF153" s="497">
        <f t="shared" si="67"/>
        <v>0</v>
      </c>
      <c r="AG153" s="497">
        <f t="shared" ref="AG153:AG216" si="80">AG152-AD153</f>
        <v>1800000</v>
      </c>
      <c r="AH153" s="493"/>
      <c r="AI153" s="493"/>
      <c r="AK153" s="492">
        <v>149</v>
      </c>
      <c r="AL153" s="492">
        <v>13</v>
      </c>
      <c r="AM153" s="497">
        <f>IF(('Comparison Calculator'!$E$11-AL153)&gt;=0,0,IFERROR(-PPMT($AQ$66/12,(AK153-60),($F$1-5)*12,$AQ$65),0))</f>
        <v>0</v>
      </c>
      <c r="AN153" s="497">
        <f>IF(('Comparison Calculator'!$E$11-AL153)&gt;=0,$C$1*$AQ$66/12,IFERROR(-IPMT($AQ$66/12,(AK153-60),($F$1-5)*12,$AQ$65,0),0))</f>
        <v>0</v>
      </c>
      <c r="AO153" s="497">
        <f t="shared" si="68"/>
        <v>0</v>
      </c>
      <c r="AP153" s="497">
        <f t="shared" ref="AP153:AP216" si="81">AP152-AM153</f>
        <v>1800000</v>
      </c>
      <c r="AQ153" s="493"/>
      <c r="AR153" s="493"/>
      <c r="AT153" s="492">
        <v>149</v>
      </c>
      <c r="AU153" s="492">
        <v>13</v>
      </c>
      <c r="AV153" s="497">
        <f>IF(('Comparison Calculator'!$E$11-AU153)&gt;=0,0,IFERROR(-PPMT($AZ$66/12,(AT153-60),($F$1-5)*12,$AZ$65),0))</f>
        <v>0</v>
      </c>
      <c r="AW153" s="497">
        <f>IF(('Comparison Calculator'!$E$11-AU153)&gt;=0,$C$1*$AZ$66/12,IFERROR(-IPMT($AZ$66/12,(AT153-60),($F$1-5)*12,$AZ$65,0),0))</f>
        <v>0</v>
      </c>
      <c r="AX153" s="497">
        <f t="shared" si="69"/>
        <v>0</v>
      </c>
      <c r="AY153" s="497">
        <f t="shared" ref="AY153:AY216" si="82">AY152-AV153</f>
        <v>1800000</v>
      </c>
      <c r="AZ153" s="493"/>
      <c r="BA153" s="493"/>
      <c r="BC153" s="492">
        <v>149</v>
      </c>
      <c r="BD153" s="492">
        <v>13</v>
      </c>
      <c r="BE153" s="497">
        <f>IF(('Comparison Calculator'!$E$11-BD153)&gt;=0,0,IFERROR(-PPMT($BI$66/12,(BC153-60),($F$1-5)*12,$BI$65),0))</f>
        <v>0</v>
      </c>
      <c r="BF153" s="497">
        <f>IF(('Comparison Calculator'!$E$11-BD153)&gt;=0,$C$1*$BI$66/12,IFERROR(-IPMT($BI$66/12,(BC153-60),($F$1-5)*12,$BI$65,0),0))</f>
        <v>0</v>
      </c>
      <c r="BG153" s="497">
        <f t="shared" si="70"/>
        <v>0</v>
      </c>
      <c r="BH153" s="497">
        <f t="shared" ref="BH153:BH216" si="83">BH152-BE153</f>
        <v>1800000</v>
      </c>
      <c r="BI153" s="493"/>
      <c r="BJ153" s="493"/>
      <c r="BK153" s="492">
        <v>149</v>
      </c>
      <c r="BL153" s="492">
        <v>13</v>
      </c>
      <c r="BM153" s="497">
        <f>IF(('Comparison Calculator'!$E$11-BL153)&gt;=0,0,IFERROR(-PPMT($BQ$66/12,(BK153-60),($F$1-5)*12,$BQ$65),0))</f>
        <v>0</v>
      </c>
      <c r="BN153" s="497">
        <f>IF(('Comparison Calculator'!$E$11-BL153)&gt;=0,$C$1*$BQ$66/12,IFERROR(-IPMT($BQ$66/12,(BK153-60),($F$1-5)*12,$BQ$65,0),0))</f>
        <v>0</v>
      </c>
      <c r="BO153" s="497">
        <f t="shared" si="71"/>
        <v>0</v>
      </c>
      <c r="BP153" s="497">
        <f t="shared" ref="BP153:BP216" si="84">BP152-BM153</f>
        <v>1800000</v>
      </c>
      <c r="BQ153" s="493"/>
      <c r="BR153" s="493"/>
      <c r="BT153" s="492">
        <v>149</v>
      </c>
      <c r="BU153" s="492">
        <v>13</v>
      </c>
      <c r="BV153" s="497">
        <f>IF(('Comparison Calculator'!$E$11-BU153)&gt;=0,0,IFERROR(-PPMT($BZ$66/12,(BT153-60),($F$1-5)*12,$BZ$65),0))</f>
        <v>0</v>
      </c>
      <c r="BW153" s="497">
        <f>IF(('Comparison Calculator'!$E$11-BU153)&gt;=0,$C$1*$BZ$66/12,IFERROR(-IPMT($BZ$66/12,(BT153-60),($F$1-5)*12,$BZ$65,0),0))</f>
        <v>0</v>
      </c>
      <c r="BX153" s="497">
        <f t="shared" si="72"/>
        <v>0</v>
      </c>
      <c r="BY153" s="497">
        <f t="shared" ref="BY153:BY216" si="85">BY152-BV153</f>
        <v>1800000</v>
      </c>
      <c r="BZ153" s="493"/>
      <c r="CA153" s="493"/>
      <c r="CC153" s="492">
        <v>149</v>
      </c>
      <c r="CD153" s="492">
        <v>13</v>
      </c>
      <c r="CE153" s="497">
        <f>IF(('Comparison Calculator'!$E$11-CD153)&gt;=0,0,IFERROR(-PPMT($CI$66/12,(CC153-60),($F$1-5)*12,$CI$65),0))</f>
        <v>0</v>
      </c>
      <c r="CF153" s="497">
        <f>IF(('Comparison Calculator'!$E$11-CD153)&gt;=0,$C$1*$CI$66/12,IFERROR(-IPMT($CI$66/12,(CC153-60),($F$1-5)*12,$CI$65,0),0))</f>
        <v>0</v>
      </c>
      <c r="CG153" s="497">
        <f t="shared" si="73"/>
        <v>0</v>
      </c>
      <c r="CH153" s="497">
        <f t="shared" ref="CH153:CH216" si="86">CH152-CE153</f>
        <v>1800000</v>
      </c>
      <c r="CI153" s="493"/>
      <c r="CJ153" s="493"/>
      <c r="CL153" s="492">
        <v>149</v>
      </c>
      <c r="CM153" s="492">
        <v>13</v>
      </c>
      <c r="CN153" s="497">
        <f>IF(('Comparison Calculator'!$E$11-CM153)&gt;=0,0,IFERROR(-PPMT($CR$66/12,(CL153-60),($F$1-5)*12,$CR$65),0))</f>
        <v>0</v>
      </c>
      <c r="CO153" s="497">
        <f>IF(('Comparison Calculator'!$E$11-CM153)&gt;=0,$C$1*$CI$66/12,IFERROR(-IPMT($CI$66/12,(CL153-60),($F$1-5)*12,$CI$65,0),0))</f>
        <v>0</v>
      </c>
      <c r="CP153" s="497">
        <f t="shared" si="74"/>
        <v>0</v>
      </c>
      <c r="CQ153" s="497">
        <f t="shared" ref="CQ153:CQ216" si="87">CQ152-CN153</f>
        <v>1800000</v>
      </c>
      <c r="CR153" s="493"/>
      <c r="CS153" s="493"/>
      <c r="CU153" s="492">
        <v>149</v>
      </c>
      <c r="CV153" s="492">
        <v>13</v>
      </c>
      <c r="CW153" s="497">
        <f>IF(('Comparison Calculator'!$E$11-CV153)&gt;=0,0,IFERROR(-PPMT($DA$66/12,(CU153-60),($F$1-5)*12,$DA$65),0))</f>
        <v>0</v>
      </c>
      <c r="CX153" s="497">
        <f>IF(('Comparison Calculator'!$E$11-CV153)&gt;=0,$C$1*$DA$66/12,IFERROR(-IPMT($DA$66/12,(CU153-60),($F$1-5)*12,$DA$65,0),0))</f>
        <v>0</v>
      </c>
      <c r="CY153" s="497">
        <f t="shared" si="75"/>
        <v>0</v>
      </c>
      <c r="CZ153" s="497">
        <f t="shared" ref="CZ153:CZ216" si="88">CZ152-CW153</f>
        <v>1800000</v>
      </c>
      <c r="DA153" s="493"/>
      <c r="DB153" s="493"/>
      <c r="DD153" s="492">
        <v>149</v>
      </c>
      <c r="DE153" s="492">
        <v>13</v>
      </c>
      <c r="DF153" s="497">
        <f>IF(('Comparison Calculator'!$E$11-DE153)&gt;=0,0,IFERROR(-PPMT($DJ$66/12,(DD153-60),($F$1-5)*12,$DJ$65),0))</f>
        <v>0</v>
      </c>
      <c r="DG153" s="497">
        <f>IF(('Comparison Calculator'!$E$11-DE153)&gt;=0,$C$1*$DJ$66/12,IFERROR(-IPMT($DJ$66/12,(DD153-60),($F$1-5)*12,$DJ$65,0),0))</f>
        <v>0</v>
      </c>
      <c r="DH153" s="497">
        <f t="shared" si="76"/>
        <v>0</v>
      </c>
      <c r="DI153" s="497">
        <f t="shared" ref="DI153:DI216" si="89">DI152-DF153</f>
        <v>1800000</v>
      </c>
      <c r="DJ153" s="493"/>
      <c r="DK153" s="493"/>
    </row>
    <row r="154" spans="1:115">
      <c r="A154" s="492">
        <v>150</v>
      </c>
      <c r="B154" s="492">
        <v>13</v>
      </c>
      <c r="C154" s="497">
        <f>IF(('Comparison Calculator'!$E$11-B154)&gt;=0,0,IFERROR(-PPMT($G$66/12,(A154-60),($F$1-5)*12,$G$65),0))</f>
        <v>0</v>
      </c>
      <c r="D154" s="497">
        <f>IF(('Comparison Calculator'!$E$11-B154)&gt;=0,$C$1*$G$66/12,IFERROR(-IPMT($G$66/12,(A154-60),($F$1-5)*12,$G$65,0),0))</f>
        <v>0</v>
      </c>
      <c r="E154" s="497">
        <f t="shared" si="64"/>
        <v>0</v>
      </c>
      <c r="F154" s="497">
        <f t="shared" si="77"/>
        <v>1800000</v>
      </c>
      <c r="G154" s="493"/>
      <c r="H154" s="493"/>
      <c r="I154" s="489"/>
      <c r="J154" s="492">
        <v>150</v>
      </c>
      <c r="K154" s="492">
        <v>13</v>
      </c>
      <c r="L154" s="497">
        <f>IF(('Comparison Calculator'!$E$11-K154)&gt;=0,0,IFERROR(-PPMT($P$66/12,(J154-60),($F$1-5)*12,$P$65),0))</f>
        <v>0</v>
      </c>
      <c r="M154" s="497">
        <f>IF(('Comparison Calculator'!$E$11-K154)&gt;=0,$C$1*$P$66/12,IFERROR(-IPMT($P$66/12,(J154-60),($F$1-5)*12,$P$65,0),0))</f>
        <v>0</v>
      </c>
      <c r="N154" s="497">
        <f t="shared" si="65"/>
        <v>0</v>
      </c>
      <c r="O154" s="497">
        <f t="shared" si="78"/>
        <v>1800000</v>
      </c>
      <c r="P154" s="493"/>
      <c r="Q154" s="493"/>
      <c r="S154" s="492">
        <v>150</v>
      </c>
      <c r="T154" s="492">
        <v>13</v>
      </c>
      <c r="U154" s="497">
        <f>IF(('Comparison Calculator'!$E$11-T154)&gt;=0,0,IFERROR(-PPMT($Y$66/12,(S154-60),($F$1-5)*12,$Y$65),0))</f>
        <v>0</v>
      </c>
      <c r="V154" s="497">
        <f>IF(('Comparison Calculator'!$E$11-T154)&gt;=0,$C$1*$Y$66/12,IFERROR(-IPMT($Y$66/12,(S154-60),($F$1-5)*12,$Y$65,0),0))</f>
        <v>0</v>
      </c>
      <c r="W154" s="497">
        <f t="shared" si="66"/>
        <v>0</v>
      </c>
      <c r="X154" s="497">
        <f t="shared" si="79"/>
        <v>1800000</v>
      </c>
      <c r="Y154" s="493"/>
      <c r="Z154" s="493"/>
      <c r="AB154" s="492">
        <v>150</v>
      </c>
      <c r="AC154" s="492">
        <v>13</v>
      </c>
      <c r="AD154" s="497">
        <f>IF(('Comparison Calculator'!$E$11-AC154)&gt;=0,0,IFERROR(-PPMT($AH$66/12,(AB154-60),($F$1-5)*12,$AH$65),0))</f>
        <v>0</v>
      </c>
      <c r="AE154" s="497">
        <f>IF(('Comparison Calculator'!$E$11-AC154)&gt;=0,$C$1*$AH$66/12,IFERROR(-IPMT($AH$66/12,(AB154-60),($F$1-5)*12,$AH$65,0),0))</f>
        <v>0</v>
      </c>
      <c r="AF154" s="497">
        <f t="shared" si="67"/>
        <v>0</v>
      </c>
      <c r="AG154" s="497">
        <f t="shared" si="80"/>
        <v>1800000</v>
      </c>
      <c r="AH154" s="493"/>
      <c r="AI154" s="493"/>
      <c r="AK154" s="492">
        <v>150</v>
      </c>
      <c r="AL154" s="492">
        <v>13</v>
      </c>
      <c r="AM154" s="497">
        <f>IF(('Comparison Calculator'!$E$11-AL154)&gt;=0,0,IFERROR(-PPMT($AQ$66/12,(AK154-60),($F$1-5)*12,$AQ$65),0))</f>
        <v>0</v>
      </c>
      <c r="AN154" s="497">
        <f>IF(('Comparison Calculator'!$E$11-AL154)&gt;=0,$C$1*$AQ$66/12,IFERROR(-IPMT($AQ$66/12,(AK154-60),($F$1-5)*12,$AQ$65,0),0))</f>
        <v>0</v>
      </c>
      <c r="AO154" s="497">
        <f t="shared" si="68"/>
        <v>0</v>
      </c>
      <c r="AP154" s="497">
        <f t="shared" si="81"/>
        <v>1800000</v>
      </c>
      <c r="AQ154" s="493"/>
      <c r="AR154" s="493"/>
      <c r="AT154" s="492">
        <v>150</v>
      </c>
      <c r="AU154" s="492">
        <v>13</v>
      </c>
      <c r="AV154" s="497">
        <f>IF(('Comparison Calculator'!$E$11-AU154)&gt;=0,0,IFERROR(-PPMT($AZ$66/12,(AT154-60),($F$1-5)*12,$AZ$65),0))</f>
        <v>0</v>
      </c>
      <c r="AW154" s="497">
        <f>IF(('Comparison Calculator'!$E$11-AU154)&gt;=0,$C$1*$AZ$66/12,IFERROR(-IPMT($AZ$66/12,(AT154-60),($F$1-5)*12,$AZ$65,0),0))</f>
        <v>0</v>
      </c>
      <c r="AX154" s="497">
        <f t="shared" si="69"/>
        <v>0</v>
      </c>
      <c r="AY154" s="497">
        <f t="shared" si="82"/>
        <v>1800000</v>
      </c>
      <c r="AZ154" s="493"/>
      <c r="BA154" s="493"/>
      <c r="BC154" s="492">
        <v>150</v>
      </c>
      <c r="BD154" s="492">
        <v>13</v>
      </c>
      <c r="BE154" s="497">
        <f>IF(('Comparison Calculator'!$E$11-BD154)&gt;=0,0,IFERROR(-PPMT($BI$66/12,(BC154-60),($F$1-5)*12,$BI$65),0))</f>
        <v>0</v>
      </c>
      <c r="BF154" s="497">
        <f>IF(('Comparison Calculator'!$E$11-BD154)&gt;=0,$C$1*$BI$66/12,IFERROR(-IPMT($BI$66/12,(BC154-60),($F$1-5)*12,$BI$65,0),0))</f>
        <v>0</v>
      </c>
      <c r="BG154" s="497">
        <f t="shared" si="70"/>
        <v>0</v>
      </c>
      <c r="BH154" s="497">
        <f t="shared" si="83"/>
        <v>1800000</v>
      </c>
      <c r="BI154" s="493"/>
      <c r="BJ154" s="493"/>
      <c r="BK154" s="492">
        <v>150</v>
      </c>
      <c r="BL154" s="492">
        <v>13</v>
      </c>
      <c r="BM154" s="497">
        <f>IF(('Comparison Calculator'!$E$11-BL154)&gt;=0,0,IFERROR(-PPMT($BQ$66/12,(BK154-60),($F$1-5)*12,$BQ$65),0))</f>
        <v>0</v>
      </c>
      <c r="BN154" s="497">
        <f>IF(('Comparison Calculator'!$E$11-BL154)&gt;=0,$C$1*$BQ$66/12,IFERROR(-IPMT($BQ$66/12,(BK154-60),($F$1-5)*12,$BQ$65,0),0))</f>
        <v>0</v>
      </c>
      <c r="BO154" s="497">
        <f t="shared" si="71"/>
        <v>0</v>
      </c>
      <c r="BP154" s="497">
        <f t="shared" si="84"/>
        <v>1800000</v>
      </c>
      <c r="BQ154" s="493"/>
      <c r="BR154" s="493"/>
      <c r="BT154" s="492">
        <v>150</v>
      </c>
      <c r="BU154" s="492">
        <v>13</v>
      </c>
      <c r="BV154" s="497">
        <f>IF(('Comparison Calculator'!$E$11-BU154)&gt;=0,0,IFERROR(-PPMT($BZ$66/12,(BT154-60),($F$1-5)*12,$BZ$65),0))</f>
        <v>0</v>
      </c>
      <c r="BW154" s="497">
        <f>IF(('Comparison Calculator'!$E$11-BU154)&gt;=0,$C$1*$BZ$66/12,IFERROR(-IPMT($BZ$66/12,(BT154-60),($F$1-5)*12,$BZ$65,0),0))</f>
        <v>0</v>
      </c>
      <c r="BX154" s="497">
        <f t="shared" si="72"/>
        <v>0</v>
      </c>
      <c r="BY154" s="497">
        <f t="shared" si="85"/>
        <v>1800000</v>
      </c>
      <c r="BZ154" s="493"/>
      <c r="CA154" s="493"/>
      <c r="CC154" s="492">
        <v>150</v>
      </c>
      <c r="CD154" s="492">
        <v>13</v>
      </c>
      <c r="CE154" s="497">
        <f>IF(('Comparison Calculator'!$E$11-CD154)&gt;=0,0,IFERROR(-PPMT($CI$66/12,(CC154-60),($F$1-5)*12,$CI$65),0))</f>
        <v>0</v>
      </c>
      <c r="CF154" s="497">
        <f>IF(('Comparison Calculator'!$E$11-CD154)&gt;=0,$C$1*$CI$66/12,IFERROR(-IPMT($CI$66/12,(CC154-60),($F$1-5)*12,$CI$65,0),0))</f>
        <v>0</v>
      </c>
      <c r="CG154" s="497">
        <f t="shared" si="73"/>
        <v>0</v>
      </c>
      <c r="CH154" s="497">
        <f t="shared" si="86"/>
        <v>1800000</v>
      </c>
      <c r="CI154" s="493"/>
      <c r="CJ154" s="493"/>
      <c r="CL154" s="492">
        <v>150</v>
      </c>
      <c r="CM154" s="492">
        <v>13</v>
      </c>
      <c r="CN154" s="497">
        <f>IF(('Comparison Calculator'!$E$11-CM154)&gt;=0,0,IFERROR(-PPMT($CR$66/12,(CL154-60),($F$1-5)*12,$CR$65),0))</f>
        <v>0</v>
      </c>
      <c r="CO154" s="497">
        <f>IF(('Comparison Calculator'!$E$11-CM154)&gt;=0,$C$1*$CI$66/12,IFERROR(-IPMT($CI$66/12,(CL154-60),($F$1-5)*12,$CI$65,0),0))</f>
        <v>0</v>
      </c>
      <c r="CP154" s="497">
        <f t="shared" si="74"/>
        <v>0</v>
      </c>
      <c r="CQ154" s="497">
        <f t="shared" si="87"/>
        <v>1800000</v>
      </c>
      <c r="CR154" s="493"/>
      <c r="CS154" s="493"/>
      <c r="CU154" s="492">
        <v>150</v>
      </c>
      <c r="CV154" s="492">
        <v>13</v>
      </c>
      <c r="CW154" s="497">
        <f>IF(('Comparison Calculator'!$E$11-CV154)&gt;=0,0,IFERROR(-PPMT($DA$66/12,(CU154-60),($F$1-5)*12,$DA$65),0))</f>
        <v>0</v>
      </c>
      <c r="CX154" s="497">
        <f>IF(('Comparison Calculator'!$E$11-CV154)&gt;=0,$C$1*$DA$66/12,IFERROR(-IPMT($DA$66/12,(CU154-60),($F$1-5)*12,$DA$65,0),0))</f>
        <v>0</v>
      </c>
      <c r="CY154" s="497">
        <f t="shared" si="75"/>
        <v>0</v>
      </c>
      <c r="CZ154" s="497">
        <f t="shared" si="88"/>
        <v>1800000</v>
      </c>
      <c r="DA154" s="493"/>
      <c r="DB154" s="493"/>
      <c r="DD154" s="492">
        <v>150</v>
      </c>
      <c r="DE154" s="492">
        <v>13</v>
      </c>
      <c r="DF154" s="497">
        <f>IF(('Comparison Calculator'!$E$11-DE154)&gt;=0,0,IFERROR(-PPMT($DJ$66/12,(DD154-60),($F$1-5)*12,$DJ$65),0))</f>
        <v>0</v>
      </c>
      <c r="DG154" s="497">
        <f>IF(('Comparison Calculator'!$E$11-DE154)&gt;=0,$C$1*$DJ$66/12,IFERROR(-IPMT($DJ$66/12,(DD154-60),($F$1-5)*12,$DJ$65,0),0))</f>
        <v>0</v>
      </c>
      <c r="DH154" s="497">
        <f t="shared" si="76"/>
        <v>0</v>
      </c>
      <c r="DI154" s="497">
        <f t="shared" si="89"/>
        <v>1800000</v>
      </c>
      <c r="DJ154" s="493"/>
      <c r="DK154" s="493"/>
    </row>
    <row r="155" spans="1:115">
      <c r="A155" s="492">
        <v>151</v>
      </c>
      <c r="B155" s="492">
        <v>13</v>
      </c>
      <c r="C155" s="497">
        <f>IF(('Comparison Calculator'!$E$11-B155)&gt;=0,0,IFERROR(-PPMT($G$66/12,(A155-60),($F$1-5)*12,$G$65),0))</f>
        <v>0</v>
      </c>
      <c r="D155" s="497">
        <f>IF(('Comparison Calculator'!$E$11-B155)&gt;=0,$C$1*$G$66/12,IFERROR(-IPMT($G$66/12,(A155-60),($F$1-5)*12,$G$65,0),0))</f>
        <v>0</v>
      </c>
      <c r="E155" s="497">
        <f t="shared" si="64"/>
        <v>0</v>
      </c>
      <c r="F155" s="497">
        <f t="shared" si="77"/>
        <v>1800000</v>
      </c>
      <c r="G155" s="493"/>
      <c r="H155" s="493"/>
      <c r="I155" s="489"/>
      <c r="J155" s="492">
        <v>151</v>
      </c>
      <c r="K155" s="492">
        <v>13</v>
      </c>
      <c r="L155" s="497">
        <f>IF(('Comparison Calculator'!$E$11-K155)&gt;=0,0,IFERROR(-PPMT($P$66/12,(J155-60),($F$1-5)*12,$P$65),0))</f>
        <v>0</v>
      </c>
      <c r="M155" s="497">
        <f>IF(('Comparison Calculator'!$E$11-K155)&gt;=0,$C$1*$P$66/12,IFERROR(-IPMT($P$66/12,(J155-60),($F$1-5)*12,$P$65,0),0))</f>
        <v>0</v>
      </c>
      <c r="N155" s="497">
        <f t="shared" si="65"/>
        <v>0</v>
      </c>
      <c r="O155" s="497">
        <f t="shared" si="78"/>
        <v>1800000</v>
      </c>
      <c r="P155" s="493"/>
      <c r="Q155" s="493"/>
      <c r="S155" s="492">
        <v>151</v>
      </c>
      <c r="T155" s="492">
        <v>13</v>
      </c>
      <c r="U155" s="497">
        <f>IF(('Comparison Calculator'!$E$11-T155)&gt;=0,0,IFERROR(-PPMT($Y$66/12,(S155-60),($F$1-5)*12,$Y$65),0))</f>
        <v>0</v>
      </c>
      <c r="V155" s="497">
        <f>IF(('Comparison Calculator'!$E$11-T155)&gt;=0,$C$1*$Y$66/12,IFERROR(-IPMT($Y$66/12,(S155-60),($F$1-5)*12,$Y$65,0),0))</f>
        <v>0</v>
      </c>
      <c r="W155" s="497">
        <f t="shared" si="66"/>
        <v>0</v>
      </c>
      <c r="X155" s="497">
        <f t="shared" si="79"/>
        <v>1800000</v>
      </c>
      <c r="Y155" s="493"/>
      <c r="Z155" s="493"/>
      <c r="AB155" s="492">
        <v>151</v>
      </c>
      <c r="AC155" s="492">
        <v>13</v>
      </c>
      <c r="AD155" s="497">
        <f>IF(('Comparison Calculator'!$E$11-AC155)&gt;=0,0,IFERROR(-PPMT($AH$66/12,(AB155-60),($F$1-5)*12,$AH$65),0))</f>
        <v>0</v>
      </c>
      <c r="AE155" s="497">
        <f>IF(('Comparison Calculator'!$E$11-AC155)&gt;=0,$C$1*$AH$66/12,IFERROR(-IPMT($AH$66/12,(AB155-60),($F$1-5)*12,$AH$65,0),0))</f>
        <v>0</v>
      </c>
      <c r="AF155" s="497">
        <f t="shared" si="67"/>
        <v>0</v>
      </c>
      <c r="AG155" s="497">
        <f t="shared" si="80"/>
        <v>1800000</v>
      </c>
      <c r="AH155" s="493"/>
      <c r="AI155" s="493"/>
      <c r="AK155" s="492">
        <v>151</v>
      </c>
      <c r="AL155" s="492">
        <v>13</v>
      </c>
      <c r="AM155" s="497">
        <f>IF(('Comparison Calculator'!$E$11-AL155)&gt;=0,0,IFERROR(-PPMT($AQ$66/12,(AK155-60),($F$1-5)*12,$AQ$65),0))</f>
        <v>0</v>
      </c>
      <c r="AN155" s="497">
        <f>IF(('Comparison Calculator'!$E$11-AL155)&gt;=0,$C$1*$AQ$66/12,IFERROR(-IPMT($AQ$66/12,(AK155-60),($F$1-5)*12,$AQ$65,0),0))</f>
        <v>0</v>
      </c>
      <c r="AO155" s="497">
        <f t="shared" si="68"/>
        <v>0</v>
      </c>
      <c r="AP155" s="497">
        <f t="shared" si="81"/>
        <v>1800000</v>
      </c>
      <c r="AQ155" s="493"/>
      <c r="AR155" s="493"/>
      <c r="AT155" s="492">
        <v>151</v>
      </c>
      <c r="AU155" s="492">
        <v>13</v>
      </c>
      <c r="AV155" s="497">
        <f>IF(('Comparison Calculator'!$E$11-AU155)&gt;=0,0,IFERROR(-PPMT($AZ$66/12,(AT155-60),($F$1-5)*12,$AZ$65),0))</f>
        <v>0</v>
      </c>
      <c r="AW155" s="497">
        <f>IF(('Comparison Calculator'!$E$11-AU155)&gt;=0,$C$1*$AZ$66/12,IFERROR(-IPMT($AZ$66/12,(AT155-60),($F$1-5)*12,$AZ$65,0),0))</f>
        <v>0</v>
      </c>
      <c r="AX155" s="497">
        <f t="shared" si="69"/>
        <v>0</v>
      </c>
      <c r="AY155" s="497">
        <f t="shared" si="82"/>
        <v>1800000</v>
      </c>
      <c r="AZ155" s="493"/>
      <c r="BA155" s="493"/>
      <c r="BC155" s="492">
        <v>151</v>
      </c>
      <c r="BD155" s="492">
        <v>13</v>
      </c>
      <c r="BE155" s="497">
        <f>IF(('Comparison Calculator'!$E$11-BD155)&gt;=0,0,IFERROR(-PPMT($BI$66/12,(BC155-60),($F$1-5)*12,$BI$65),0))</f>
        <v>0</v>
      </c>
      <c r="BF155" s="497">
        <f>IF(('Comparison Calculator'!$E$11-BD155)&gt;=0,$C$1*$BI$66/12,IFERROR(-IPMT($BI$66/12,(BC155-60),($F$1-5)*12,$BI$65,0),0))</f>
        <v>0</v>
      </c>
      <c r="BG155" s="497">
        <f t="shared" si="70"/>
        <v>0</v>
      </c>
      <c r="BH155" s="497">
        <f t="shared" si="83"/>
        <v>1800000</v>
      </c>
      <c r="BI155" s="493"/>
      <c r="BJ155" s="493"/>
      <c r="BK155" s="492">
        <v>151</v>
      </c>
      <c r="BL155" s="492">
        <v>13</v>
      </c>
      <c r="BM155" s="497">
        <f>IF(('Comparison Calculator'!$E$11-BL155)&gt;=0,0,IFERROR(-PPMT($BQ$66/12,(BK155-60),($F$1-5)*12,$BQ$65),0))</f>
        <v>0</v>
      </c>
      <c r="BN155" s="497">
        <f>IF(('Comparison Calculator'!$E$11-BL155)&gt;=0,$C$1*$BQ$66/12,IFERROR(-IPMT($BQ$66/12,(BK155-60),($F$1-5)*12,$BQ$65,0),0))</f>
        <v>0</v>
      </c>
      <c r="BO155" s="497">
        <f t="shared" si="71"/>
        <v>0</v>
      </c>
      <c r="BP155" s="497">
        <f t="shared" si="84"/>
        <v>1800000</v>
      </c>
      <c r="BQ155" s="493"/>
      <c r="BR155" s="493"/>
      <c r="BT155" s="492">
        <v>151</v>
      </c>
      <c r="BU155" s="492">
        <v>13</v>
      </c>
      <c r="BV155" s="497">
        <f>IF(('Comparison Calculator'!$E$11-BU155)&gt;=0,0,IFERROR(-PPMT($BZ$66/12,(BT155-60),($F$1-5)*12,$BZ$65),0))</f>
        <v>0</v>
      </c>
      <c r="BW155" s="497">
        <f>IF(('Comparison Calculator'!$E$11-BU155)&gt;=0,$C$1*$BZ$66/12,IFERROR(-IPMT($BZ$66/12,(BT155-60),($F$1-5)*12,$BZ$65,0),0))</f>
        <v>0</v>
      </c>
      <c r="BX155" s="497">
        <f t="shared" si="72"/>
        <v>0</v>
      </c>
      <c r="BY155" s="497">
        <f t="shared" si="85"/>
        <v>1800000</v>
      </c>
      <c r="BZ155" s="493"/>
      <c r="CA155" s="493"/>
      <c r="CC155" s="492">
        <v>151</v>
      </c>
      <c r="CD155" s="492">
        <v>13</v>
      </c>
      <c r="CE155" s="497">
        <f>IF(('Comparison Calculator'!$E$11-CD155)&gt;=0,0,IFERROR(-PPMT($CI$66/12,(CC155-60),($F$1-5)*12,$CI$65),0))</f>
        <v>0</v>
      </c>
      <c r="CF155" s="497">
        <f>IF(('Comparison Calculator'!$E$11-CD155)&gt;=0,$C$1*$CI$66/12,IFERROR(-IPMT($CI$66/12,(CC155-60),($F$1-5)*12,$CI$65,0),0))</f>
        <v>0</v>
      </c>
      <c r="CG155" s="497">
        <f t="shared" si="73"/>
        <v>0</v>
      </c>
      <c r="CH155" s="497">
        <f t="shared" si="86"/>
        <v>1800000</v>
      </c>
      <c r="CI155" s="493"/>
      <c r="CJ155" s="493"/>
      <c r="CL155" s="492">
        <v>151</v>
      </c>
      <c r="CM155" s="492">
        <v>13</v>
      </c>
      <c r="CN155" s="497">
        <f>IF(('Comparison Calculator'!$E$11-CM155)&gt;=0,0,IFERROR(-PPMT($CR$66/12,(CL155-60),($F$1-5)*12,$CR$65),0))</f>
        <v>0</v>
      </c>
      <c r="CO155" s="497">
        <f>IF(('Comparison Calculator'!$E$11-CM155)&gt;=0,$C$1*$CI$66/12,IFERROR(-IPMT($CI$66/12,(CL155-60),($F$1-5)*12,$CI$65,0),0))</f>
        <v>0</v>
      </c>
      <c r="CP155" s="497">
        <f t="shared" si="74"/>
        <v>0</v>
      </c>
      <c r="CQ155" s="497">
        <f t="shared" si="87"/>
        <v>1800000</v>
      </c>
      <c r="CR155" s="493"/>
      <c r="CS155" s="493"/>
      <c r="CU155" s="492">
        <v>151</v>
      </c>
      <c r="CV155" s="492">
        <v>13</v>
      </c>
      <c r="CW155" s="497">
        <f>IF(('Comparison Calculator'!$E$11-CV155)&gt;=0,0,IFERROR(-PPMT($DA$66/12,(CU155-60),($F$1-5)*12,$DA$65),0))</f>
        <v>0</v>
      </c>
      <c r="CX155" s="497">
        <f>IF(('Comparison Calculator'!$E$11-CV155)&gt;=0,$C$1*$DA$66/12,IFERROR(-IPMT($DA$66/12,(CU155-60),($F$1-5)*12,$DA$65,0),0))</f>
        <v>0</v>
      </c>
      <c r="CY155" s="497">
        <f t="shared" si="75"/>
        <v>0</v>
      </c>
      <c r="CZ155" s="497">
        <f t="shared" si="88"/>
        <v>1800000</v>
      </c>
      <c r="DA155" s="493"/>
      <c r="DB155" s="493"/>
      <c r="DD155" s="492">
        <v>151</v>
      </c>
      <c r="DE155" s="492">
        <v>13</v>
      </c>
      <c r="DF155" s="497">
        <f>IF(('Comparison Calculator'!$E$11-DE155)&gt;=0,0,IFERROR(-PPMT($DJ$66/12,(DD155-60),($F$1-5)*12,$DJ$65),0))</f>
        <v>0</v>
      </c>
      <c r="DG155" s="497">
        <f>IF(('Comparison Calculator'!$E$11-DE155)&gt;=0,$C$1*$DJ$66/12,IFERROR(-IPMT($DJ$66/12,(DD155-60),($F$1-5)*12,$DJ$65,0),0))</f>
        <v>0</v>
      </c>
      <c r="DH155" s="497">
        <f t="shared" si="76"/>
        <v>0</v>
      </c>
      <c r="DI155" s="497">
        <f t="shared" si="89"/>
        <v>1800000</v>
      </c>
      <c r="DJ155" s="493"/>
      <c r="DK155" s="493"/>
    </row>
    <row r="156" spans="1:115">
      <c r="A156" s="492">
        <v>152</v>
      </c>
      <c r="B156" s="492">
        <v>13</v>
      </c>
      <c r="C156" s="497">
        <f>IF(('Comparison Calculator'!$E$11-B156)&gt;=0,0,IFERROR(-PPMT($G$66/12,(A156-60),($F$1-5)*12,$G$65),0))</f>
        <v>0</v>
      </c>
      <c r="D156" s="497">
        <f>IF(('Comparison Calculator'!$E$11-B156)&gt;=0,$C$1*$G$66/12,IFERROR(-IPMT($G$66/12,(A156-60),($F$1-5)*12,$G$65,0),0))</f>
        <v>0</v>
      </c>
      <c r="E156" s="497">
        <f t="shared" si="64"/>
        <v>0</v>
      </c>
      <c r="F156" s="497">
        <f t="shared" si="77"/>
        <v>1800000</v>
      </c>
      <c r="G156" s="493"/>
      <c r="H156" s="493"/>
      <c r="I156" s="489"/>
      <c r="J156" s="492">
        <v>152</v>
      </c>
      <c r="K156" s="492">
        <v>13</v>
      </c>
      <c r="L156" s="497">
        <f>IF(('Comparison Calculator'!$E$11-K156)&gt;=0,0,IFERROR(-PPMT($P$66/12,(J156-60),($F$1-5)*12,$P$65),0))</f>
        <v>0</v>
      </c>
      <c r="M156" s="497">
        <f>IF(('Comparison Calculator'!$E$11-K156)&gt;=0,$C$1*$P$66/12,IFERROR(-IPMT($P$66/12,(J156-60),($F$1-5)*12,$P$65,0),0))</f>
        <v>0</v>
      </c>
      <c r="N156" s="497">
        <f t="shared" si="65"/>
        <v>0</v>
      </c>
      <c r="O156" s="497">
        <f t="shared" si="78"/>
        <v>1800000</v>
      </c>
      <c r="P156" s="493"/>
      <c r="Q156" s="493"/>
      <c r="S156" s="492">
        <v>152</v>
      </c>
      <c r="T156" s="492">
        <v>13</v>
      </c>
      <c r="U156" s="497">
        <f>IF(('Comparison Calculator'!$E$11-T156)&gt;=0,0,IFERROR(-PPMT($Y$66/12,(S156-60),($F$1-5)*12,$Y$65),0))</f>
        <v>0</v>
      </c>
      <c r="V156" s="497">
        <f>IF(('Comparison Calculator'!$E$11-T156)&gt;=0,$C$1*$Y$66/12,IFERROR(-IPMT($Y$66/12,(S156-60),($F$1-5)*12,$Y$65,0),0))</f>
        <v>0</v>
      </c>
      <c r="W156" s="497">
        <f t="shared" si="66"/>
        <v>0</v>
      </c>
      <c r="X156" s="497">
        <f t="shared" si="79"/>
        <v>1800000</v>
      </c>
      <c r="Y156" s="493"/>
      <c r="Z156" s="493"/>
      <c r="AB156" s="492">
        <v>152</v>
      </c>
      <c r="AC156" s="492">
        <v>13</v>
      </c>
      <c r="AD156" s="497">
        <f>IF(('Comparison Calculator'!$E$11-AC156)&gt;=0,0,IFERROR(-PPMT($AH$66/12,(AB156-60),($F$1-5)*12,$AH$65),0))</f>
        <v>0</v>
      </c>
      <c r="AE156" s="497">
        <f>IF(('Comparison Calculator'!$E$11-AC156)&gt;=0,$C$1*$AH$66/12,IFERROR(-IPMT($AH$66/12,(AB156-60),($F$1-5)*12,$AH$65,0),0))</f>
        <v>0</v>
      </c>
      <c r="AF156" s="497">
        <f t="shared" si="67"/>
        <v>0</v>
      </c>
      <c r="AG156" s="497">
        <f t="shared" si="80"/>
        <v>1800000</v>
      </c>
      <c r="AH156" s="493"/>
      <c r="AI156" s="493"/>
      <c r="AK156" s="492">
        <v>152</v>
      </c>
      <c r="AL156" s="492">
        <v>13</v>
      </c>
      <c r="AM156" s="497">
        <f>IF(('Comparison Calculator'!$E$11-AL156)&gt;=0,0,IFERROR(-PPMT($AQ$66/12,(AK156-60),($F$1-5)*12,$AQ$65),0))</f>
        <v>0</v>
      </c>
      <c r="AN156" s="497">
        <f>IF(('Comparison Calculator'!$E$11-AL156)&gt;=0,$C$1*$AQ$66/12,IFERROR(-IPMT($AQ$66/12,(AK156-60),($F$1-5)*12,$AQ$65,0),0))</f>
        <v>0</v>
      </c>
      <c r="AO156" s="497">
        <f t="shared" si="68"/>
        <v>0</v>
      </c>
      <c r="AP156" s="497">
        <f t="shared" si="81"/>
        <v>1800000</v>
      </c>
      <c r="AQ156" s="493"/>
      <c r="AR156" s="493"/>
      <c r="AT156" s="492">
        <v>152</v>
      </c>
      <c r="AU156" s="492">
        <v>13</v>
      </c>
      <c r="AV156" s="497">
        <f>IF(('Comparison Calculator'!$E$11-AU156)&gt;=0,0,IFERROR(-PPMT($AZ$66/12,(AT156-60),($F$1-5)*12,$AZ$65),0))</f>
        <v>0</v>
      </c>
      <c r="AW156" s="497">
        <f>IF(('Comparison Calculator'!$E$11-AU156)&gt;=0,$C$1*$AZ$66/12,IFERROR(-IPMT($AZ$66/12,(AT156-60),($F$1-5)*12,$AZ$65,0),0))</f>
        <v>0</v>
      </c>
      <c r="AX156" s="497">
        <f t="shared" si="69"/>
        <v>0</v>
      </c>
      <c r="AY156" s="497">
        <f t="shared" si="82"/>
        <v>1800000</v>
      </c>
      <c r="AZ156" s="493"/>
      <c r="BA156" s="493"/>
      <c r="BC156" s="492">
        <v>152</v>
      </c>
      <c r="BD156" s="492">
        <v>13</v>
      </c>
      <c r="BE156" s="497">
        <f>IF(('Comparison Calculator'!$E$11-BD156)&gt;=0,0,IFERROR(-PPMT($BI$66/12,(BC156-60),($F$1-5)*12,$BI$65),0))</f>
        <v>0</v>
      </c>
      <c r="BF156" s="497">
        <f>IF(('Comparison Calculator'!$E$11-BD156)&gt;=0,$C$1*$BI$66/12,IFERROR(-IPMT($BI$66/12,(BC156-60),($F$1-5)*12,$BI$65,0),0))</f>
        <v>0</v>
      </c>
      <c r="BG156" s="497">
        <f t="shared" si="70"/>
        <v>0</v>
      </c>
      <c r="BH156" s="497">
        <f t="shared" si="83"/>
        <v>1800000</v>
      </c>
      <c r="BI156" s="493"/>
      <c r="BJ156" s="493"/>
      <c r="BK156" s="492">
        <v>152</v>
      </c>
      <c r="BL156" s="492">
        <v>13</v>
      </c>
      <c r="BM156" s="497">
        <f>IF(('Comparison Calculator'!$E$11-BL156)&gt;=0,0,IFERROR(-PPMT($BQ$66/12,(BK156-60),($F$1-5)*12,$BQ$65),0))</f>
        <v>0</v>
      </c>
      <c r="BN156" s="497">
        <f>IF(('Comparison Calculator'!$E$11-BL156)&gt;=0,$C$1*$BQ$66/12,IFERROR(-IPMT($BQ$66/12,(BK156-60),($F$1-5)*12,$BQ$65,0),0))</f>
        <v>0</v>
      </c>
      <c r="BO156" s="497">
        <f t="shared" si="71"/>
        <v>0</v>
      </c>
      <c r="BP156" s="497">
        <f t="shared" si="84"/>
        <v>1800000</v>
      </c>
      <c r="BQ156" s="493"/>
      <c r="BR156" s="493"/>
      <c r="BT156" s="492">
        <v>152</v>
      </c>
      <c r="BU156" s="492">
        <v>13</v>
      </c>
      <c r="BV156" s="497">
        <f>IF(('Comparison Calculator'!$E$11-BU156)&gt;=0,0,IFERROR(-PPMT($BZ$66/12,(BT156-60),($F$1-5)*12,$BZ$65),0))</f>
        <v>0</v>
      </c>
      <c r="BW156" s="497">
        <f>IF(('Comparison Calculator'!$E$11-BU156)&gt;=0,$C$1*$BZ$66/12,IFERROR(-IPMT($BZ$66/12,(BT156-60),($F$1-5)*12,$BZ$65,0),0))</f>
        <v>0</v>
      </c>
      <c r="BX156" s="497">
        <f t="shared" si="72"/>
        <v>0</v>
      </c>
      <c r="BY156" s="497">
        <f t="shared" si="85"/>
        <v>1800000</v>
      </c>
      <c r="BZ156" s="493"/>
      <c r="CA156" s="493"/>
      <c r="CC156" s="492">
        <v>152</v>
      </c>
      <c r="CD156" s="492">
        <v>13</v>
      </c>
      <c r="CE156" s="497">
        <f>IF(('Comparison Calculator'!$E$11-CD156)&gt;=0,0,IFERROR(-PPMT($CI$66/12,(CC156-60),($F$1-5)*12,$CI$65),0))</f>
        <v>0</v>
      </c>
      <c r="CF156" s="497">
        <f>IF(('Comparison Calculator'!$E$11-CD156)&gt;=0,$C$1*$CI$66/12,IFERROR(-IPMT($CI$66/12,(CC156-60),($F$1-5)*12,$CI$65,0),0))</f>
        <v>0</v>
      </c>
      <c r="CG156" s="497">
        <f t="shared" si="73"/>
        <v>0</v>
      </c>
      <c r="CH156" s="497">
        <f t="shared" si="86"/>
        <v>1800000</v>
      </c>
      <c r="CI156" s="493"/>
      <c r="CJ156" s="493"/>
      <c r="CL156" s="492">
        <v>152</v>
      </c>
      <c r="CM156" s="492">
        <v>13</v>
      </c>
      <c r="CN156" s="497">
        <f>IF(('Comparison Calculator'!$E$11-CM156)&gt;=0,0,IFERROR(-PPMT($CR$66/12,(CL156-60),($F$1-5)*12,$CR$65),0))</f>
        <v>0</v>
      </c>
      <c r="CO156" s="497">
        <f>IF(('Comparison Calculator'!$E$11-CM156)&gt;=0,$C$1*$CI$66/12,IFERROR(-IPMT($CI$66/12,(CL156-60),($F$1-5)*12,$CI$65,0),0))</f>
        <v>0</v>
      </c>
      <c r="CP156" s="497">
        <f t="shared" si="74"/>
        <v>0</v>
      </c>
      <c r="CQ156" s="497">
        <f t="shared" si="87"/>
        <v>1800000</v>
      </c>
      <c r="CR156" s="493"/>
      <c r="CS156" s="493"/>
      <c r="CU156" s="492">
        <v>152</v>
      </c>
      <c r="CV156" s="492">
        <v>13</v>
      </c>
      <c r="CW156" s="497">
        <f>IF(('Comparison Calculator'!$E$11-CV156)&gt;=0,0,IFERROR(-PPMT($DA$66/12,(CU156-60),($F$1-5)*12,$DA$65),0))</f>
        <v>0</v>
      </c>
      <c r="CX156" s="497">
        <f>IF(('Comparison Calculator'!$E$11-CV156)&gt;=0,$C$1*$DA$66/12,IFERROR(-IPMT($DA$66/12,(CU156-60),($F$1-5)*12,$DA$65,0),0))</f>
        <v>0</v>
      </c>
      <c r="CY156" s="497">
        <f t="shared" si="75"/>
        <v>0</v>
      </c>
      <c r="CZ156" s="497">
        <f t="shared" si="88"/>
        <v>1800000</v>
      </c>
      <c r="DA156" s="493"/>
      <c r="DB156" s="493"/>
      <c r="DD156" s="492">
        <v>152</v>
      </c>
      <c r="DE156" s="492">
        <v>13</v>
      </c>
      <c r="DF156" s="497">
        <f>IF(('Comparison Calculator'!$E$11-DE156)&gt;=0,0,IFERROR(-PPMT($DJ$66/12,(DD156-60),($F$1-5)*12,$DJ$65),0))</f>
        <v>0</v>
      </c>
      <c r="DG156" s="497">
        <f>IF(('Comparison Calculator'!$E$11-DE156)&gt;=0,$C$1*$DJ$66/12,IFERROR(-IPMT($DJ$66/12,(DD156-60),($F$1-5)*12,$DJ$65,0),0))</f>
        <v>0</v>
      </c>
      <c r="DH156" s="497">
        <f t="shared" si="76"/>
        <v>0</v>
      </c>
      <c r="DI156" s="497">
        <f t="shared" si="89"/>
        <v>1800000</v>
      </c>
      <c r="DJ156" s="493"/>
      <c r="DK156" s="493"/>
    </row>
    <row r="157" spans="1:115">
      <c r="A157" s="492">
        <v>153</v>
      </c>
      <c r="B157" s="492">
        <v>13</v>
      </c>
      <c r="C157" s="497">
        <f>IF(('Comparison Calculator'!$E$11-B157)&gt;=0,0,IFERROR(-PPMT($G$66/12,(A157-60),($F$1-5)*12,$G$65),0))</f>
        <v>0</v>
      </c>
      <c r="D157" s="497">
        <f>IF(('Comparison Calculator'!$E$11-B157)&gt;=0,$C$1*$G$66/12,IFERROR(-IPMT($G$66/12,(A157-60),($F$1-5)*12,$G$65,0),0))</f>
        <v>0</v>
      </c>
      <c r="E157" s="497">
        <f t="shared" si="64"/>
        <v>0</v>
      </c>
      <c r="F157" s="497">
        <f t="shared" si="77"/>
        <v>1800000</v>
      </c>
      <c r="G157" s="493"/>
      <c r="H157" s="493"/>
      <c r="I157" s="489"/>
      <c r="J157" s="492">
        <v>153</v>
      </c>
      <c r="K157" s="492">
        <v>13</v>
      </c>
      <c r="L157" s="497">
        <f>IF(('Comparison Calculator'!$E$11-K157)&gt;=0,0,IFERROR(-PPMT($P$66/12,(J157-60),($F$1-5)*12,$P$65),0))</f>
        <v>0</v>
      </c>
      <c r="M157" s="497">
        <f>IF(('Comparison Calculator'!$E$11-K157)&gt;=0,$C$1*$P$66/12,IFERROR(-IPMT($P$66/12,(J157-60),($F$1-5)*12,$P$65,0),0))</f>
        <v>0</v>
      </c>
      <c r="N157" s="497">
        <f t="shared" si="65"/>
        <v>0</v>
      </c>
      <c r="O157" s="497">
        <f t="shared" si="78"/>
        <v>1800000</v>
      </c>
      <c r="P157" s="493"/>
      <c r="Q157" s="493"/>
      <c r="S157" s="492">
        <v>153</v>
      </c>
      <c r="T157" s="492">
        <v>13</v>
      </c>
      <c r="U157" s="497">
        <f>IF(('Comparison Calculator'!$E$11-T157)&gt;=0,0,IFERROR(-PPMT($Y$66/12,(S157-60),($F$1-5)*12,$Y$65),0))</f>
        <v>0</v>
      </c>
      <c r="V157" s="497">
        <f>IF(('Comparison Calculator'!$E$11-T157)&gt;=0,$C$1*$Y$66/12,IFERROR(-IPMT($Y$66/12,(S157-60),($F$1-5)*12,$Y$65,0),0))</f>
        <v>0</v>
      </c>
      <c r="W157" s="497">
        <f t="shared" si="66"/>
        <v>0</v>
      </c>
      <c r="X157" s="497">
        <f t="shared" si="79"/>
        <v>1800000</v>
      </c>
      <c r="Y157" s="493"/>
      <c r="Z157" s="493"/>
      <c r="AB157" s="492">
        <v>153</v>
      </c>
      <c r="AC157" s="492">
        <v>13</v>
      </c>
      <c r="AD157" s="497">
        <f>IF(('Comparison Calculator'!$E$11-AC157)&gt;=0,0,IFERROR(-PPMT($AH$66/12,(AB157-60),($F$1-5)*12,$AH$65),0))</f>
        <v>0</v>
      </c>
      <c r="AE157" s="497">
        <f>IF(('Comparison Calculator'!$E$11-AC157)&gt;=0,$C$1*$AH$66/12,IFERROR(-IPMT($AH$66/12,(AB157-60),($F$1-5)*12,$AH$65,0),0))</f>
        <v>0</v>
      </c>
      <c r="AF157" s="497">
        <f t="shared" si="67"/>
        <v>0</v>
      </c>
      <c r="AG157" s="497">
        <f t="shared" si="80"/>
        <v>1800000</v>
      </c>
      <c r="AH157" s="493"/>
      <c r="AI157" s="493"/>
      <c r="AK157" s="492">
        <v>153</v>
      </c>
      <c r="AL157" s="492">
        <v>13</v>
      </c>
      <c r="AM157" s="497">
        <f>IF(('Comparison Calculator'!$E$11-AL157)&gt;=0,0,IFERROR(-PPMT($AQ$66/12,(AK157-60),($F$1-5)*12,$AQ$65),0))</f>
        <v>0</v>
      </c>
      <c r="AN157" s="497">
        <f>IF(('Comparison Calculator'!$E$11-AL157)&gt;=0,$C$1*$AQ$66/12,IFERROR(-IPMT($AQ$66/12,(AK157-60),($F$1-5)*12,$AQ$65,0),0))</f>
        <v>0</v>
      </c>
      <c r="AO157" s="497">
        <f t="shared" si="68"/>
        <v>0</v>
      </c>
      <c r="AP157" s="497">
        <f t="shared" si="81"/>
        <v>1800000</v>
      </c>
      <c r="AQ157" s="493"/>
      <c r="AR157" s="493"/>
      <c r="AT157" s="492">
        <v>153</v>
      </c>
      <c r="AU157" s="492">
        <v>13</v>
      </c>
      <c r="AV157" s="497">
        <f>IF(('Comparison Calculator'!$E$11-AU157)&gt;=0,0,IFERROR(-PPMT($AZ$66/12,(AT157-60),($F$1-5)*12,$AZ$65),0))</f>
        <v>0</v>
      </c>
      <c r="AW157" s="497">
        <f>IF(('Comparison Calculator'!$E$11-AU157)&gt;=0,$C$1*$AZ$66/12,IFERROR(-IPMT($AZ$66/12,(AT157-60),($F$1-5)*12,$AZ$65,0),0))</f>
        <v>0</v>
      </c>
      <c r="AX157" s="497">
        <f t="shared" si="69"/>
        <v>0</v>
      </c>
      <c r="AY157" s="497">
        <f t="shared" si="82"/>
        <v>1800000</v>
      </c>
      <c r="AZ157" s="493"/>
      <c r="BA157" s="493"/>
      <c r="BC157" s="492">
        <v>153</v>
      </c>
      <c r="BD157" s="492">
        <v>13</v>
      </c>
      <c r="BE157" s="497">
        <f>IF(('Comparison Calculator'!$E$11-BD157)&gt;=0,0,IFERROR(-PPMT($BI$66/12,(BC157-60),($F$1-5)*12,$BI$65),0))</f>
        <v>0</v>
      </c>
      <c r="BF157" s="497">
        <f>IF(('Comparison Calculator'!$E$11-BD157)&gt;=0,$C$1*$BI$66/12,IFERROR(-IPMT($BI$66/12,(BC157-60),($F$1-5)*12,$BI$65,0),0))</f>
        <v>0</v>
      </c>
      <c r="BG157" s="497">
        <f t="shared" si="70"/>
        <v>0</v>
      </c>
      <c r="BH157" s="497">
        <f t="shared" si="83"/>
        <v>1800000</v>
      </c>
      <c r="BI157" s="493"/>
      <c r="BJ157" s="493"/>
      <c r="BK157" s="492">
        <v>153</v>
      </c>
      <c r="BL157" s="492">
        <v>13</v>
      </c>
      <c r="BM157" s="497">
        <f>IF(('Comparison Calculator'!$E$11-BL157)&gt;=0,0,IFERROR(-PPMT($BQ$66/12,(BK157-60),($F$1-5)*12,$BQ$65),0))</f>
        <v>0</v>
      </c>
      <c r="BN157" s="497">
        <f>IF(('Comparison Calculator'!$E$11-BL157)&gt;=0,$C$1*$BQ$66/12,IFERROR(-IPMT($BQ$66/12,(BK157-60),($F$1-5)*12,$BQ$65,0),0))</f>
        <v>0</v>
      </c>
      <c r="BO157" s="497">
        <f t="shared" si="71"/>
        <v>0</v>
      </c>
      <c r="BP157" s="497">
        <f t="shared" si="84"/>
        <v>1800000</v>
      </c>
      <c r="BQ157" s="493"/>
      <c r="BR157" s="493"/>
      <c r="BT157" s="492">
        <v>153</v>
      </c>
      <c r="BU157" s="492">
        <v>13</v>
      </c>
      <c r="BV157" s="497">
        <f>IF(('Comparison Calculator'!$E$11-BU157)&gt;=0,0,IFERROR(-PPMT($BZ$66/12,(BT157-60),($F$1-5)*12,$BZ$65),0))</f>
        <v>0</v>
      </c>
      <c r="BW157" s="497">
        <f>IF(('Comparison Calculator'!$E$11-BU157)&gt;=0,$C$1*$BZ$66/12,IFERROR(-IPMT($BZ$66/12,(BT157-60),($F$1-5)*12,$BZ$65,0),0))</f>
        <v>0</v>
      </c>
      <c r="BX157" s="497">
        <f t="shared" si="72"/>
        <v>0</v>
      </c>
      <c r="BY157" s="497">
        <f t="shared" si="85"/>
        <v>1800000</v>
      </c>
      <c r="BZ157" s="493"/>
      <c r="CA157" s="493"/>
      <c r="CC157" s="492">
        <v>153</v>
      </c>
      <c r="CD157" s="492">
        <v>13</v>
      </c>
      <c r="CE157" s="497">
        <f>IF(('Comparison Calculator'!$E$11-CD157)&gt;=0,0,IFERROR(-PPMT($CI$66/12,(CC157-60),($F$1-5)*12,$CI$65),0))</f>
        <v>0</v>
      </c>
      <c r="CF157" s="497">
        <f>IF(('Comparison Calculator'!$E$11-CD157)&gt;=0,$C$1*$CI$66/12,IFERROR(-IPMT($CI$66/12,(CC157-60),($F$1-5)*12,$CI$65,0),0))</f>
        <v>0</v>
      </c>
      <c r="CG157" s="497">
        <f t="shared" si="73"/>
        <v>0</v>
      </c>
      <c r="CH157" s="497">
        <f t="shared" si="86"/>
        <v>1800000</v>
      </c>
      <c r="CI157" s="493"/>
      <c r="CJ157" s="493"/>
      <c r="CL157" s="492">
        <v>153</v>
      </c>
      <c r="CM157" s="492">
        <v>13</v>
      </c>
      <c r="CN157" s="497">
        <f>IF(('Comparison Calculator'!$E$11-CM157)&gt;=0,0,IFERROR(-PPMT($CR$66/12,(CL157-60),($F$1-5)*12,$CR$65),0))</f>
        <v>0</v>
      </c>
      <c r="CO157" s="497">
        <f>IF(('Comparison Calculator'!$E$11-CM157)&gt;=0,$C$1*$CI$66/12,IFERROR(-IPMT($CI$66/12,(CL157-60),($F$1-5)*12,$CI$65,0),0))</f>
        <v>0</v>
      </c>
      <c r="CP157" s="497">
        <f t="shared" si="74"/>
        <v>0</v>
      </c>
      <c r="CQ157" s="497">
        <f t="shared" si="87"/>
        <v>1800000</v>
      </c>
      <c r="CR157" s="493"/>
      <c r="CS157" s="493"/>
      <c r="CU157" s="492">
        <v>153</v>
      </c>
      <c r="CV157" s="492">
        <v>13</v>
      </c>
      <c r="CW157" s="497">
        <f>IF(('Comparison Calculator'!$E$11-CV157)&gt;=0,0,IFERROR(-PPMT($DA$66/12,(CU157-60),($F$1-5)*12,$DA$65),0))</f>
        <v>0</v>
      </c>
      <c r="CX157" s="497">
        <f>IF(('Comparison Calculator'!$E$11-CV157)&gt;=0,$C$1*$DA$66/12,IFERROR(-IPMT($DA$66/12,(CU157-60),($F$1-5)*12,$DA$65,0),0))</f>
        <v>0</v>
      </c>
      <c r="CY157" s="497">
        <f t="shared" si="75"/>
        <v>0</v>
      </c>
      <c r="CZ157" s="497">
        <f t="shared" si="88"/>
        <v>1800000</v>
      </c>
      <c r="DA157" s="493"/>
      <c r="DB157" s="493"/>
      <c r="DD157" s="492">
        <v>153</v>
      </c>
      <c r="DE157" s="492">
        <v>13</v>
      </c>
      <c r="DF157" s="497">
        <f>IF(('Comparison Calculator'!$E$11-DE157)&gt;=0,0,IFERROR(-PPMT($DJ$66/12,(DD157-60),($F$1-5)*12,$DJ$65),0))</f>
        <v>0</v>
      </c>
      <c r="DG157" s="497">
        <f>IF(('Comparison Calculator'!$E$11-DE157)&gt;=0,$C$1*$DJ$66/12,IFERROR(-IPMT($DJ$66/12,(DD157-60),($F$1-5)*12,$DJ$65,0),0))</f>
        <v>0</v>
      </c>
      <c r="DH157" s="497">
        <f t="shared" si="76"/>
        <v>0</v>
      </c>
      <c r="DI157" s="497">
        <f t="shared" si="89"/>
        <v>1800000</v>
      </c>
      <c r="DJ157" s="493"/>
      <c r="DK157" s="493"/>
    </row>
    <row r="158" spans="1:115">
      <c r="A158" s="492">
        <v>154</v>
      </c>
      <c r="B158" s="492">
        <v>13</v>
      </c>
      <c r="C158" s="497">
        <f>IF(('Comparison Calculator'!$E$11-B158)&gt;=0,0,IFERROR(-PPMT($G$66/12,(A158-60),($F$1-5)*12,$G$65),0))</f>
        <v>0</v>
      </c>
      <c r="D158" s="497">
        <f>IF(('Comparison Calculator'!$E$11-B158)&gt;=0,$C$1*$G$66/12,IFERROR(-IPMT($G$66/12,(A158-60),($F$1-5)*12,$G$65,0),0))</f>
        <v>0</v>
      </c>
      <c r="E158" s="497">
        <f t="shared" si="64"/>
        <v>0</v>
      </c>
      <c r="F158" s="497">
        <f t="shared" si="77"/>
        <v>1800000</v>
      </c>
      <c r="G158" s="493"/>
      <c r="H158" s="493"/>
      <c r="I158" s="489"/>
      <c r="J158" s="492">
        <v>154</v>
      </c>
      <c r="K158" s="492">
        <v>13</v>
      </c>
      <c r="L158" s="497">
        <f>IF(('Comparison Calculator'!$E$11-K158)&gt;=0,0,IFERROR(-PPMT($P$66/12,(J158-60),($F$1-5)*12,$P$65),0))</f>
        <v>0</v>
      </c>
      <c r="M158" s="497">
        <f>IF(('Comparison Calculator'!$E$11-K158)&gt;=0,$C$1*$P$66/12,IFERROR(-IPMT($P$66/12,(J158-60),($F$1-5)*12,$P$65,0),0))</f>
        <v>0</v>
      </c>
      <c r="N158" s="497">
        <f t="shared" si="65"/>
        <v>0</v>
      </c>
      <c r="O158" s="497">
        <f t="shared" si="78"/>
        <v>1800000</v>
      </c>
      <c r="P158" s="493"/>
      <c r="Q158" s="493"/>
      <c r="S158" s="492">
        <v>154</v>
      </c>
      <c r="T158" s="492">
        <v>13</v>
      </c>
      <c r="U158" s="497">
        <f>IF(('Comparison Calculator'!$E$11-T158)&gt;=0,0,IFERROR(-PPMT($Y$66/12,(S158-60),($F$1-5)*12,$Y$65),0))</f>
        <v>0</v>
      </c>
      <c r="V158" s="497">
        <f>IF(('Comparison Calculator'!$E$11-T158)&gt;=0,$C$1*$Y$66/12,IFERROR(-IPMT($Y$66/12,(S158-60),($F$1-5)*12,$Y$65,0),0))</f>
        <v>0</v>
      </c>
      <c r="W158" s="497">
        <f t="shared" si="66"/>
        <v>0</v>
      </c>
      <c r="X158" s="497">
        <f t="shared" si="79"/>
        <v>1800000</v>
      </c>
      <c r="Y158" s="493"/>
      <c r="Z158" s="493"/>
      <c r="AB158" s="492">
        <v>154</v>
      </c>
      <c r="AC158" s="492">
        <v>13</v>
      </c>
      <c r="AD158" s="497">
        <f>IF(('Comparison Calculator'!$E$11-AC158)&gt;=0,0,IFERROR(-PPMT($AH$66/12,(AB158-60),($F$1-5)*12,$AH$65),0))</f>
        <v>0</v>
      </c>
      <c r="AE158" s="497">
        <f>IF(('Comparison Calculator'!$E$11-AC158)&gt;=0,$C$1*$AH$66/12,IFERROR(-IPMT($AH$66/12,(AB158-60),($F$1-5)*12,$AH$65,0),0))</f>
        <v>0</v>
      </c>
      <c r="AF158" s="497">
        <f t="shared" si="67"/>
        <v>0</v>
      </c>
      <c r="AG158" s="497">
        <f t="shared" si="80"/>
        <v>1800000</v>
      </c>
      <c r="AH158" s="493"/>
      <c r="AI158" s="493"/>
      <c r="AK158" s="492">
        <v>154</v>
      </c>
      <c r="AL158" s="492">
        <v>13</v>
      </c>
      <c r="AM158" s="497">
        <f>IF(('Comparison Calculator'!$E$11-AL158)&gt;=0,0,IFERROR(-PPMT($AQ$66/12,(AK158-60),($F$1-5)*12,$AQ$65),0))</f>
        <v>0</v>
      </c>
      <c r="AN158" s="497">
        <f>IF(('Comparison Calculator'!$E$11-AL158)&gt;=0,$C$1*$AQ$66/12,IFERROR(-IPMT($AQ$66/12,(AK158-60),($F$1-5)*12,$AQ$65,0),0))</f>
        <v>0</v>
      </c>
      <c r="AO158" s="497">
        <f t="shared" si="68"/>
        <v>0</v>
      </c>
      <c r="AP158" s="497">
        <f t="shared" si="81"/>
        <v>1800000</v>
      </c>
      <c r="AQ158" s="493"/>
      <c r="AR158" s="493"/>
      <c r="AT158" s="492">
        <v>154</v>
      </c>
      <c r="AU158" s="492">
        <v>13</v>
      </c>
      <c r="AV158" s="497">
        <f>IF(('Comparison Calculator'!$E$11-AU158)&gt;=0,0,IFERROR(-PPMT($AZ$66/12,(AT158-60),($F$1-5)*12,$AZ$65),0))</f>
        <v>0</v>
      </c>
      <c r="AW158" s="497">
        <f>IF(('Comparison Calculator'!$E$11-AU158)&gt;=0,$C$1*$AZ$66/12,IFERROR(-IPMT($AZ$66/12,(AT158-60),($F$1-5)*12,$AZ$65,0),0))</f>
        <v>0</v>
      </c>
      <c r="AX158" s="497">
        <f t="shared" si="69"/>
        <v>0</v>
      </c>
      <c r="AY158" s="497">
        <f t="shared" si="82"/>
        <v>1800000</v>
      </c>
      <c r="AZ158" s="493"/>
      <c r="BA158" s="493"/>
      <c r="BC158" s="492">
        <v>154</v>
      </c>
      <c r="BD158" s="492">
        <v>13</v>
      </c>
      <c r="BE158" s="497">
        <f>IF(('Comparison Calculator'!$E$11-BD158)&gt;=0,0,IFERROR(-PPMT($BI$66/12,(BC158-60),($F$1-5)*12,$BI$65),0))</f>
        <v>0</v>
      </c>
      <c r="BF158" s="497">
        <f>IF(('Comparison Calculator'!$E$11-BD158)&gt;=0,$C$1*$BI$66/12,IFERROR(-IPMT($BI$66/12,(BC158-60),($F$1-5)*12,$BI$65,0),0))</f>
        <v>0</v>
      </c>
      <c r="BG158" s="497">
        <f t="shared" si="70"/>
        <v>0</v>
      </c>
      <c r="BH158" s="497">
        <f t="shared" si="83"/>
        <v>1800000</v>
      </c>
      <c r="BI158" s="493"/>
      <c r="BJ158" s="493"/>
      <c r="BK158" s="492">
        <v>154</v>
      </c>
      <c r="BL158" s="492">
        <v>13</v>
      </c>
      <c r="BM158" s="497">
        <f>IF(('Comparison Calculator'!$E$11-BL158)&gt;=0,0,IFERROR(-PPMT($BQ$66/12,(BK158-60),($F$1-5)*12,$BQ$65),0))</f>
        <v>0</v>
      </c>
      <c r="BN158" s="497">
        <f>IF(('Comparison Calculator'!$E$11-BL158)&gt;=0,$C$1*$BQ$66/12,IFERROR(-IPMT($BQ$66/12,(BK158-60),($F$1-5)*12,$BQ$65,0),0))</f>
        <v>0</v>
      </c>
      <c r="BO158" s="497">
        <f t="shared" si="71"/>
        <v>0</v>
      </c>
      <c r="BP158" s="497">
        <f t="shared" si="84"/>
        <v>1800000</v>
      </c>
      <c r="BQ158" s="493"/>
      <c r="BR158" s="493"/>
      <c r="BT158" s="492">
        <v>154</v>
      </c>
      <c r="BU158" s="492">
        <v>13</v>
      </c>
      <c r="BV158" s="497">
        <f>IF(('Comparison Calculator'!$E$11-BU158)&gt;=0,0,IFERROR(-PPMT($BZ$66/12,(BT158-60),($F$1-5)*12,$BZ$65),0))</f>
        <v>0</v>
      </c>
      <c r="BW158" s="497">
        <f>IF(('Comparison Calculator'!$E$11-BU158)&gt;=0,$C$1*$BZ$66/12,IFERROR(-IPMT($BZ$66/12,(BT158-60),($F$1-5)*12,$BZ$65,0),0))</f>
        <v>0</v>
      </c>
      <c r="BX158" s="497">
        <f t="shared" si="72"/>
        <v>0</v>
      </c>
      <c r="BY158" s="497">
        <f t="shared" si="85"/>
        <v>1800000</v>
      </c>
      <c r="BZ158" s="493"/>
      <c r="CA158" s="493"/>
      <c r="CC158" s="492">
        <v>154</v>
      </c>
      <c r="CD158" s="492">
        <v>13</v>
      </c>
      <c r="CE158" s="497">
        <f>IF(('Comparison Calculator'!$E$11-CD158)&gt;=0,0,IFERROR(-PPMT($CI$66/12,(CC158-60),($F$1-5)*12,$CI$65),0))</f>
        <v>0</v>
      </c>
      <c r="CF158" s="497">
        <f>IF(('Comparison Calculator'!$E$11-CD158)&gt;=0,$C$1*$CI$66/12,IFERROR(-IPMT($CI$66/12,(CC158-60),($F$1-5)*12,$CI$65,0),0))</f>
        <v>0</v>
      </c>
      <c r="CG158" s="497">
        <f t="shared" si="73"/>
        <v>0</v>
      </c>
      <c r="CH158" s="497">
        <f t="shared" si="86"/>
        <v>1800000</v>
      </c>
      <c r="CI158" s="493"/>
      <c r="CJ158" s="493"/>
      <c r="CL158" s="492">
        <v>154</v>
      </c>
      <c r="CM158" s="492">
        <v>13</v>
      </c>
      <c r="CN158" s="497">
        <f>IF(('Comparison Calculator'!$E$11-CM158)&gt;=0,0,IFERROR(-PPMT($CR$66/12,(CL158-60),($F$1-5)*12,$CR$65),0))</f>
        <v>0</v>
      </c>
      <c r="CO158" s="497">
        <f>IF(('Comparison Calculator'!$E$11-CM158)&gt;=0,$C$1*$CI$66/12,IFERROR(-IPMT($CI$66/12,(CL158-60),($F$1-5)*12,$CI$65,0),0))</f>
        <v>0</v>
      </c>
      <c r="CP158" s="497">
        <f t="shared" si="74"/>
        <v>0</v>
      </c>
      <c r="CQ158" s="497">
        <f t="shared" si="87"/>
        <v>1800000</v>
      </c>
      <c r="CR158" s="493"/>
      <c r="CS158" s="493"/>
      <c r="CU158" s="492">
        <v>154</v>
      </c>
      <c r="CV158" s="492">
        <v>13</v>
      </c>
      <c r="CW158" s="497">
        <f>IF(('Comparison Calculator'!$E$11-CV158)&gt;=0,0,IFERROR(-PPMT($DA$66/12,(CU158-60),($F$1-5)*12,$DA$65),0))</f>
        <v>0</v>
      </c>
      <c r="CX158" s="497">
        <f>IF(('Comparison Calculator'!$E$11-CV158)&gt;=0,$C$1*$DA$66/12,IFERROR(-IPMT($DA$66/12,(CU158-60),($F$1-5)*12,$DA$65,0),0))</f>
        <v>0</v>
      </c>
      <c r="CY158" s="497">
        <f t="shared" si="75"/>
        <v>0</v>
      </c>
      <c r="CZ158" s="497">
        <f t="shared" si="88"/>
        <v>1800000</v>
      </c>
      <c r="DA158" s="493"/>
      <c r="DB158" s="493"/>
      <c r="DD158" s="492">
        <v>154</v>
      </c>
      <c r="DE158" s="492">
        <v>13</v>
      </c>
      <c r="DF158" s="497">
        <f>IF(('Comparison Calculator'!$E$11-DE158)&gt;=0,0,IFERROR(-PPMT($DJ$66/12,(DD158-60),($F$1-5)*12,$DJ$65),0))</f>
        <v>0</v>
      </c>
      <c r="DG158" s="497">
        <f>IF(('Comparison Calculator'!$E$11-DE158)&gt;=0,$C$1*$DJ$66/12,IFERROR(-IPMT($DJ$66/12,(DD158-60),($F$1-5)*12,$DJ$65,0),0))</f>
        <v>0</v>
      </c>
      <c r="DH158" s="497">
        <f t="shared" si="76"/>
        <v>0</v>
      </c>
      <c r="DI158" s="497">
        <f t="shared" si="89"/>
        <v>1800000</v>
      </c>
      <c r="DJ158" s="493"/>
      <c r="DK158" s="493"/>
    </row>
    <row r="159" spans="1:115">
      <c r="A159" s="492">
        <v>155</v>
      </c>
      <c r="B159" s="492">
        <v>13</v>
      </c>
      <c r="C159" s="497">
        <f>IF(('Comparison Calculator'!$E$11-B159)&gt;=0,0,IFERROR(-PPMT($G$66/12,(A159-60),($F$1-5)*12,$G$65),0))</f>
        <v>0</v>
      </c>
      <c r="D159" s="497">
        <f>IF(('Comparison Calculator'!$E$11-B159)&gt;=0,$C$1*$G$66/12,IFERROR(-IPMT($G$66/12,(A159-60),($F$1-5)*12,$G$65,0),0))</f>
        <v>0</v>
      </c>
      <c r="E159" s="497">
        <f t="shared" si="64"/>
        <v>0</v>
      </c>
      <c r="F159" s="497">
        <f t="shared" si="77"/>
        <v>1800000</v>
      </c>
      <c r="G159" s="493"/>
      <c r="H159" s="493"/>
      <c r="I159" s="489"/>
      <c r="J159" s="492">
        <v>155</v>
      </c>
      <c r="K159" s="492">
        <v>13</v>
      </c>
      <c r="L159" s="497">
        <f>IF(('Comparison Calculator'!$E$11-K159)&gt;=0,0,IFERROR(-PPMT($P$66/12,(J159-60),($F$1-5)*12,$P$65),0))</f>
        <v>0</v>
      </c>
      <c r="M159" s="497">
        <f>IF(('Comparison Calculator'!$E$11-K159)&gt;=0,$C$1*$P$66/12,IFERROR(-IPMT($P$66/12,(J159-60),($F$1-5)*12,$P$65,0),0))</f>
        <v>0</v>
      </c>
      <c r="N159" s="497">
        <f t="shared" si="65"/>
        <v>0</v>
      </c>
      <c r="O159" s="497">
        <f t="shared" si="78"/>
        <v>1800000</v>
      </c>
      <c r="P159" s="493"/>
      <c r="Q159" s="493"/>
      <c r="S159" s="492">
        <v>155</v>
      </c>
      <c r="T159" s="492">
        <v>13</v>
      </c>
      <c r="U159" s="497">
        <f>IF(('Comparison Calculator'!$E$11-T159)&gt;=0,0,IFERROR(-PPMT($Y$66/12,(S159-60),($F$1-5)*12,$Y$65),0))</f>
        <v>0</v>
      </c>
      <c r="V159" s="497">
        <f>IF(('Comparison Calculator'!$E$11-T159)&gt;=0,$C$1*$Y$66/12,IFERROR(-IPMT($Y$66/12,(S159-60),($F$1-5)*12,$Y$65,0),0))</f>
        <v>0</v>
      </c>
      <c r="W159" s="497">
        <f t="shared" si="66"/>
        <v>0</v>
      </c>
      <c r="X159" s="497">
        <f t="shared" si="79"/>
        <v>1800000</v>
      </c>
      <c r="Y159" s="493"/>
      <c r="Z159" s="493"/>
      <c r="AB159" s="492">
        <v>155</v>
      </c>
      <c r="AC159" s="492">
        <v>13</v>
      </c>
      <c r="AD159" s="497">
        <f>IF(('Comparison Calculator'!$E$11-AC159)&gt;=0,0,IFERROR(-PPMT($AH$66/12,(AB159-60),($F$1-5)*12,$AH$65),0))</f>
        <v>0</v>
      </c>
      <c r="AE159" s="497">
        <f>IF(('Comparison Calculator'!$E$11-AC159)&gt;=0,$C$1*$AH$66/12,IFERROR(-IPMT($AH$66/12,(AB159-60),($F$1-5)*12,$AH$65,0),0))</f>
        <v>0</v>
      </c>
      <c r="AF159" s="497">
        <f t="shared" si="67"/>
        <v>0</v>
      </c>
      <c r="AG159" s="497">
        <f t="shared" si="80"/>
        <v>1800000</v>
      </c>
      <c r="AH159" s="493"/>
      <c r="AI159" s="493"/>
      <c r="AK159" s="492">
        <v>155</v>
      </c>
      <c r="AL159" s="492">
        <v>13</v>
      </c>
      <c r="AM159" s="497">
        <f>IF(('Comparison Calculator'!$E$11-AL159)&gt;=0,0,IFERROR(-PPMT($AQ$66/12,(AK159-60),($F$1-5)*12,$AQ$65),0))</f>
        <v>0</v>
      </c>
      <c r="AN159" s="497">
        <f>IF(('Comparison Calculator'!$E$11-AL159)&gt;=0,$C$1*$AQ$66/12,IFERROR(-IPMT($AQ$66/12,(AK159-60),($F$1-5)*12,$AQ$65,0),0))</f>
        <v>0</v>
      </c>
      <c r="AO159" s="497">
        <f t="shared" si="68"/>
        <v>0</v>
      </c>
      <c r="AP159" s="497">
        <f t="shared" si="81"/>
        <v>1800000</v>
      </c>
      <c r="AQ159" s="493"/>
      <c r="AR159" s="493"/>
      <c r="AT159" s="492">
        <v>155</v>
      </c>
      <c r="AU159" s="492">
        <v>13</v>
      </c>
      <c r="AV159" s="497">
        <f>IF(('Comparison Calculator'!$E$11-AU159)&gt;=0,0,IFERROR(-PPMT($AZ$66/12,(AT159-60),($F$1-5)*12,$AZ$65),0))</f>
        <v>0</v>
      </c>
      <c r="AW159" s="497">
        <f>IF(('Comparison Calculator'!$E$11-AU159)&gt;=0,$C$1*$AZ$66/12,IFERROR(-IPMT($AZ$66/12,(AT159-60),($F$1-5)*12,$AZ$65,0),0))</f>
        <v>0</v>
      </c>
      <c r="AX159" s="497">
        <f t="shared" si="69"/>
        <v>0</v>
      </c>
      <c r="AY159" s="497">
        <f t="shared" si="82"/>
        <v>1800000</v>
      </c>
      <c r="AZ159" s="493"/>
      <c r="BA159" s="493"/>
      <c r="BC159" s="492">
        <v>155</v>
      </c>
      <c r="BD159" s="492">
        <v>13</v>
      </c>
      <c r="BE159" s="497">
        <f>IF(('Comparison Calculator'!$E$11-BD159)&gt;=0,0,IFERROR(-PPMT($BI$66/12,(BC159-60),($F$1-5)*12,$BI$65),0))</f>
        <v>0</v>
      </c>
      <c r="BF159" s="497">
        <f>IF(('Comparison Calculator'!$E$11-BD159)&gt;=0,$C$1*$BI$66/12,IFERROR(-IPMT($BI$66/12,(BC159-60),($F$1-5)*12,$BI$65,0),0))</f>
        <v>0</v>
      </c>
      <c r="BG159" s="497">
        <f t="shared" si="70"/>
        <v>0</v>
      </c>
      <c r="BH159" s="497">
        <f t="shared" si="83"/>
        <v>1800000</v>
      </c>
      <c r="BI159" s="493"/>
      <c r="BJ159" s="493"/>
      <c r="BK159" s="492">
        <v>155</v>
      </c>
      <c r="BL159" s="492">
        <v>13</v>
      </c>
      <c r="BM159" s="497">
        <f>IF(('Comparison Calculator'!$E$11-BL159)&gt;=0,0,IFERROR(-PPMT($BQ$66/12,(BK159-60),($F$1-5)*12,$BQ$65),0))</f>
        <v>0</v>
      </c>
      <c r="BN159" s="497">
        <f>IF(('Comparison Calculator'!$E$11-BL159)&gt;=0,$C$1*$BQ$66/12,IFERROR(-IPMT($BQ$66/12,(BK159-60),($F$1-5)*12,$BQ$65,0),0))</f>
        <v>0</v>
      </c>
      <c r="BO159" s="497">
        <f t="shared" si="71"/>
        <v>0</v>
      </c>
      <c r="BP159" s="497">
        <f t="shared" si="84"/>
        <v>1800000</v>
      </c>
      <c r="BQ159" s="493"/>
      <c r="BR159" s="493"/>
      <c r="BT159" s="492">
        <v>155</v>
      </c>
      <c r="BU159" s="492">
        <v>13</v>
      </c>
      <c r="BV159" s="497">
        <f>IF(('Comparison Calculator'!$E$11-BU159)&gt;=0,0,IFERROR(-PPMT($BZ$66/12,(BT159-60),($F$1-5)*12,$BZ$65),0))</f>
        <v>0</v>
      </c>
      <c r="BW159" s="497">
        <f>IF(('Comparison Calculator'!$E$11-BU159)&gt;=0,$C$1*$BZ$66/12,IFERROR(-IPMT($BZ$66/12,(BT159-60),($F$1-5)*12,$BZ$65,0),0))</f>
        <v>0</v>
      </c>
      <c r="BX159" s="497">
        <f t="shared" si="72"/>
        <v>0</v>
      </c>
      <c r="BY159" s="497">
        <f t="shared" si="85"/>
        <v>1800000</v>
      </c>
      <c r="BZ159" s="493"/>
      <c r="CA159" s="493"/>
      <c r="CC159" s="492">
        <v>155</v>
      </c>
      <c r="CD159" s="492">
        <v>13</v>
      </c>
      <c r="CE159" s="497">
        <f>IF(('Comparison Calculator'!$E$11-CD159)&gt;=0,0,IFERROR(-PPMT($CI$66/12,(CC159-60),($F$1-5)*12,$CI$65),0))</f>
        <v>0</v>
      </c>
      <c r="CF159" s="497">
        <f>IF(('Comparison Calculator'!$E$11-CD159)&gt;=0,$C$1*$CI$66/12,IFERROR(-IPMT($CI$66/12,(CC159-60),($F$1-5)*12,$CI$65,0),0))</f>
        <v>0</v>
      </c>
      <c r="CG159" s="497">
        <f t="shared" si="73"/>
        <v>0</v>
      </c>
      <c r="CH159" s="497">
        <f t="shared" si="86"/>
        <v>1800000</v>
      </c>
      <c r="CI159" s="493"/>
      <c r="CJ159" s="493"/>
      <c r="CL159" s="492">
        <v>155</v>
      </c>
      <c r="CM159" s="492">
        <v>13</v>
      </c>
      <c r="CN159" s="497">
        <f>IF(('Comparison Calculator'!$E$11-CM159)&gt;=0,0,IFERROR(-PPMT($CR$66/12,(CL159-60),($F$1-5)*12,$CR$65),0))</f>
        <v>0</v>
      </c>
      <c r="CO159" s="497">
        <f>IF(('Comparison Calculator'!$E$11-CM159)&gt;=0,$C$1*$CI$66/12,IFERROR(-IPMT($CI$66/12,(CL159-60),($F$1-5)*12,$CI$65,0),0))</f>
        <v>0</v>
      </c>
      <c r="CP159" s="497">
        <f t="shared" si="74"/>
        <v>0</v>
      </c>
      <c r="CQ159" s="497">
        <f t="shared" si="87"/>
        <v>1800000</v>
      </c>
      <c r="CR159" s="493"/>
      <c r="CS159" s="493"/>
      <c r="CU159" s="492">
        <v>155</v>
      </c>
      <c r="CV159" s="492">
        <v>13</v>
      </c>
      <c r="CW159" s="497">
        <f>IF(('Comparison Calculator'!$E$11-CV159)&gt;=0,0,IFERROR(-PPMT($DA$66/12,(CU159-60),($F$1-5)*12,$DA$65),0))</f>
        <v>0</v>
      </c>
      <c r="CX159" s="497">
        <f>IF(('Comparison Calculator'!$E$11-CV159)&gt;=0,$C$1*$DA$66/12,IFERROR(-IPMT($DA$66/12,(CU159-60),($F$1-5)*12,$DA$65,0),0))</f>
        <v>0</v>
      </c>
      <c r="CY159" s="497">
        <f t="shared" si="75"/>
        <v>0</v>
      </c>
      <c r="CZ159" s="497">
        <f t="shared" si="88"/>
        <v>1800000</v>
      </c>
      <c r="DA159" s="493"/>
      <c r="DB159" s="493"/>
      <c r="DD159" s="492">
        <v>155</v>
      </c>
      <c r="DE159" s="492">
        <v>13</v>
      </c>
      <c r="DF159" s="497">
        <f>IF(('Comparison Calculator'!$E$11-DE159)&gt;=0,0,IFERROR(-PPMT($DJ$66/12,(DD159-60),($F$1-5)*12,$DJ$65),0))</f>
        <v>0</v>
      </c>
      <c r="DG159" s="497">
        <f>IF(('Comparison Calculator'!$E$11-DE159)&gt;=0,$C$1*$DJ$66/12,IFERROR(-IPMT($DJ$66/12,(DD159-60),($F$1-5)*12,$DJ$65,0),0))</f>
        <v>0</v>
      </c>
      <c r="DH159" s="497">
        <f t="shared" si="76"/>
        <v>0</v>
      </c>
      <c r="DI159" s="497">
        <f t="shared" si="89"/>
        <v>1800000</v>
      </c>
      <c r="DJ159" s="493"/>
      <c r="DK159" s="493"/>
    </row>
    <row r="160" spans="1:115">
      <c r="A160" s="492">
        <v>156</v>
      </c>
      <c r="B160" s="492">
        <v>13</v>
      </c>
      <c r="C160" s="497">
        <f>IF(('Comparison Calculator'!$E$11-B160)&gt;=0,0,IFERROR(-PPMT($G$66/12,(A160-60),($F$1-5)*12,$G$65),0))</f>
        <v>0</v>
      </c>
      <c r="D160" s="497">
        <f>IF(('Comparison Calculator'!$E$11-B160)&gt;=0,$C$1*$G$66/12,IFERROR(-IPMT($G$66/12,(A160-60),($F$1-5)*12,$G$65,0),0))</f>
        <v>0</v>
      </c>
      <c r="E160" s="497">
        <f t="shared" si="64"/>
        <v>0</v>
      </c>
      <c r="F160" s="497">
        <f t="shared" si="77"/>
        <v>1800000</v>
      </c>
      <c r="G160" s="493"/>
      <c r="H160" s="493"/>
      <c r="I160" s="489"/>
      <c r="J160" s="492">
        <v>156</v>
      </c>
      <c r="K160" s="492">
        <v>13</v>
      </c>
      <c r="L160" s="497">
        <f>IF(('Comparison Calculator'!$E$11-K160)&gt;=0,0,IFERROR(-PPMT($P$66/12,(J160-60),($F$1-5)*12,$P$65),0))</f>
        <v>0</v>
      </c>
      <c r="M160" s="497">
        <f>IF(('Comparison Calculator'!$E$11-K160)&gt;=0,$C$1*$P$66/12,IFERROR(-IPMT($P$66/12,(J160-60),($F$1-5)*12,$P$65,0),0))</f>
        <v>0</v>
      </c>
      <c r="N160" s="497">
        <f t="shared" si="65"/>
        <v>0</v>
      </c>
      <c r="O160" s="497">
        <f t="shared" si="78"/>
        <v>1800000</v>
      </c>
      <c r="P160" s="493"/>
      <c r="Q160" s="493"/>
      <c r="S160" s="492">
        <v>156</v>
      </c>
      <c r="T160" s="492">
        <v>13</v>
      </c>
      <c r="U160" s="497">
        <f>IF(('Comparison Calculator'!$E$11-T160)&gt;=0,0,IFERROR(-PPMT($Y$66/12,(S160-60),($F$1-5)*12,$Y$65),0))</f>
        <v>0</v>
      </c>
      <c r="V160" s="497">
        <f>IF(('Comparison Calculator'!$E$11-T160)&gt;=0,$C$1*$Y$66/12,IFERROR(-IPMT($Y$66/12,(S160-60),($F$1-5)*12,$Y$65,0),0))</f>
        <v>0</v>
      </c>
      <c r="W160" s="497">
        <f t="shared" si="66"/>
        <v>0</v>
      </c>
      <c r="X160" s="497">
        <f t="shared" si="79"/>
        <v>1800000</v>
      </c>
      <c r="Y160" s="493"/>
      <c r="Z160" s="493"/>
      <c r="AB160" s="492">
        <v>156</v>
      </c>
      <c r="AC160" s="492">
        <v>13</v>
      </c>
      <c r="AD160" s="497">
        <f>IF(('Comparison Calculator'!$E$11-AC160)&gt;=0,0,IFERROR(-PPMT($AH$66/12,(AB160-60),($F$1-5)*12,$AH$65),0))</f>
        <v>0</v>
      </c>
      <c r="AE160" s="497">
        <f>IF(('Comparison Calculator'!$E$11-AC160)&gt;=0,$C$1*$AH$66/12,IFERROR(-IPMT($AH$66/12,(AB160-60),($F$1-5)*12,$AH$65,0),0))</f>
        <v>0</v>
      </c>
      <c r="AF160" s="497">
        <f t="shared" si="67"/>
        <v>0</v>
      </c>
      <c r="AG160" s="497">
        <f t="shared" si="80"/>
        <v>1800000</v>
      </c>
      <c r="AH160" s="493"/>
      <c r="AI160" s="493"/>
      <c r="AK160" s="492">
        <v>156</v>
      </c>
      <c r="AL160" s="492">
        <v>13</v>
      </c>
      <c r="AM160" s="497">
        <f>IF(('Comparison Calculator'!$E$11-AL160)&gt;=0,0,IFERROR(-PPMT($AQ$66/12,(AK160-60),($F$1-5)*12,$AQ$65),0))</f>
        <v>0</v>
      </c>
      <c r="AN160" s="497">
        <f>IF(('Comparison Calculator'!$E$11-AL160)&gt;=0,$C$1*$AQ$66/12,IFERROR(-IPMT($AQ$66/12,(AK160-60),($F$1-5)*12,$AQ$65,0),0))</f>
        <v>0</v>
      </c>
      <c r="AO160" s="497">
        <f t="shared" si="68"/>
        <v>0</v>
      </c>
      <c r="AP160" s="497">
        <f t="shared" si="81"/>
        <v>1800000</v>
      </c>
      <c r="AQ160" s="493"/>
      <c r="AR160" s="493"/>
      <c r="AT160" s="492">
        <v>156</v>
      </c>
      <c r="AU160" s="492">
        <v>13</v>
      </c>
      <c r="AV160" s="497">
        <f>IF(('Comparison Calculator'!$E$11-AU160)&gt;=0,0,IFERROR(-PPMT($AZ$66/12,(AT160-60),($F$1-5)*12,$AZ$65),0))</f>
        <v>0</v>
      </c>
      <c r="AW160" s="497">
        <f>IF(('Comparison Calculator'!$E$11-AU160)&gt;=0,$C$1*$AZ$66/12,IFERROR(-IPMT($AZ$66/12,(AT160-60),($F$1-5)*12,$AZ$65,0),0))</f>
        <v>0</v>
      </c>
      <c r="AX160" s="497">
        <f t="shared" si="69"/>
        <v>0</v>
      </c>
      <c r="AY160" s="497">
        <f t="shared" si="82"/>
        <v>1800000</v>
      </c>
      <c r="AZ160" s="493"/>
      <c r="BA160" s="493"/>
      <c r="BC160" s="492">
        <v>156</v>
      </c>
      <c r="BD160" s="492">
        <v>13</v>
      </c>
      <c r="BE160" s="497">
        <f>IF(('Comparison Calculator'!$E$11-BD160)&gt;=0,0,IFERROR(-PPMT($BI$66/12,(BC160-60),($F$1-5)*12,$BI$65),0))</f>
        <v>0</v>
      </c>
      <c r="BF160" s="497">
        <f>IF(('Comparison Calculator'!$E$11-BD160)&gt;=0,$C$1*$BI$66/12,IFERROR(-IPMT($BI$66/12,(BC160-60),($F$1-5)*12,$BI$65,0),0))</f>
        <v>0</v>
      </c>
      <c r="BG160" s="497">
        <f t="shared" si="70"/>
        <v>0</v>
      </c>
      <c r="BH160" s="497">
        <f t="shared" si="83"/>
        <v>1800000</v>
      </c>
      <c r="BI160" s="493"/>
      <c r="BJ160" s="493"/>
      <c r="BK160" s="492">
        <v>156</v>
      </c>
      <c r="BL160" s="492">
        <v>13</v>
      </c>
      <c r="BM160" s="497">
        <f>IF(('Comparison Calculator'!$E$11-BL160)&gt;=0,0,IFERROR(-PPMT($BQ$66/12,(BK160-60),($F$1-5)*12,$BQ$65),0))</f>
        <v>0</v>
      </c>
      <c r="BN160" s="497">
        <f>IF(('Comparison Calculator'!$E$11-BL160)&gt;=0,$C$1*$BQ$66/12,IFERROR(-IPMT($BQ$66/12,(BK160-60),($F$1-5)*12,$BQ$65,0),0))</f>
        <v>0</v>
      </c>
      <c r="BO160" s="497">
        <f t="shared" si="71"/>
        <v>0</v>
      </c>
      <c r="BP160" s="497">
        <f t="shared" si="84"/>
        <v>1800000</v>
      </c>
      <c r="BQ160" s="493"/>
      <c r="BR160" s="493"/>
      <c r="BT160" s="492">
        <v>156</v>
      </c>
      <c r="BU160" s="492">
        <v>13</v>
      </c>
      <c r="BV160" s="497">
        <f>IF(('Comparison Calculator'!$E$11-BU160)&gt;=0,0,IFERROR(-PPMT($BZ$66/12,(BT160-60),($F$1-5)*12,$BZ$65),0))</f>
        <v>0</v>
      </c>
      <c r="BW160" s="497">
        <f>IF(('Comparison Calculator'!$E$11-BU160)&gt;=0,$C$1*$BZ$66/12,IFERROR(-IPMT($BZ$66/12,(BT160-60),($F$1-5)*12,$BZ$65,0),0))</f>
        <v>0</v>
      </c>
      <c r="BX160" s="497">
        <f t="shared" si="72"/>
        <v>0</v>
      </c>
      <c r="BY160" s="497">
        <f t="shared" si="85"/>
        <v>1800000</v>
      </c>
      <c r="BZ160" s="493"/>
      <c r="CA160" s="493"/>
      <c r="CC160" s="492">
        <v>156</v>
      </c>
      <c r="CD160" s="492">
        <v>13</v>
      </c>
      <c r="CE160" s="497">
        <f>IF(('Comparison Calculator'!$E$11-CD160)&gt;=0,0,IFERROR(-PPMT($CI$66/12,(CC160-60),($F$1-5)*12,$CI$65),0))</f>
        <v>0</v>
      </c>
      <c r="CF160" s="497">
        <f>IF(('Comparison Calculator'!$E$11-CD160)&gt;=0,$C$1*$CI$66/12,IFERROR(-IPMT($CI$66/12,(CC160-60),($F$1-5)*12,$CI$65,0),0))</f>
        <v>0</v>
      </c>
      <c r="CG160" s="497">
        <f t="shared" si="73"/>
        <v>0</v>
      </c>
      <c r="CH160" s="497">
        <f t="shared" si="86"/>
        <v>1800000</v>
      </c>
      <c r="CI160" s="493"/>
      <c r="CJ160" s="493"/>
      <c r="CL160" s="492">
        <v>156</v>
      </c>
      <c r="CM160" s="492">
        <v>13</v>
      </c>
      <c r="CN160" s="497">
        <f>IF(('Comparison Calculator'!$E$11-CM160)&gt;=0,0,IFERROR(-PPMT($CR$66/12,(CL160-60),($F$1-5)*12,$CR$65),0))</f>
        <v>0</v>
      </c>
      <c r="CO160" s="497">
        <f>IF(('Comparison Calculator'!$E$11-CM160)&gt;=0,$C$1*$CI$66/12,IFERROR(-IPMT($CI$66/12,(CL160-60),($F$1-5)*12,$CI$65,0),0))</f>
        <v>0</v>
      </c>
      <c r="CP160" s="497">
        <f t="shared" si="74"/>
        <v>0</v>
      </c>
      <c r="CQ160" s="497">
        <f t="shared" si="87"/>
        <v>1800000</v>
      </c>
      <c r="CR160" s="493"/>
      <c r="CS160" s="493"/>
      <c r="CU160" s="492">
        <v>156</v>
      </c>
      <c r="CV160" s="492">
        <v>13</v>
      </c>
      <c r="CW160" s="497">
        <f>IF(('Comparison Calculator'!$E$11-CV160)&gt;=0,0,IFERROR(-PPMT($DA$66/12,(CU160-60),($F$1-5)*12,$DA$65),0))</f>
        <v>0</v>
      </c>
      <c r="CX160" s="497">
        <f>IF(('Comparison Calculator'!$E$11-CV160)&gt;=0,$C$1*$DA$66/12,IFERROR(-IPMT($DA$66/12,(CU160-60),($F$1-5)*12,$DA$65,0),0))</f>
        <v>0</v>
      </c>
      <c r="CY160" s="497">
        <f t="shared" si="75"/>
        <v>0</v>
      </c>
      <c r="CZ160" s="497">
        <f t="shared" si="88"/>
        <v>1800000</v>
      </c>
      <c r="DA160" s="493"/>
      <c r="DB160" s="493"/>
      <c r="DD160" s="492">
        <v>156</v>
      </c>
      <c r="DE160" s="492">
        <v>13</v>
      </c>
      <c r="DF160" s="497">
        <f>IF(('Comparison Calculator'!$E$11-DE160)&gt;=0,0,IFERROR(-PPMT($DJ$66/12,(DD160-60),($F$1-5)*12,$DJ$65),0))</f>
        <v>0</v>
      </c>
      <c r="DG160" s="497">
        <f>IF(('Comparison Calculator'!$E$11-DE160)&gt;=0,$C$1*$DJ$66/12,IFERROR(-IPMT($DJ$66/12,(DD160-60),($F$1-5)*12,$DJ$65,0),0))</f>
        <v>0</v>
      </c>
      <c r="DH160" s="497">
        <f t="shared" si="76"/>
        <v>0</v>
      </c>
      <c r="DI160" s="497">
        <f t="shared" si="89"/>
        <v>1800000</v>
      </c>
      <c r="DJ160" s="493"/>
      <c r="DK160" s="493"/>
    </row>
    <row r="161" spans="1:115">
      <c r="A161" s="492">
        <v>157</v>
      </c>
      <c r="B161" s="492">
        <v>14</v>
      </c>
      <c r="C161" s="497">
        <f>IF(('Comparison Calculator'!$E$11-B161)&gt;=0,0,IFERROR(-PPMT($G$66/12,(A161-60),($F$1-5)*12,$G$65),0))</f>
        <v>0</v>
      </c>
      <c r="D161" s="497">
        <f>IF(('Comparison Calculator'!$E$11-B161)&gt;=0,$C$1*$G$66/12,IFERROR(-IPMT($G$66/12,(A161-60),($F$1-5)*12,$G$65,0),0))</f>
        <v>0</v>
      </c>
      <c r="E161" s="497">
        <f t="shared" si="64"/>
        <v>0</v>
      </c>
      <c r="F161" s="497">
        <f t="shared" si="77"/>
        <v>1800000</v>
      </c>
      <c r="G161" s="493"/>
      <c r="H161" s="493"/>
      <c r="I161" s="489"/>
      <c r="J161" s="492">
        <v>157</v>
      </c>
      <c r="K161" s="492">
        <v>14</v>
      </c>
      <c r="L161" s="497">
        <f>IF(('Comparison Calculator'!$E$11-K161)&gt;=0,0,IFERROR(-PPMT($P$66/12,(J161-60),($F$1-5)*12,$P$65),0))</f>
        <v>0</v>
      </c>
      <c r="M161" s="497">
        <f>IF(('Comparison Calculator'!$E$11-K161)&gt;=0,$C$1*$P$66/12,IFERROR(-IPMT($P$66/12,(J161-60),($F$1-5)*12,$P$65,0),0))</f>
        <v>0</v>
      </c>
      <c r="N161" s="497">
        <f t="shared" si="65"/>
        <v>0</v>
      </c>
      <c r="O161" s="497">
        <f t="shared" si="78"/>
        <v>1800000</v>
      </c>
      <c r="P161" s="493"/>
      <c r="Q161" s="493"/>
      <c r="S161" s="492">
        <v>157</v>
      </c>
      <c r="T161" s="492">
        <v>14</v>
      </c>
      <c r="U161" s="497">
        <f>IF(('Comparison Calculator'!$E$11-T161)&gt;=0,0,IFERROR(-PPMT($Y$66/12,(S161-60),($F$1-5)*12,$Y$65),0))</f>
        <v>0</v>
      </c>
      <c r="V161" s="497">
        <f>IF(('Comparison Calculator'!$E$11-T161)&gt;=0,$C$1*$Y$66/12,IFERROR(-IPMT($Y$66/12,(S161-60),($F$1-5)*12,$Y$65,0),0))</f>
        <v>0</v>
      </c>
      <c r="W161" s="497">
        <f t="shared" si="66"/>
        <v>0</v>
      </c>
      <c r="X161" s="497">
        <f t="shared" si="79"/>
        <v>1800000</v>
      </c>
      <c r="Y161" s="493"/>
      <c r="Z161" s="493"/>
      <c r="AB161" s="492">
        <v>157</v>
      </c>
      <c r="AC161" s="492">
        <v>14</v>
      </c>
      <c r="AD161" s="497">
        <f>IF(('Comparison Calculator'!$E$11-AC161)&gt;=0,0,IFERROR(-PPMT($AH$66/12,(AB161-60),($F$1-5)*12,$AH$65),0))</f>
        <v>0</v>
      </c>
      <c r="AE161" s="497">
        <f>IF(('Comparison Calculator'!$E$11-AC161)&gt;=0,$C$1*$AH$66/12,IFERROR(-IPMT($AH$66/12,(AB161-60),($F$1-5)*12,$AH$65,0),0))</f>
        <v>0</v>
      </c>
      <c r="AF161" s="497">
        <f t="shared" si="67"/>
        <v>0</v>
      </c>
      <c r="AG161" s="497">
        <f t="shared" si="80"/>
        <v>1800000</v>
      </c>
      <c r="AH161" s="493"/>
      <c r="AI161" s="493"/>
      <c r="AK161" s="492">
        <v>157</v>
      </c>
      <c r="AL161" s="492">
        <v>14</v>
      </c>
      <c r="AM161" s="497">
        <f>IF(('Comparison Calculator'!$E$11-AL161)&gt;=0,0,IFERROR(-PPMT($AQ$66/12,(AK161-60),($F$1-5)*12,$AQ$65),0))</f>
        <v>0</v>
      </c>
      <c r="AN161" s="497">
        <f>IF(('Comparison Calculator'!$E$11-AL161)&gt;=0,$C$1*$AQ$66/12,IFERROR(-IPMT($AQ$66/12,(AK161-60),($F$1-5)*12,$AQ$65,0),0))</f>
        <v>0</v>
      </c>
      <c r="AO161" s="497">
        <f t="shared" si="68"/>
        <v>0</v>
      </c>
      <c r="AP161" s="497">
        <f t="shared" si="81"/>
        <v>1800000</v>
      </c>
      <c r="AQ161" s="493"/>
      <c r="AR161" s="493"/>
      <c r="AT161" s="492">
        <v>157</v>
      </c>
      <c r="AU161" s="492">
        <v>14</v>
      </c>
      <c r="AV161" s="497">
        <f>IF(('Comparison Calculator'!$E$11-AU161)&gt;=0,0,IFERROR(-PPMT($AZ$66/12,(AT161-60),($F$1-5)*12,$AZ$65),0))</f>
        <v>0</v>
      </c>
      <c r="AW161" s="497">
        <f>IF(('Comparison Calculator'!$E$11-AU161)&gt;=0,$C$1*$AZ$66/12,IFERROR(-IPMT($AZ$66/12,(AT161-60),($F$1-5)*12,$AZ$65,0),0))</f>
        <v>0</v>
      </c>
      <c r="AX161" s="497">
        <f t="shared" si="69"/>
        <v>0</v>
      </c>
      <c r="AY161" s="497">
        <f t="shared" si="82"/>
        <v>1800000</v>
      </c>
      <c r="AZ161" s="493"/>
      <c r="BA161" s="493"/>
      <c r="BC161" s="492">
        <v>157</v>
      </c>
      <c r="BD161" s="492">
        <v>14</v>
      </c>
      <c r="BE161" s="497">
        <f>IF(('Comparison Calculator'!$E$11-BD161)&gt;=0,0,IFERROR(-PPMT($BI$66/12,(BC161-60),($F$1-5)*12,$BI$65),0))</f>
        <v>0</v>
      </c>
      <c r="BF161" s="497">
        <f>IF(('Comparison Calculator'!$E$11-BD161)&gt;=0,$C$1*$BI$66/12,IFERROR(-IPMT($BI$66/12,(BC161-60),($F$1-5)*12,$BI$65,0),0))</f>
        <v>0</v>
      </c>
      <c r="BG161" s="497">
        <f t="shared" si="70"/>
        <v>0</v>
      </c>
      <c r="BH161" s="497">
        <f t="shared" si="83"/>
        <v>1800000</v>
      </c>
      <c r="BI161" s="493"/>
      <c r="BJ161" s="493"/>
      <c r="BK161" s="492">
        <v>157</v>
      </c>
      <c r="BL161" s="492">
        <v>14</v>
      </c>
      <c r="BM161" s="497">
        <f>IF(('Comparison Calculator'!$E$11-BL161)&gt;=0,0,IFERROR(-PPMT($BQ$66/12,(BK161-60),($F$1-5)*12,$BQ$65),0))</f>
        <v>0</v>
      </c>
      <c r="BN161" s="497">
        <f>IF(('Comparison Calculator'!$E$11-BL161)&gt;=0,$C$1*$BQ$66/12,IFERROR(-IPMT($BQ$66/12,(BK161-60),($F$1-5)*12,$BQ$65,0),0))</f>
        <v>0</v>
      </c>
      <c r="BO161" s="497">
        <f t="shared" si="71"/>
        <v>0</v>
      </c>
      <c r="BP161" s="497">
        <f t="shared" si="84"/>
        <v>1800000</v>
      </c>
      <c r="BQ161" s="493"/>
      <c r="BR161" s="493"/>
      <c r="BT161" s="492">
        <v>157</v>
      </c>
      <c r="BU161" s="492">
        <v>14</v>
      </c>
      <c r="BV161" s="497">
        <f>IF(('Comparison Calculator'!$E$11-BU161)&gt;=0,0,IFERROR(-PPMT($BZ$66/12,(BT161-60),($F$1-5)*12,$BZ$65),0))</f>
        <v>0</v>
      </c>
      <c r="BW161" s="497">
        <f>IF(('Comparison Calculator'!$E$11-BU161)&gt;=0,$C$1*$BZ$66/12,IFERROR(-IPMT($BZ$66/12,(BT161-60),($F$1-5)*12,$BZ$65,0),0))</f>
        <v>0</v>
      </c>
      <c r="BX161" s="497">
        <f t="shared" si="72"/>
        <v>0</v>
      </c>
      <c r="BY161" s="497">
        <f t="shared" si="85"/>
        <v>1800000</v>
      </c>
      <c r="BZ161" s="493"/>
      <c r="CA161" s="493"/>
      <c r="CC161" s="492">
        <v>157</v>
      </c>
      <c r="CD161" s="492">
        <v>14</v>
      </c>
      <c r="CE161" s="497">
        <f>IF(('Comparison Calculator'!$E$11-CD161)&gt;=0,0,IFERROR(-PPMT($CI$66/12,(CC161-60),($F$1-5)*12,$CI$65),0))</f>
        <v>0</v>
      </c>
      <c r="CF161" s="497">
        <f>IF(('Comparison Calculator'!$E$11-CD161)&gt;=0,$C$1*$CI$66/12,IFERROR(-IPMT($CI$66/12,(CC161-60),($F$1-5)*12,$CI$65,0),0))</f>
        <v>0</v>
      </c>
      <c r="CG161" s="497">
        <f t="shared" si="73"/>
        <v>0</v>
      </c>
      <c r="CH161" s="497">
        <f t="shared" si="86"/>
        <v>1800000</v>
      </c>
      <c r="CI161" s="493"/>
      <c r="CJ161" s="493"/>
      <c r="CL161" s="492">
        <v>157</v>
      </c>
      <c r="CM161" s="492">
        <v>14</v>
      </c>
      <c r="CN161" s="497">
        <f>IF(('Comparison Calculator'!$E$11-CM161)&gt;=0,0,IFERROR(-PPMT($CR$66/12,(CL161-60),($F$1-5)*12,$CR$65),0))</f>
        <v>0</v>
      </c>
      <c r="CO161" s="497">
        <f>IF(('Comparison Calculator'!$E$11-CM161)&gt;=0,$C$1*$CI$66/12,IFERROR(-IPMT($CI$66/12,(CL161-60),($F$1-5)*12,$CI$65,0),0))</f>
        <v>0</v>
      </c>
      <c r="CP161" s="497">
        <f t="shared" si="74"/>
        <v>0</v>
      </c>
      <c r="CQ161" s="497">
        <f t="shared" si="87"/>
        <v>1800000</v>
      </c>
      <c r="CR161" s="493"/>
      <c r="CS161" s="493"/>
      <c r="CU161" s="492">
        <v>157</v>
      </c>
      <c r="CV161" s="492">
        <v>14</v>
      </c>
      <c r="CW161" s="497">
        <f>IF(('Comparison Calculator'!$E$11-CV161)&gt;=0,0,IFERROR(-PPMT($DA$66/12,(CU161-60),($F$1-5)*12,$DA$65),0))</f>
        <v>0</v>
      </c>
      <c r="CX161" s="497">
        <f>IF(('Comparison Calculator'!$E$11-CV161)&gt;=0,$C$1*$DA$66/12,IFERROR(-IPMT($DA$66/12,(CU161-60),($F$1-5)*12,$DA$65,0),0))</f>
        <v>0</v>
      </c>
      <c r="CY161" s="497">
        <f t="shared" si="75"/>
        <v>0</v>
      </c>
      <c r="CZ161" s="497">
        <f t="shared" si="88"/>
        <v>1800000</v>
      </c>
      <c r="DA161" s="493"/>
      <c r="DB161" s="493"/>
      <c r="DD161" s="492">
        <v>157</v>
      </c>
      <c r="DE161" s="492">
        <v>14</v>
      </c>
      <c r="DF161" s="497">
        <f>IF(('Comparison Calculator'!$E$11-DE161)&gt;=0,0,IFERROR(-PPMT($DJ$66/12,(DD161-60),($F$1-5)*12,$DJ$65),0))</f>
        <v>0</v>
      </c>
      <c r="DG161" s="497">
        <f>IF(('Comparison Calculator'!$E$11-DE161)&gt;=0,$C$1*$DJ$66/12,IFERROR(-IPMT($DJ$66/12,(DD161-60),($F$1-5)*12,$DJ$65,0),0))</f>
        <v>0</v>
      </c>
      <c r="DH161" s="497">
        <f t="shared" si="76"/>
        <v>0</v>
      </c>
      <c r="DI161" s="497">
        <f t="shared" si="89"/>
        <v>1800000</v>
      </c>
      <c r="DJ161" s="493"/>
      <c r="DK161" s="493"/>
    </row>
    <row r="162" spans="1:115">
      <c r="A162" s="492">
        <v>158</v>
      </c>
      <c r="B162" s="492">
        <v>14</v>
      </c>
      <c r="C162" s="497">
        <f>IF(('Comparison Calculator'!$E$11-B162)&gt;=0,0,IFERROR(-PPMT($G$66/12,(A162-60),($F$1-5)*12,$G$65),0))</f>
        <v>0</v>
      </c>
      <c r="D162" s="497">
        <f>IF(('Comparison Calculator'!$E$11-B162)&gt;=0,$C$1*$G$66/12,IFERROR(-IPMT($G$66/12,(A162-60),($F$1-5)*12,$G$65,0),0))</f>
        <v>0</v>
      </c>
      <c r="E162" s="497">
        <f t="shared" si="64"/>
        <v>0</v>
      </c>
      <c r="F162" s="497">
        <f t="shared" si="77"/>
        <v>1800000</v>
      </c>
      <c r="G162" s="493"/>
      <c r="H162" s="493"/>
      <c r="I162" s="489"/>
      <c r="J162" s="492">
        <v>158</v>
      </c>
      <c r="K162" s="492">
        <v>14</v>
      </c>
      <c r="L162" s="497">
        <f>IF(('Comparison Calculator'!$E$11-K162)&gt;=0,0,IFERROR(-PPMT($P$66/12,(J162-60),($F$1-5)*12,$P$65),0))</f>
        <v>0</v>
      </c>
      <c r="M162" s="497">
        <f>IF(('Comparison Calculator'!$E$11-K162)&gt;=0,$C$1*$P$66/12,IFERROR(-IPMT($P$66/12,(J162-60),($F$1-5)*12,$P$65,0),0))</f>
        <v>0</v>
      </c>
      <c r="N162" s="497">
        <f t="shared" si="65"/>
        <v>0</v>
      </c>
      <c r="O162" s="497">
        <f t="shared" si="78"/>
        <v>1800000</v>
      </c>
      <c r="P162" s="493"/>
      <c r="Q162" s="493"/>
      <c r="S162" s="492">
        <v>158</v>
      </c>
      <c r="T162" s="492">
        <v>14</v>
      </c>
      <c r="U162" s="497">
        <f>IF(('Comparison Calculator'!$E$11-T162)&gt;=0,0,IFERROR(-PPMT($Y$66/12,(S162-60),($F$1-5)*12,$Y$65),0))</f>
        <v>0</v>
      </c>
      <c r="V162" s="497">
        <f>IF(('Comparison Calculator'!$E$11-T162)&gt;=0,$C$1*$Y$66/12,IFERROR(-IPMT($Y$66/12,(S162-60),($F$1-5)*12,$Y$65,0),0))</f>
        <v>0</v>
      </c>
      <c r="W162" s="497">
        <f t="shared" si="66"/>
        <v>0</v>
      </c>
      <c r="X162" s="497">
        <f t="shared" si="79"/>
        <v>1800000</v>
      </c>
      <c r="Y162" s="493"/>
      <c r="Z162" s="493"/>
      <c r="AB162" s="492">
        <v>158</v>
      </c>
      <c r="AC162" s="492">
        <v>14</v>
      </c>
      <c r="AD162" s="497">
        <f>IF(('Comparison Calculator'!$E$11-AC162)&gt;=0,0,IFERROR(-PPMT($AH$66/12,(AB162-60),($F$1-5)*12,$AH$65),0))</f>
        <v>0</v>
      </c>
      <c r="AE162" s="497">
        <f>IF(('Comparison Calculator'!$E$11-AC162)&gt;=0,$C$1*$AH$66/12,IFERROR(-IPMT($AH$66/12,(AB162-60),($F$1-5)*12,$AH$65,0),0))</f>
        <v>0</v>
      </c>
      <c r="AF162" s="497">
        <f t="shared" si="67"/>
        <v>0</v>
      </c>
      <c r="AG162" s="497">
        <f t="shared" si="80"/>
        <v>1800000</v>
      </c>
      <c r="AH162" s="493"/>
      <c r="AI162" s="493"/>
      <c r="AK162" s="492">
        <v>158</v>
      </c>
      <c r="AL162" s="492">
        <v>14</v>
      </c>
      <c r="AM162" s="497">
        <f>IF(('Comparison Calculator'!$E$11-AL162)&gt;=0,0,IFERROR(-PPMT($AQ$66/12,(AK162-60),($F$1-5)*12,$AQ$65),0))</f>
        <v>0</v>
      </c>
      <c r="AN162" s="497">
        <f>IF(('Comparison Calculator'!$E$11-AL162)&gt;=0,$C$1*$AQ$66/12,IFERROR(-IPMT($AQ$66/12,(AK162-60),($F$1-5)*12,$AQ$65,0),0))</f>
        <v>0</v>
      </c>
      <c r="AO162" s="497">
        <f t="shared" si="68"/>
        <v>0</v>
      </c>
      <c r="AP162" s="497">
        <f t="shared" si="81"/>
        <v>1800000</v>
      </c>
      <c r="AQ162" s="493"/>
      <c r="AR162" s="493"/>
      <c r="AT162" s="492">
        <v>158</v>
      </c>
      <c r="AU162" s="492">
        <v>14</v>
      </c>
      <c r="AV162" s="497">
        <f>IF(('Comparison Calculator'!$E$11-AU162)&gt;=0,0,IFERROR(-PPMT($AZ$66/12,(AT162-60),($F$1-5)*12,$AZ$65),0))</f>
        <v>0</v>
      </c>
      <c r="AW162" s="497">
        <f>IF(('Comparison Calculator'!$E$11-AU162)&gt;=0,$C$1*$AZ$66/12,IFERROR(-IPMT($AZ$66/12,(AT162-60),($F$1-5)*12,$AZ$65,0),0))</f>
        <v>0</v>
      </c>
      <c r="AX162" s="497">
        <f t="shared" si="69"/>
        <v>0</v>
      </c>
      <c r="AY162" s="497">
        <f t="shared" si="82"/>
        <v>1800000</v>
      </c>
      <c r="AZ162" s="493"/>
      <c r="BA162" s="493"/>
      <c r="BC162" s="492">
        <v>158</v>
      </c>
      <c r="BD162" s="492">
        <v>14</v>
      </c>
      <c r="BE162" s="497">
        <f>IF(('Comparison Calculator'!$E$11-BD162)&gt;=0,0,IFERROR(-PPMT($BI$66/12,(BC162-60),($F$1-5)*12,$BI$65),0))</f>
        <v>0</v>
      </c>
      <c r="BF162" s="497">
        <f>IF(('Comparison Calculator'!$E$11-BD162)&gt;=0,$C$1*$BI$66/12,IFERROR(-IPMT($BI$66/12,(BC162-60),($F$1-5)*12,$BI$65,0),0))</f>
        <v>0</v>
      </c>
      <c r="BG162" s="497">
        <f t="shared" si="70"/>
        <v>0</v>
      </c>
      <c r="BH162" s="497">
        <f t="shared" si="83"/>
        <v>1800000</v>
      </c>
      <c r="BI162" s="493"/>
      <c r="BJ162" s="493"/>
      <c r="BK162" s="492">
        <v>158</v>
      </c>
      <c r="BL162" s="492">
        <v>14</v>
      </c>
      <c r="BM162" s="497">
        <f>IF(('Comparison Calculator'!$E$11-BL162)&gt;=0,0,IFERROR(-PPMT($BQ$66/12,(BK162-60),($F$1-5)*12,$BQ$65),0))</f>
        <v>0</v>
      </c>
      <c r="BN162" s="497">
        <f>IF(('Comparison Calculator'!$E$11-BL162)&gt;=0,$C$1*$BQ$66/12,IFERROR(-IPMT($BQ$66/12,(BK162-60),($F$1-5)*12,$BQ$65,0),0))</f>
        <v>0</v>
      </c>
      <c r="BO162" s="497">
        <f t="shared" si="71"/>
        <v>0</v>
      </c>
      <c r="BP162" s="497">
        <f t="shared" si="84"/>
        <v>1800000</v>
      </c>
      <c r="BQ162" s="493"/>
      <c r="BR162" s="493"/>
      <c r="BT162" s="492">
        <v>158</v>
      </c>
      <c r="BU162" s="492">
        <v>14</v>
      </c>
      <c r="BV162" s="497">
        <f>IF(('Comparison Calculator'!$E$11-BU162)&gt;=0,0,IFERROR(-PPMT($BZ$66/12,(BT162-60),($F$1-5)*12,$BZ$65),0))</f>
        <v>0</v>
      </c>
      <c r="BW162" s="497">
        <f>IF(('Comparison Calculator'!$E$11-BU162)&gt;=0,$C$1*$BZ$66/12,IFERROR(-IPMT($BZ$66/12,(BT162-60),($F$1-5)*12,$BZ$65,0),0))</f>
        <v>0</v>
      </c>
      <c r="BX162" s="497">
        <f t="shared" si="72"/>
        <v>0</v>
      </c>
      <c r="BY162" s="497">
        <f t="shared" si="85"/>
        <v>1800000</v>
      </c>
      <c r="BZ162" s="493"/>
      <c r="CA162" s="493"/>
      <c r="CC162" s="492">
        <v>158</v>
      </c>
      <c r="CD162" s="492">
        <v>14</v>
      </c>
      <c r="CE162" s="497">
        <f>IF(('Comparison Calculator'!$E$11-CD162)&gt;=0,0,IFERROR(-PPMT($CI$66/12,(CC162-60),($F$1-5)*12,$CI$65),0))</f>
        <v>0</v>
      </c>
      <c r="CF162" s="497">
        <f>IF(('Comparison Calculator'!$E$11-CD162)&gt;=0,$C$1*$CI$66/12,IFERROR(-IPMT($CI$66/12,(CC162-60),($F$1-5)*12,$CI$65,0),0))</f>
        <v>0</v>
      </c>
      <c r="CG162" s="497">
        <f t="shared" si="73"/>
        <v>0</v>
      </c>
      <c r="CH162" s="497">
        <f t="shared" si="86"/>
        <v>1800000</v>
      </c>
      <c r="CI162" s="493"/>
      <c r="CJ162" s="493"/>
      <c r="CL162" s="492">
        <v>158</v>
      </c>
      <c r="CM162" s="492">
        <v>14</v>
      </c>
      <c r="CN162" s="497">
        <f>IF(('Comparison Calculator'!$E$11-CM162)&gt;=0,0,IFERROR(-PPMT($CR$66/12,(CL162-60),($F$1-5)*12,$CR$65),0))</f>
        <v>0</v>
      </c>
      <c r="CO162" s="497">
        <f>IF(('Comparison Calculator'!$E$11-CM162)&gt;=0,$C$1*$CI$66/12,IFERROR(-IPMT($CI$66/12,(CL162-60),($F$1-5)*12,$CI$65,0),0))</f>
        <v>0</v>
      </c>
      <c r="CP162" s="497">
        <f t="shared" si="74"/>
        <v>0</v>
      </c>
      <c r="CQ162" s="497">
        <f t="shared" si="87"/>
        <v>1800000</v>
      </c>
      <c r="CR162" s="493"/>
      <c r="CS162" s="493"/>
      <c r="CU162" s="492">
        <v>158</v>
      </c>
      <c r="CV162" s="492">
        <v>14</v>
      </c>
      <c r="CW162" s="497">
        <f>IF(('Comparison Calculator'!$E$11-CV162)&gt;=0,0,IFERROR(-PPMT($DA$66/12,(CU162-60),($F$1-5)*12,$DA$65),0))</f>
        <v>0</v>
      </c>
      <c r="CX162" s="497">
        <f>IF(('Comparison Calculator'!$E$11-CV162)&gt;=0,$C$1*$DA$66/12,IFERROR(-IPMT($DA$66/12,(CU162-60),($F$1-5)*12,$DA$65,0),0))</f>
        <v>0</v>
      </c>
      <c r="CY162" s="497">
        <f t="shared" si="75"/>
        <v>0</v>
      </c>
      <c r="CZ162" s="497">
        <f t="shared" si="88"/>
        <v>1800000</v>
      </c>
      <c r="DA162" s="493"/>
      <c r="DB162" s="493"/>
      <c r="DD162" s="492">
        <v>158</v>
      </c>
      <c r="DE162" s="492">
        <v>14</v>
      </c>
      <c r="DF162" s="497">
        <f>IF(('Comparison Calculator'!$E$11-DE162)&gt;=0,0,IFERROR(-PPMT($DJ$66/12,(DD162-60),($F$1-5)*12,$DJ$65),0))</f>
        <v>0</v>
      </c>
      <c r="DG162" s="497">
        <f>IF(('Comparison Calculator'!$E$11-DE162)&gt;=0,$C$1*$DJ$66/12,IFERROR(-IPMT($DJ$66/12,(DD162-60),($F$1-5)*12,$DJ$65,0),0))</f>
        <v>0</v>
      </c>
      <c r="DH162" s="497">
        <f t="shared" si="76"/>
        <v>0</v>
      </c>
      <c r="DI162" s="497">
        <f t="shared" si="89"/>
        <v>1800000</v>
      </c>
      <c r="DJ162" s="493"/>
      <c r="DK162" s="493"/>
    </row>
    <row r="163" spans="1:115">
      <c r="A163" s="492">
        <v>159</v>
      </c>
      <c r="B163" s="492">
        <v>14</v>
      </c>
      <c r="C163" s="497">
        <f>IF(('Comparison Calculator'!$E$11-B163)&gt;=0,0,IFERROR(-PPMT($G$66/12,(A163-60),($F$1-5)*12,$G$65),0))</f>
        <v>0</v>
      </c>
      <c r="D163" s="497">
        <f>IF(('Comparison Calculator'!$E$11-B163)&gt;=0,$C$1*$G$66/12,IFERROR(-IPMT($G$66/12,(A163-60),($F$1-5)*12,$G$65,0),0))</f>
        <v>0</v>
      </c>
      <c r="E163" s="497">
        <f t="shared" si="64"/>
        <v>0</v>
      </c>
      <c r="F163" s="497">
        <f t="shared" si="77"/>
        <v>1800000</v>
      </c>
      <c r="G163" s="493"/>
      <c r="H163" s="493"/>
      <c r="I163" s="489"/>
      <c r="J163" s="492">
        <v>159</v>
      </c>
      <c r="K163" s="492">
        <v>14</v>
      </c>
      <c r="L163" s="497">
        <f>IF(('Comparison Calculator'!$E$11-K163)&gt;=0,0,IFERROR(-PPMT($P$66/12,(J163-60),($F$1-5)*12,$P$65),0))</f>
        <v>0</v>
      </c>
      <c r="M163" s="497">
        <f>IF(('Comparison Calculator'!$E$11-K163)&gt;=0,$C$1*$P$66/12,IFERROR(-IPMT($P$66/12,(J163-60),($F$1-5)*12,$P$65,0),0))</f>
        <v>0</v>
      </c>
      <c r="N163" s="497">
        <f t="shared" si="65"/>
        <v>0</v>
      </c>
      <c r="O163" s="497">
        <f t="shared" si="78"/>
        <v>1800000</v>
      </c>
      <c r="P163" s="493"/>
      <c r="Q163" s="493"/>
      <c r="S163" s="492">
        <v>159</v>
      </c>
      <c r="T163" s="492">
        <v>14</v>
      </c>
      <c r="U163" s="497">
        <f>IF(('Comparison Calculator'!$E$11-T163)&gt;=0,0,IFERROR(-PPMT($Y$66/12,(S163-60),($F$1-5)*12,$Y$65),0))</f>
        <v>0</v>
      </c>
      <c r="V163" s="497">
        <f>IF(('Comparison Calculator'!$E$11-T163)&gt;=0,$C$1*$Y$66/12,IFERROR(-IPMT($Y$66/12,(S163-60),($F$1-5)*12,$Y$65,0),0))</f>
        <v>0</v>
      </c>
      <c r="W163" s="497">
        <f t="shared" si="66"/>
        <v>0</v>
      </c>
      <c r="X163" s="497">
        <f t="shared" si="79"/>
        <v>1800000</v>
      </c>
      <c r="Y163" s="493"/>
      <c r="Z163" s="493"/>
      <c r="AB163" s="492">
        <v>159</v>
      </c>
      <c r="AC163" s="492">
        <v>14</v>
      </c>
      <c r="AD163" s="497">
        <f>IF(('Comparison Calculator'!$E$11-AC163)&gt;=0,0,IFERROR(-PPMT($AH$66/12,(AB163-60),($F$1-5)*12,$AH$65),0))</f>
        <v>0</v>
      </c>
      <c r="AE163" s="497">
        <f>IF(('Comparison Calculator'!$E$11-AC163)&gt;=0,$C$1*$AH$66/12,IFERROR(-IPMT($AH$66/12,(AB163-60),($F$1-5)*12,$AH$65,0),0))</f>
        <v>0</v>
      </c>
      <c r="AF163" s="497">
        <f t="shared" si="67"/>
        <v>0</v>
      </c>
      <c r="AG163" s="497">
        <f t="shared" si="80"/>
        <v>1800000</v>
      </c>
      <c r="AH163" s="493"/>
      <c r="AI163" s="493"/>
      <c r="AK163" s="492">
        <v>159</v>
      </c>
      <c r="AL163" s="492">
        <v>14</v>
      </c>
      <c r="AM163" s="497">
        <f>IF(('Comparison Calculator'!$E$11-AL163)&gt;=0,0,IFERROR(-PPMT($AQ$66/12,(AK163-60),($F$1-5)*12,$AQ$65),0))</f>
        <v>0</v>
      </c>
      <c r="AN163" s="497">
        <f>IF(('Comparison Calculator'!$E$11-AL163)&gt;=0,$C$1*$AQ$66/12,IFERROR(-IPMT($AQ$66/12,(AK163-60),($F$1-5)*12,$AQ$65,0),0))</f>
        <v>0</v>
      </c>
      <c r="AO163" s="497">
        <f t="shared" si="68"/>
        <v>0</v>
      </c>
      <c r="AP163" s="497">
        <f t="shared" si="81"/>
        <v>1800000</v>
      </c>
      <c r="AQ163" s="493"/>
      <c r="AR163" s="493"/>
      <c r="AT163" s="492">
        <v>159</v>
      </c>
      <c r="AU163" s="492">
        <v>14</v>
      </c>
      <c r="AV163" s="497">
        <f>IF(('Comparison Calculator'!$E$11-AU163)&gt;=0,0,IFERROR(-PPMT($AZ$66/12,(AT163-60),($F$1-5)*12,$AZ$65),0))</f>
        <v>0</v>
      </c>
      <c r="AW163" s="497">
        <f>IF(('Comparison Calculator'!$E$11-AU163)&gt;=0,$C$1*$AZ$66/12,IFERROR(-IPMT($AZ$66/12,(AT163-60),($F$1-5)*12,$AZ$65,0),0))</f>
        <v>0</v>
      </c>
      <c r="AX163" s="497">
        <f t="shared" si="69"/>
        <v>0</v>
      </c>
      <c r="AY163" s="497">
        <f t="shared" si="82"/>
        <v>1800000</v>
      </c>
      <c r="AZ163" s="493"/>
      <c r="BA163" s="493"/>
      <c r="BC163" s="492">
        <v>159</v>
      </c>
      <c r="BD163" s="492">
        <v>14</v>
      </c>
      <c r="BE163" s="497">
        <f>IF(('Comparison Calculator'!$E$11-BD163)&gt;=0,0,IFERROR(-PPMT($BI$66/12,(BC163-60),($F$1-5)*12,$BI$65),0))</f>
        <v>0</v>
      </c>
      <c r="BF163" s="497">
        <f>IF(('Comparison Calculator'!$E$11-BD163)&gt;=0,$C$1*$BI$66/12,IFERROR(-IPMT($BI$66/12,(BC163-60),($F$1-5)*12,$BI$65,0),0))</f>
        <v>0</v>
      </c>
      <c r="BG163" s="497">
        <f t="shared" si="70"/>
        <v>0</v>
      </c>
      <c r="BH163" s="497">
        <f t="shared" si="83"/>
        <v>1800000</v>
      </c>
      <c r="BI163" s="493"/>
      <c r="BJ163" s="493"/>
      <c r="BK163" s="492">
        <v>159</v>
      </c>
      <c r="BL163" s="492">
        <v>14</v>
      </c>
      <c r="BM163" s="497">
        <f>IF(('Comparison Calculator'!$E$11-BL163)&gt;=0,0,IFERROR(-PPMT($BQ$66/12,(BK163-60),($F$1-5)*12,$BQ$65),0))</f>
        <v>0</v>
      </c>
      <c r="BN163" s="497">
        <f>IF(('Comparison Calculator'!$E$11-BL163)&gt;=0,$C$1*$BQ$66/12,IFERROR(-IPMT($BQ$66/12,(BK163-60),($F$1-5)*12,$BQ$65,0),0))</f>
        <v>0</v>
      </c>
      <c r="BO163" s="497">
        <f t="shared" si="71"/>
        <v>0</v>
      </c>
      <c r="BP163" s="497">
        <f t="shared" si="84"/>
        <v>1800000</v>
      </c>
      <c r="BQ163" s="493"/>
      <c r="BR163" s="493"/>
      <c r="BT163" s="492">
        <v>159</v>
      </c>
      <c r="BU163" s="492">
        <v>14</v>
      </c>
      <c r="BV163" s="497">
        <f>IF(('Comparison Calculator'!$E$11-BU163)&gt;=0,0,IFERROR(-PPMT($BZ$66/12,(BT163-60),($F$1-5)*12,$BZ$65),0))</f>
        <v>0</v>
      </c>
      <c r="BW163" s="497">
        <f>IF(('Comparison Calculator'!$E$11-BU163)&gt;=0,$C$1*$BZ$66/12,IFERROR(-IPMT($BZ$66/12,(BT163-60),($F$1-5)*12,$BZ$65,0),0))</f>
        <v>0</v>
      </c>
      <c r="BX163" s="497">
        <f t="shared" si="72"/>
        <v>0</v>
      </c>
      <c r="BY163" s="497">
        <f t="shared" si="85"/>
        <v>1800000</v>
      </c>
      <c r="BZ163" s="493"/>
      <c r="CA163" s="493"/>
      <c r="CC163" s="492">
        <v>159</v>
      </c>
      <c r="CD163" s="492">
        <v>14</v>
      </c>
      <c r="CE163" s="497">
        <f>IF(('Comparison Calculator'!$E$11-CD163)&gt;=0,0,IFERROR(-PPMT($CI$66/12,(CC163-60),($F$1-5)*12,$CI$65),0))</f>
        <v>0</v>
      </c>
      <c r="CF163" s="497">
        <f>IF(('Comparison Calculator'!$E$11-CD163)&gt;=0,$C$1*$CI$66/12,IFERROR(-IPMT($CI$66/12,(CC163-60),($F$1-5)*12,$CI$65,0),0))</f>
        <v>0</v>
      </c>
      <c r="CG163" s="497">
        <f t="shared" si="73"/>
        <v>0</v>
      </c>
      <c r="CH163" s="497">
        <f t="shared" si="86"/>
        <v>1800000</v>
      </c>
      <c r="CI163" s="493"/>
      <c r="CJ163" s="493"/>
      <c r="CL163" s="492">
        <v>159</v>
      </c>
      <c r="CM163" s="492">
        <v>14</v>
      </c>
      <c r="CN163" s="497">
        <f>IF(('Comparison Calculator'!$E$11-CM163)&gt;=0,0,IFERROR(-PPMT($CR$66/12,(CL163-60),($F$1-5)*12,$CR$65),0))</f>
        <v>0</v>
      </c>
      <c r="CO163" s="497">
        <f>IF(('Comparison Calculator'!$E$11-CM163)&gt;=0,$C$1*$CI$66/12,IFERROR(-IPMT($CI$66/12,(CL163-60),($F$1-5)*12,$CI$65,0),0))</f>
        <v>0</v>
      </c>
      <c r="CP163" s="497">
        <f t="shared" si="74"/>
        <v>0</v>
      </c>
      <c r="CQ163" s="497">
        <f t="shared" si="87"/>
        <v>1800000</v>
      </c>
      <c r="CR163" s="493"/>
      <c r="CS163" s="493"/>
      <c r="CU163" s="492">
        <v>159</v>
      </c>
      <c r="CV163" s="492">
        <v>14</v>
      </c>
      <c r="CW163" s="497">
        <f>IF(('Comparison Calculator'!$E$11-CV163)&gt;=0,0,IFERROR(-PPMT($DA$66/12,(CU163-60),($F$1-5)*12,$DA$65),0))</f>
        <v>0</v>
      </c>
      <c r="CX163" s="497">
        <f>IF(('Comparison Calculator'!$E$11-CV163)&gt;=0,$C$1*$DA$66/12,IFERROR(-IPMT($DA$66/12,(CU163-60),($F$1-5)*12,$DA$65,0),0))</f>
        <v>0</v>
      </c>
      <c r="CY163" s="497">
        <f t="shared" si="75"/>
        <v>0</v>
      </c>
      <c r="CZ163" s="497">
        <f t="shared" si="88"/>
        <v>1800000</v>
      </c>
      <c r="DA163" s="493"/>
      <c r="DB163" s="493"/>
      <c r="DD163" s="492">
        <v>159</v>
      </c>
      <c r="DE163" s="492">
        <v>14</v>
      </c>
      <c r="DF163" s="497">
        <f>IF(('Comparison Calculator'!$E$11-DE163)&gt;=0,0,IFERROR(-PPMT($DJ$66/12,(DD163-60),($F$1-5)*12,$DJ$65),0))</f>
        <v>0</v>
      </c>
      <c r="DG163" s="497">
        <f>IF(('Comparison Calculator'!$E$11-DE163)&gt;=0,$C$1*$DJ$66/12,IFERROR(-IPMT($DJ$66/12,(DD163-60),($F$1-5)*12,$DJ$65,0),0))</f>
        <v>0</v>
      </c>
      <c r="DH163" s="497">
        <f t="shared" si="76"/>
        <v>0</v>
      </c>
      <c r="DI163" s="497">
        <f t="shared" si="89"/>
        <v>1800000</v>
      </c>
      <c r="DJ163" s="493"/>
      <c r="DK163" s="493"/>
    </row>
    <row r="164" spans="1:115">
      <c r="A164" s="492">
        <v>160</v>
      </c>
      <c r="B164" s="492">
        <v>14</v>
      </c>
      <c r="C164" s="497">
        <f>IF(('Comparison Calculator'!$E$11-B164)&gt;=0,0,IFERROR(-PPMT($G$66/12,(A164-60),($F$1-5)*12,$G$65),0))</f>
        <v>0</v>
      </c>
      <c r="D164" s="497">
        <f>IF(('Comparison Calculator'!$E$11-B164)&gt;=0,$C$1*$G$66/12,IFERROR(-IPMT($G$66/12,(A164-60),($F$1-5)*12,$G$65,0),0))</f>
        <v>0</v>
      </c>
      <c r="E164" s="497">
        <f t="shared" si="64"/>
        <v>0</v>
      </c>
      <c r="F164" s="497">
        <f t="shared" si="77"/>
        <v>1800000</v>
      </c>
      <c r="G164" s="493"/>
      <c r="H164" s="493"/>
      <c r="I164" s="489"/>
      <c r="J164" s="492">
        <v>160</v>
      </c>
      <c r="K164" s="492">
        <v>14</v>
      </c>
      <c r="L164" s="497">
        <f>IF(('Comparison Calculator'!$E$11-K164)&gt;=0,0,IFERROR(-PPMT($P$66/12,(J164-60),($F$1-5)*12,$P$65),0))</f>
        <v>0</v>
      </c>
      <c r="M164" s="497">
        <f>IF(('Comparison Calculator'!$E$11-K164)&gt;=0,$C$1*$P$66/12,IFERROR(-IPMT($P$66/12,(J164-60),($F$1-5)*12,$P$65,0),0))</f>
        <v>0</v>
      </c>
      <c r="N164" s="497">
        <f t="shared" si="65"/>
        <v>0</v>
      </c>
      <c r="O164" s="497">
        <f t="shared" si="78"/>
        <v>1800000</v>
      </c>
      <c r="P164" s="493"/>
      <c r="Q164" s="493"/>
      <c r="S164" s="492">
        <v>160</v>
      </c>
      <c r="T164" s="492">
        <v>14</v>
      </c>
      <c r="U164" s="497">
        <f>IF(('Comparison Calculator'!$E$11-T164)&gt;=0,0,IFERROR(-PPMT($Y$66/12,(S164-60),($F$1-5)*12,$Y$65),0))</f>
        <v>0</v>
      </c>
      <c r="V164" s="497">
        <f>IF(('Comparison Calculator'!$E$11-T164)&gt;=0,$C$1*$Y$66/12,IFERROR(-IPMT($Y$66/12,(S164-60),($F$1-5)*12,$Y$65,0),0))</f>
        <v>0</v>
      </c>
      <c r="W164" s="497">
        <f t="shared" si="66"/>
        <v>0</v>
      </c>
      <c r="X164" s="497">
        <f t="shared" si="79"/>
        <v>1800000</v>
      </c>
      <c r="Y164" s="493"/>
      <c r="Z164" s="493"/>
      <c r="AB164" s="492">
        <v>160</v>
      </c>
      <c r="AC164" s="492">
        <v>14</v>
      </c>
      <c r="AD164" s="497">
        <f>IF(('Comparison Calculator'!$E$11-AC164)&gt;=0,0,IFERROR(-PPMT($AH$66/12,(AB164-60),($F$1-5)*12,$AH$65),0))</f>
        <v>0</v>
      </c>
      <c r="AE164" s="497">
        <f>IF(('Comparison Calculator'!$E$11-AC164)&gt;=0,$C$1*$AH$66/12,IFERROR(-IPMT($AH$66/12,(AB164-60),($F$1-5)*12,$AH$65,0),0))</f>
        <v>0</v>
      </c>
      <c r="AF164" s="497">
        <f t="shared" si="67"/>
        <v>0</v>
      </c>
      <c r="AG164" s="497">
        <f t="shared" si="80"/>
        <v>1800000</v>
      </c>
      <c r="AH164" s="493"/>
      <c r="AI164" s="493"/>
      <c r="AK164" s="492">
        <v>160</v>
      </c>
      <c r="AL164" s="492">
        <v>14</v>
      </c>
      <c r="AM164" s="497">
        <f>IF(('Comparison Calculator'!$E$11-AL164)&gt;=0,0,IFERROR(-PPMT($AQ$66/12,(AK164-60),($F$1-5)*12,$AQ$65),0))</f>
        <v>0</v>
      </c>
      <c r="AN164" s="497">
        <f>IF(('Comparison Calculator'!$E$11-AL164)&gt;=0,$C$1*$AQ$66/12,IFERROR(-IPMT($AQ$66/12,(AK164-60),($F$1-5)*12,$AQ$65,0),0))</f>
        <v>0</v>
      </c>
      <c r="AO164" s="497">
        <f t="shared" si="68"/>
        <v>0</v>
      </c>
      <c r="AP164" s="497">
        <f t="shared" si="81"/>
        <v>1800000</v>
      </c>
      <c r="AQ164" s="493"/>
      <c r="AR164" s="493"/>
      <c r="AT164" s="492">
        <v>160</v>
      </c>
      <c r="AU164" s="492">
        <v>14</v>
      </c>
      <c r="AV164" s="497">
        <f>IF(('Comparison Calculator'!$E$11-AU164)&gt;=0,0,IFERROR(-PPMT($AZ$66/12,(AT164-60),($F$1-5)*12,$AZ$65),0))</f>
        <v>0</v>
      </c>
      <c r="AW164" s="497">
        <f>IF(('Comparison Calculator'!$E$11-AU164)&gt;=0,$C$1*$AZ$66/12,IFERROR(-IPMT($AZ$66/12,(AT164-60),($F$1-5)*12,$AZ$65,0),0))</f>
        <v>0</v>
      </c>
      <c r="AX164" s="497">
        <f t="shared" si="69"/>
        <v>0</v>
      </c>
      <c r="AY164" s="497">
        <f t="shared" si="82"/>
        <v>1800000</v>
      </c>
      <c r="AZ164" s="493"/>
      <c r="BA164" s="493"/>
      <c r="BC164" s="492">
        <v>160</v>
      </c>
      <c r="BD164" s="492">
        <v>14</v>
      </c>
      <c r="BE164" s="497">
        <f>IF(('Comparison Calculator'!$E$11-BD164)&gt;=0,0,IFERROR(-PPMT($BI$66/12,(BC164-60),($F$1-5)*12,$BI$65),0))</f>
        <v>0</v>
      </c>
      <c r="BF164" s="497">
        <f>IF(('Comparison Calculator'!$E$11-BD164)&gt;=0,$C$1*$BI$66/12,IFERROR(-IPMT($BI$66/12,(BC164-60),($F$1-5)*12,$BI$65,0),0))</f>
        <v>0</v>
      </c>
      <c r="BG164" s="497">
        <f t="shared" si="70"/>
        <v>0</v>
      </c>
      <c r="BH164" s="497">
        <f t="shared" si="83"/>
        <v>1800000</v>
      </c>
      <c r="BI164" s="493"/>
      <c r="BJ164" s="493"/>
      <c r="BK164" s="492">
        <v>160</v>
      </c>
      <c r="BL164" s="492">
        <v>14</v>
      </c>
      <c r="BM164" s="497">
        <f>IF(('Comparison Calculator'!$E$11-BL164)&gt;=0,0,IFERROR(-PPMT($BQ$66/12,(BK164-60),($F$1-5)*12,$BQ$65),0))</f>
        <v>0</v>
      </c>
      <c r="BN164" s="497">
        <f>IF(('Comparison Calculator'!$E$11-BL164)&gt;=0,$C$1*$BQ$66/12,IFERROR(-IPMT($BQ$66/12,(BK164-60),($F$1-5)*12,$BQ$65,0),0))</f>
        <v>0</v>
      </c>
      <c r="BO164" s="497">
        <f t="shared" si="71"/>
        <v>0</v>
      </c>
      <c r="BP164" s="497">
        <f t="shared" si="84"/>
        <v>1800000</v>
      </c>
      <c r="BQ164" s="493"/>
      <c r="BR164" s="493"/>
      <c r="BT164" s="492">
        <v>160</v>
      </c>
      <c r="BU164" s="492">
        <v>14</v>
      </c>
      <c r="BV164" s="497">
        <f>IF(('Comparison Calculator'!$E$11-BU164)&gt;=0,0,IFERROR(-PPMT($BZ$66/12,(BT164-60),($F$1-5)*12,$BZ$65),0))</f>
        <v>0</v>
      </c>
      <c r="BW164" s="497">
        <f>IF(('Comparison Calculator'!$E$11-BU164)&gt;=0,$C$1*$BZ$66/12,IFERROR(-IPMT($BZ$66/12,(BT164-60),($F$1-5)*12,$BZ$65,0),0))</f>
        <v>0</v>
      </c>
      <c r="BX164" s="497">
        <f t="shared" si="72"/>
        <v>0</v>
      </c>
      <c r="BY164" s="497">
        <f t="shared" si="85"/>
        <v>1800000</v>
      </c>
      <c r="BZ164" s="493"/>
      <c r="CA164" s="493"/>
      <c r="CC164" s="492">
        <v>160</v>
      </c>
      <c r="CD164" s="492">
        <v>14</v>
      </c>
      <c r="CE164" s="497">
        <f>IF(('Comparison Calculator'!$E$11-CD164)&gt;=0,0,IFERROR(-PPMT($CI$66/12,(CC164-60),($F$1-5)*12,$CI$65),0))</f>
        <v>0</v>
      </c>
      <c r="CF164" s="497">
        <f>IF(('Comparison Calculator'!$E$11-CD164)&gt;=0,$C$1*$CI$66/12,IFERROR(-IPMT($CI$66/12,(CC164-60),($F$1-5)*12,$CI$65,0),0))</f>
        <v>0</v>
      </c>
      <c r="CG164" s="497">
        <f t="shared" si="73"/>
        <v>0</v>
      </c>
      <c r="CH164" s="497">
        <f t="shared" si="86"/>
        <v>1800000</v>
      </c>
      <c r="CI164" s="493"/>
      <c r="CJ164" s="493"/>
      <c r="CL164" s="492">
        <v>160</v>
      </c>
      <c r="CM164" s="492">
        <v>14</v>
      </c>
      <c r="CN164" s="497">
        <f>IF(('Comparison Calculator'!$E$11-CM164)&gt;=0,0,IFERROR(-PPMT($CR$66/12,(CL164-60),($F$1-5)*12,$CR$65),0))</f>
        <v>0</v>
      </c>
      <c r="CO164" s="497">
        <f>IF(('Comparison Calculator'!$E$11-CM164)&gt;=0,$C$1*$CI$66/12,IFERROR(-IPMT($CI$66/12,(CL164-60),($F$1-5)*12,$CI$65,0),0))</f>
        <v>0</v>
      </c>
      <c r="CP164" s="497">
        <f t="shared" si="74"/>
        <v>0</v>
      </c>
      <c r="CQ164" s="497">
        <f t="shared" si="87"/>
        <v>1800000</v>
      </c>
      <c r="CR164" s="493"/>
      <c r="CS164" s="493"/>
      <c r="CU164" s="492">
        <v>160</v>
      </c>
      <c r="CV164" s="492">
        <v>14</v>
      </c>
      <c r="CW164" s="497">
        <f>IF(('Comparison Calculator'!$E$11-CV164)&gt;=0,0,IFERROR(-PPMT($DA$66/12,(CU164-60),($F$1-5)*12,$DA$65),0))</f>
        <v>0</v>
      </c>
      <c r="CX164" s="497">
        <f>IF(('Comparison Calculator'!$E$11-CV164)&gt;=0,$C$1*$DA$66/12,IFERROR(-IPMT($DA$66/12,(CU164-60),($F$1-5)*12,$DA$65,0),0))</f>
        <v>0</v>
      </c>
      <c r="CY164" s="497">
        <f t="shared" si="75"/>
        <v>0</v>
      </c>
      <c r="CZ164" s="497">
        <f t="shared" si="88"/>
        <v>1800000</v>
      </c>
      <c r="DA164" s="493"/>
      <c r="DB164" s="493"/>
      <c r="DD164" s="492">
        <v>160</v>
      </c>
      <c r="DE164" s="492">
        <v>14</v>
      </c>
      <c r="DF164" s="497">
        <f>IF(('Comparison Calculator'!$E$11-DE164)&gt;=0,0,IFERROR(-PPMT($DJ$66/12,(DD164-60),($F$1-5)*12,$DJ$65),0))</f>
        <v>0</v>
      </c>
      <c r="DG164" s="497">
        <f>IF(('Comparison Calculator'!$E$11-DE164)&gt;=0,$C$1*$DJ$66/12,IFERROR(-IPMT($DJ$66/12,(DD164-60),($F$1-5)*12,$DJ$65,0),0))</f>
        <v>0</v>
      </c>
      <c r="DH164" s="497">
        <f t="shared" si="76"/>
        <v>0</v>
      </c>
      <c r="DI164" s="497">
        <f t="shared" si="89"/>
        <v>1800000</v>
      </c>
      <c r="DJ164" s="493"/>
      <c r="DK164" s="493"/>
    </row>
    <row r="165" spans="1:115">
      <c r="A165" s="492">
        <v>161</v>
      </c>
      <c r="B165" s="492">
        <v>14</v>
      </c>
      <c r="C165" s="497">
        <f>IF(('Comparison Calculator'!$E$11-B165)&gt;=0,0,IFERROR(-PPMT($G$66/12,(A165-60),($F$1-5)*12,$G$65),0))</f>
        <v>0</v>
      </c>
      <c r="D165" s="497">
        <f>IF(('Comparison Calculator'!$E$11-B165)&gt;=0,$C$1*$G$66/12,IFERROR(-IPMT($G$66/12,(A165-60),($F$1-5)*12,$G$65,0),0))</f>
        <v>0</v>
      </c>
      <c r="E165" s="497">
        <f t="shared" si="64"/>
        <v>0</v>
      </c>
      <c r="F165" s="497">
        <f t="shared" si="77"/>
        <v>1800000</v>
      </c>
      <c r="G165" s="493"/>
      <c r="H165" s="493"/>
      <c r="I165" s="489"/>
      <c r="J165" s="492">
        <v>161</v>
      </c>
      <c r="K165" s="492">
        <v>14</v>
      </c>
      <c r="L165" s="497">
        <f>IF(('Comparison Calculator'!$E$11-K165)&gt;=0,0,IFERROR(-PPMT($P$66/12,(J165-60),($F$1-5)*12,$P$65),0))</f>
        <v>0</v>
      </c>
      <c r="M165" s="497">
        <f>IF(('Comparison Calculator'!$E$11-K165)&gt;=0,$C$1*$P$66/12,IFERROR(-IPMT($P$66/12,(J165-60),($F$1-5)*12,$P$65,0),0))</f>
        <v>0</v>
      </c>
      <c r="N165" s="497">
        <f t="shared" si="65"/>
        <v>0</v>
      </c>
      <c r="O165" s="497">
        <f t="shared" si="78"/>
        <v>1800000</v>
      </c>
      <c r="P165" s="493"/>
      <c r="Q165" s="493"/>
      <c r="S165" s="492">
        <v>161</v>
      </c>
      <c r="T165" s="492">
        <v>14</v>
      </c>
      <c r="U165" s="497">
        <f>IF(('Comparison Calculator'!$E$11-T165)&gt;=0,0,IFERROR(-PPMT($Y$66/12,(S165-60),($F$1-5)*12,$Y$65),0))</f>
        <v>0</v>
      </c>
      <c r="V165" s="497">
        <f>IF(('Comparison Calculator'!$E$11-T165)&gt;=0,$C$1*$Y$66/12,IFERROR(-IPMT($Y$66/12,(S165-60),($F$1-5)*12,$Y$65,0),0))</f>
        <v>0</v>
      </c>
      <c r="W165" s="497">
        <f t="shared" si="66"/>
        <v>0</v>
      </c>
      <c r="X165" s="497">
        <f t="shared" si="79"/>
        <v>1800000</v>
      </c>
      <c r="Y165" s="493"/>
      <c r="Z165" s="493"/>
      <c r="AB165" s="492">
        <v>161</v>
      </c>
      <c r="AC165" s="492">
        <v>14</v>
      </c>
      <c r="AD165" s="497">
        <f>IF(('Comparison Calculator'!$E$11-AC165)&gt;=0,0,IFERROR(-PPMT($AH$66/12,(AB165-60),($F$1-5)*12,$AH$65),0))</f>
        <v>0</v>
      </c>
      <c r="AE165" s="497">
        <f>IF(('Comparison Calculator'!$E$11-AC165)&gt;=0,$C$1*$AH$66/12,IFERROR(-IPMT($AH$66/12,(AB165-60),($F$1-5)*12,$AH$65,0),0))</f>
        <v>0</v>
      </c>
      <c r="AF165" s="497">
        <f t="shared" si="67"/>
        <v>0</v>
      </c>
      <c r="AG165" s="497">
        <f t="shared" si="80"/>
        <v>1800000</v>
      </c>
      <c r="AH165" s="493"/>
      <c r="AI165" s="493"/>
      <c r="AK165" s="492">
        <v>161</v>
      </c>
      <c r="AL165" s="492">
        <v>14</v>
      </c>
      <c r="AM165" s="497">
        <f>IF(('Comparison Calculator'!$E$11-AL165)&gt;=0,0,IFERROR(-PPMT($AQ$66/12,(AK165-60),($F$1-5)*12,$AQ$65),0))</f>
        <v>0</v>
      </c>
      <c r="AN165" s="497">
        <f>IF(('Comparison Calculator'!$E$11-AL165)&gt;=0,$C$1*$AQ$66/12,IFERROR(-IPMT($AQ$66/12,(AK165-60),($F$1-5)*12,$AQ$65,0),0))</f>
        <v>0</v>
      </c>
      <c r="AO165" s="497">
        <f t="shared" si="68"/>
        <v>0</v>
      </c>
      <c r="AP165" s="497">
        <f t="shared" si="81"/>
        <v>1800000</v>
      </c>
      <c r="AQ165" s="493"/>
      <c r="AR165" s="493"/>
      <c r="AT165" s="492">
        <v>161</v>
      </c>
      <c r="AU165" s="492">
        <v>14</v>
      </c>
      <c r="AV165" s="497">
        <f>IF(('Comparison Calculator'!$E$11-AU165)&gt;=0,0,IFERROR(-PPMT($AZ$66/12,(AT165-60),($F$1-5)*12,$AZ$65),0))</f>
        <v>0</v>
      </c>
      <c r="AW165" s="497">
        <f>IF(('Comparison Calculator'!$E$11-AU165)&gt;=0,$C$1*$AZ$66/12,IFERROR(-IPMT($AZ$66/12,(AT165-60),($F$1-5)*12,$AZ$65,0),0))</f>
        <v>0</v>
      </c>
      <c r="AX165" s="497">
        <f t="shared" si="69"/>
        <v>0</v>
      </c>
      <c r="AY165" s="497">
        <f t="shared" si="82"/>
        <v>1800000</v>
      </c>
      <c r="AZ165" s="493"/>
      <c r="BA165" s="493"/>
      <c r="BC165" s="492">
        <v>161</v>
      </c>
      <c r="BD165" s="492">
        <v>14</v>
      </c>
      <c r="BE165" s="497">
        <f>IF(('Comparison Calculator'!$E$11-BD165)&gt;=0,0,IFERROR(-PPMT($BI$66/12,(BC165-60),($F$1-5)*12,$BI$65),0))</f>
        <v>0</v>
      </c>
      <c r="BF165" s="497">
        <f>IF(('Comparison Calculator'!$E$11-BD165)&gt;=0,$C$1*$BI$66/12,IFERROR(-IPMT($BI$66/12,(BC165-60),($F$1-5)*12,$BI$65,0),0))</f>
        <v>0</v>
      </c>
      <c r="BG165" s="497">
        <f t="shared" si="70"/>
        <v>0</v>
      </c>
      <c r="BH165" s="497">
        <f t="shared" si="83"/>
        <v>1800000</v>
      </c>
      <c r="BI165" s="493"/>
      <c r="BJ165" s="493"/>
      <c r="BK165" s="492">
        <v>161</v>
      </c>
      <c r="BL165" s="492">
        <v>14</v>
      </c>
      <c r="BM165" s="497">
        <f>IF(('Comparison Calculator'!$E$11-BL165)&gt;=0,0,IFERROR(-PPMT($BQ$66/12,(BK165-60),($F$1-5)*12,$BQ$65),0))</f>
        <v>0</v>
      </c>
      <c r="BN165" s="497">
        <f>IF(('Comparison Calculator'!$E$11-BL165)&gt;=0,$C$1*$BQ$66/12,IFERROR(-IPMT($BQ$66/12,(BK165-60),($F$1-5)*12,$BQ$65,0),0))</f>
        <v>0</v>
      </c>
      <c r="BO165" s="497">
        <f t="shared" si="71"/>
        <v>0</v>
      </c>
      <c r="BP165" s="497">
        <f t="shared" si="84"/>
        <v>1800000</v>
      </c>
      <c r="BQ165" s="493"/>
      <c r="BR165" s="493"/>
      <c r="BT165" s="492">
        <v>161</v>
      </c>
      <c r="BU165" s="492">
        <v>14</v>
      </c>
      <c r="BV165" s="497">
        <f>IF(('Comparison Calculator'!$E$11-BU165)&gt;=0,0,IFERROR(-PPMT($BZ$66/12,(BT165-60),($F$1-5)*12,$BZ$65),0))</f>
        <v>0</v>
      </c>
      <c r="BW165" s="497">
        <f>IF(('Comparison Calculator'!$E$11-BU165)&gt;=0,$C$1*$BZ$66/12,IFERROR(-IPMT($BZ$66/12,(BT165-60),($F$1-5)*12,$BZ$65,0),0))</f>
        <v>0</v>
      </c>
      <c r="BX165" s="497">
        <f t="shared" si="72"/>
        <v>0</v>
      </c>
      <c r="BY165" s="497">
        <f t="shared" si="85"/>
        <v>1800000</v>
      </c>
      <c r="BZ165" s="493"/>
      <c r="CA165" s="493"/>
      <c r="CC165" s="492">
        <v>161</v>
      </c>
      <c r="CD165" s="492">
        <v>14</v>
      </c>
      <c r="CE165" s="497">
        <f>IF(('Comparison Calculator'!$E$11-CD165)&gt;=0,0,IFERROR(-PPMT($CI$66/12,(CC165-60),($F$1-5)*12,$CI$65),0))</f>
        <v>0</v>
      </c>
      <c r="CF165" s="497">
        <f>IF(('Comparison Calculator'!$E$11-CD165)&gt;=0,$C$1*$CI$66/12,IFERROR(-IPMT($CI$66/12,(CC165-60),($F$1-5)*12,$CI$65,0),0))</f>
        <v>0</v>
      </c>
      <c r="CG165" s="497">
        <f t="shared" si="73"/>
        <v>0</v>
      </c>
      <c r="CH165" s="497">
        <f t="shared" si="86"/>
        <v>1800000</v>
      </c>
      <c r="CI165" s="493"/>
      <c r="CJ165" s="493"/>
      <c r="CL165" s="492">
        <v>161</v>
      </c>
      <c r="CM165" s="492">
        <v>14</v>
      </c>
      <c r="CN165" s="497">
        <f>IF(('Comparison Calculator'!$E$11-CM165)&gt;=0,0,IFERROR(-PPMT($CR$66/12,(CL165-60),($F$1-5)*12,$CR$65),0))</f>
        <v>0</v>
      </c>
      <c r="CO165" s="497">
        <f>IF(('Comparison Calculator'!$E$11-CM165)&gt;=0,$C$1*$CI$66/12,IFERROR(-IPMT($CI$66/12,(CL165-60),($F$1-5)*12,$CI$65,0),0))</f>
        <v>0</v>
      </c>
      <c r="CP165" s="497">
        <f t="shared" si="74"/>
        <v>0</v>
      </c>
      <c r="CQ165" s="497">
        <f t="shared" si="87"/>
        <v>1800000</v>
      </c>
      <c r="CR165" s="493"/>
      <c r="CS165" s="493"/>
      <c r="CU165" s="492">
        <v>161</v>
      </c>
      <c r="CV165" s="492">
        <v>14</v>
      </c>
      <c r="CW165" s="497">
        <f>IF(('Comparison Calculator'!$E$11-CV165)&gt;=0,0,IFERROR(-PPMT($DA$66/12,(CU165-60),($F$1-5)*12,$DA$65),0))</f>
        <v>0</v>
      </c>
      <c r="CX165" s="497">
        <f>IF(('Comparison Calculator'!$E$11-CV165)&gt;=0,$C$1*$DA$66/12,IFERROR(-IPMT($DA$66/12,(CU165-60),($F$1-5)*12,$DA$65,0),0))</f>
        <v>0</v>
      </c>
      <c r="CY165" s="497">
        <f t="shared" si="75"/>
        <v>0</v>
      </c>
      <c r="CZ165" s="497">
        <f t="shared" si="88"/>
        <v>1800000</v>
      </c>
      <c r="DA165" s="493"/>
      <c r="DB165" s="493"/>
      <c r="DD165" s="492">
        <v>161</v>
      </c>
      <c r="DE165" s="492">
        <v>14</v>
      </c>
      <c r="DF165" s="497">
        <f>IF(('Comparison Calculator'!$E$11-DE165)&gt;=0,0,IFERROR(-PPMT($DJ$66/12,(DD165-60),($F$1-5)*12,$DJ$65),0))</f>
        <v>0</v>
      </c>
      <c r="DG165" s="497">
        <f>IF(('Comparison Calculator'!$E$11-DE165)&gt;=0,$C$1*$DJ$66/12,IFERROR(-IPMT($DJ$66/12,(DD165-60),($F$1-5)*12,$DJ$65,0),0))</f>
        <v>0</v>
      </c>
      <c r="DH165" s="497">
        <f t="shared" si="76"/>
        <v>0</v>
      </c>
      <c r="DI165" s="497">
        <f t="shared" si="89"/>
        <v>1800000</v>
      </c>
      <c r="DJ165" s="493"/>
      <c r="DK165" s="493"/>
    </row>
    <row r="166" spans="1:115">
      <c r="A166" s="492">
        <v>162</v>
      </c>
      <c r="B166" s="492">
        <v>14</v>
      </c>
      <c r="C166" s="497">
        <f>IF(('Comparison Calculator'!$E$11-B166)&gt;=0,0,IFERROR(-PPMT($G$66/12,(A166-60),($F$1-5)*12,$G$65),0))</f>
        <v>0</v>
      </c>
      <c r="D166" s="497">
        <f>IF(('Comparison Calculator'!$E$11-B166)&gt;=0,$C$1*$G$66/12,IFERROR(-IPMT($G$66/12,(A166-60),($F$1-5)*12,$G$65,0),0))</f>
        <v>0</v>
      </c>
      <c r="E166" s="497">
        <f t="shared" si="64"/>
        <v>0</v>
      </c>
      <c r="F166" s="497">
        <f t="shared" si="77"/>
        <v>1800000</v>
      </c>
      <c r="G166" s="493"/>
      <c r="H166" s="493"/>
      <c r="I166" s="489"/>
      <c r="J166" s="492">
        <v>162</v>
      </c>
      <c r="K166" s="492">
        <v>14</v>
      </c>
      <c r="L166" s="497">
        <f>IF(('Comparison Calculator'!$E$11-K166)&gt;=0,0,IFERROR(-PPMT($P$66/12,(J166-60),($F$1-5)*12,$P$65),0))</f>
        <v>0</v>
      </c>
      <c r="M166" s="497">
        <f>IF(('Comparison Calculator'!$E$11-K166)&gt;=0,$C$1*$P$66/12,IFERROR(-IPMT($P$66/12,(J166-60),($F$1-5)*12,$P$65,0),0))</f>
        <v>0</v>
      </c>
      <c r="N166" s="497">
        <f t="shared" si="65"/>
        <v>0</v>
      </c>
      <c r="O166" s="497">
        <f t="shared" si="78"/>
        <v>1800000</v>
      </c>
      <c r="P166" s="493"/>
      <c r="Q166" s="493"/>
      <c r="S166" s="492">
        <v>162</v>
      </c>
      <c r="T166" s="492">
        <v>14</v>
      </c>
      <c r="U166" s="497">
        <f>IF(('Comparison Calculator'!$E$11-T166)&gt;=0,0,IFERROR(-PPMT($Y$66/12,(S166-60),($F$1-5)*12,$Y$65),0))</f>
        <v>0</v>
      </c>
      <c r="V166" s="497">
        <f>IF(('Comparison Calculator'!$E$11-T166)&gt;=0,$C$1*$Y$66/12,IFERROR(-IPMT($Y$66/12,(S166-60),($F$1-5)*12,$Y$65,0),0))</f>
        <v>0</v>
      </c>
      <c r="W166" s="497">
        <f t="shared" si="66"/>
        <v>0</v>
      </c>
      <c r="X166" s="497">
        <f t="shared" si="79"/>
        <v>1800000</v>
      </c>
      <c r="Y166" s="493"/>
      <c r="Z166" s="493"/>
      <c r="AB166" s="492">
        <v>162</v>
      </c>
      <c r="AC166" s="492">
        <v>14</v>
      </c>
      <c r="AD166" s="497">
        <f>IF(('Comparison Calculator'!$E$11-AC166)&gt;=0,0,IFERROR(-PPMT($AH$66/12,(AB166-60),($F$1-5)*12,$AH$65),0))</f>
        <v>0</v>
      </c>
      <c r="AE166" s="497">
        <f>IF(('Comparison Calculator'!$E$11-AC166)&gt;=0,$C$1*$AH$66/12,IFERROR(-IPMT($AH$66/12,(AB166-60),($F$1-5)*12,$AH$65,0),0))</f>
        <v>0</v>
      </c>
      <c r="AF166" s="497">
        <f t="shared" si="67"/>
        <v>0</v>
      </c>
      <c r="AG166" s="497">
        <f t="shared" si="80"/>
        <v>1800000</v>
      </c>
      <c r="AH166" s="493"/>
      <c r="AI166" s="493"/>
      <c r="AK166" s="492">
        <v>162</v>
      </c>
      <c r="AL166" s="492">
        <v>14</v>
      </c>
      <c r="AM166" s="497">
        <f>IF(('Comparison Calculator'!$E$11-AL166)&gt;=0,0,IFERROR(-PPMT($AQ$66/12,(AK166-60),($F$1-5)*12,$AQ$65),0))</f>
        <v>0</v>
      </c>
      <c r="AN166" s="497">
        <f>IF(('Comparison Calculator'!$E$11-AL166)&gt;=0,$C$1*$AQ$66/12,IFERROR(-IPMT($AQ$66/12,(AK166-60),($F$1-5)*12,$AQ$65,0),0))</f>
        <v>0</v>
      </c>
      <c r="AO166" s="497">
        <f t="shared" si="68"/>
        <v>0</v>
      </c>
      <c r="AP166" s="497">
        <f t="shared" si="81"/>
        <v>1800000</v>
      </c>
      <c r="AQ166" s="493"/>
      <c r="AR166" s="493"/>
      <c r="AT166" s="492">
        <v>162</v>
      </c>
      <c r="AU166" s="492">
        <v>14</v>
      </c>
      <c r="AV166" s="497">
        <f>IF(('Comparison Calculator'!$E$11-AU166)&gt;=0,0,IFERROR(-PPMT($AZ$66/12,(AT166-60),($F$1-5)*12,$AZ$65),0))</f>
        <v>0</v>
      </c>
      <c r="AW166" s="497">
        <f>IF(('Comparison Calculator'!$E$11-AU166)&gt;=0,$C$1*$AZ$66/12,IFERROR(-IPMT($AZ$66/12,(AT166-60),($F$1-5)*12,$AZ$65,0),0))</f>
        <v>0</v>
      </c>
      <c r="AX166" s="497">
        <f t="shared" si="69"/>
        <v>0</v>
      </c>
      <c r="AY166" s="497">
        <f t="shared" si="82"/>
        <v>1800000</v>
      </c>
      <c r="AZ166" s="493"/>
      <c r="BA166" s="493"/>
      <c r="BC166" s="492">
        <v>162</v>
      </c>
      <c r="BD166" s="492">
        <v>14</v>
      </c>
      <c r="BE166" s="497">
        <f>IF(('Comparison Calculator'!$E$11-BD166)&gt;=0,0,IFERROR(-PPMT($BI$66/12,(BC166-60),($F$1-5)*12,$BI$65),0))</f>
        <v>0</v>
      </c>
      <c r="BF166" s="497">
        <f>IF(('Comparison Calculator'!$E$11-BD166)&gt;=0,$C$1*$BI$66/12,IFERROR(-IPMT($BI$66/12,(BC166-60),($F$1-5)*12,$BI$65,0),0))</f>
        <v>0</v>
      </c>
      <c r="BG166" s="497">
        <f t="shared" si="70"/>
        <v>0</v>
      </c>
      <c r="BH166" s="497">
        <f t="shared" si="83"/>
        <v>1800000</v>
      </c>
      <c r="BI166" s="493"/>
      <c r="BJ166" s="493"/>
      <c r="BK166" s="492">
        <v>162</v>
      </c>
      <c r="BL166" s="492">
        <v>14</v>
      </c>
      <c r="BM166" s="497">
        <f>IF(('Comparison Calculator'!$E$11-BL166)&gt;=0,0,IFERROR(-PPMT($BQ$66/12,(BK166-60),($F$1-5)*12,$BQ$65),0))</f>
        <v>0</v>
      </c>
      <c r="BN166" s="497">
        <f>IF(('Comparison Calculator'!$E$11-BL166)&gt;=0,$C$1*$BQ$66/12,IFERROR(-IPMT($BQ$66/12,(BK166-60),($F$1-5)*12,$BQ$65,0),0))</f>
        <v>0</v>
      </c>
      <c r="BO166" s="497">
        <f t="shared" si="71"/>
        <v>0</v>
      </c>
      <c r="BP166" s="497">
        <f t="shared" si="84"/>
        <v>1800000</v>
      </c>
      <c r="BQ166" s="493"/>
      <c r="BR166" s="493"/>
      <c r="BT166" s="492">
        <v>162</v>
      </c>
      <c r="BU166" s="492">
        <v>14</v>
      </c>
      <c r="BV166" s="497">
        <f>IF(('Comparison Calculator'!$E$11-BU166)&gt;=0,0,IFERROR(-PPMT($BZ$66/12,(BT166-60),($F$1-5)*12,$BZ$65),0))</f>
        <v>0</v>
      </c>
      <c r="BW166" s="497">
        <f>IF(('Comparison Calculator'!$E$11-BU166)&gt;=0,$C$1*$BZ$66/12,IFERROR(-IPMT($BZ$66/12,(BT166-60),($F$1-5)*12,$BZ$65,0),0))</f>
        <v>0</v>
      </c>
      <c r="BX166" s="497">
        <f t="shared" si="72"/>
        <v>0</v>
      </c>
      <c r="BY166" s="497">
        <f t="shared" si="85"/>
        <v>1800000</v>
      </c>
      <c r="BZ166" s="493"/>
      <c r="CA166" s="493"/>
      <c r="CC166" s="492">
        <v>162</v>
      </c>
      <c r="CD166" s="492">
        <v>14</v>
      </c>
      <c r="CE166" s="497">
        <f>IF(('Comparison Calculator'!$E$11-CD166)&gt;=0,0,IFERROR(-PPMT($CI$66/12,(CC166-60),($F$1-5)*12,$CI$65),0))</f>
        <v>0</v>
      </c>
      <c r="CF166" s="497">
        <f>IF(('Comparison Calculator'!$E$11-CD166)&gt;=0,$C$1*$CI$66/12,IFERROR(-IPMT($CI$66/12,(CC166-60),($F$1-5)*12,$CI$65,0),0))</f>
        <v>0</v>
      </c>
      <c r="CG166" s="497">
        <f t="shared" si="73"/>
        <v>0</v>
      </c>
      <c r="CH166" s="497">
        <f t="shared" si="86"/>
        <v>1800000</v>
      </c>
      <c r="CI166" s="493"/>
      <c r="CJ166" s="493"/>
      <c r="CL166" s="492">
        <v>162</v>
      </c>
      <c r="CM166" s="492">
        <v>14</v>
      </c>
      <c r="CN166" s="497">
        <f>IF(('Comparison Calculator'!$E$11-CM166)&gt;=0,0,IFERROR(-PPMT($CR$66/12,(CL166-60),($F$1-5)*12,$CR$65),0))</f>
        <v>0</v>
      </c>
      <c r="CO166" s="497">
        <f>IF(('Comparison Calculator'!$E$11-CM166)&gt;=0,$C$1*$CI$66/12,IFERROR(-IPMT($CI$66/12,(CL166-60),($F$1-5)*12,$CI$65,0),0))</f>
        <v>0</v>
      </c>
      <c r="CP166" s="497">
        <f t="shared" si="74"/>
        <v>0</v>
      </c>
      <c r="CQ166" s="497">
        <f t="shared" si="87"/>
        <v>1800000</v>
      </c>
      <c r="CR166" s="493"/>
      <c r="CS166" s="493"/>
      <c r="CU166" s="492">
        <v>162</v>
      </c>
      <c r="CV166" s="492">
        <v>14</v>
      </c>
      <c r="CW166" s="497">
        <f>IF(('Comparison Calculator'!$E$11-CV166)&gt;=0,0,IFERROR(-PPMT($DA$66/12,(CU166-60),($F$1-5)*12,$DA$65),0))</f>
        <v>0</v>
      </c>
      <c r="CX166" s="497">
        <f>IF(('Comparison Calculator'!$E$11-CV166)&gt;=0,$C$1*$DA$66/12,IFERROR(-IPMT($DA$66/12,(CU166-60),($F$1-5)*12,$DA$65,0),0))</f>
        <v>0</v>
      </c>
      <c r="CY166" s="497">
        <f t="shared" si="75"/>
        <v>0</v>
      </c>
      <c r="CZ166" s="497">
        <f t="shared" si="88"/>
        <v>1800000</v>
      </c>
      <c r="DA166" s="493"/>
      <c r="DB166" s="493"/>
      <c r="DD166" s="492">
        <v>162</v>
      </c>
      <c r="DE166" s="492">
        <v>14</v>
      </c>
      <c r="DF166" s="497">
        <f>IF(('Comparison Calculator'!$E$11-DE166)&gt;=0,0,IFERROR(-PPMT($DJ$66/12,(DD166-60),($F$1-5)*12,$DJ$65),0))</f>
        <v>0</v>
      </c>
      <c r="DG166" s="497">
        <f>IF(('Comparison Calculator'!$E$11-DE166)&gt;=0,$C$1*$DJ$66/12,IFERROR(-IPMT($DJ$66/12,(DD166-60),($F$1-5)*12,$DJ$65,0),0))</f>
        <v>0</v>
      </c>
      <c r="DH166" s="497">
        <f t="shared" si="76"/>
        <v>0</v>
      </c>
      <c r="DI166" s="497">
        <f t="shared" si="89"/>
        <v>1800000</v>
      </c>
      <c r="DJ166" s="493"/>
      <c r="DK166" s="493"/>
    </row>
    <row r="167" spans="1:115">
      <c r="A167" s="492">
        <v>163</v>
      </c>
      <c r="B167" s="492">
        <v>14</v>
      </c>
      <c r="C167" s="497">
        <f>IF(('Comparison Calculator'!$E$11-B167)&gt;=0,0,IFERROR(-PPMT($G$66/12,(A167-60),($F$1-5)*12,$G$65),0))</f>
        <v>0</v>
      </c>
      <c r="D167" s="497">
        <f>IF(('Comparison Calculator'!$E$11-B167)&gt;=0,$C$1*$G$66/12,IFERROR(-IPMT($G$66/12,(A167-60),($F$1-5)*12,$G$65,0),0))</f>
        <v>0</v>
      </c>
      <c r="E167" s="497">
        <f t="shared" si="64"/>
        <v>0</v>
      </c>
      <c r="F167" s="497">
        <f t="shared" si="77"/>
        <v>1800000</v>
      </c>
      <c r="G167" s="493"/>
      <c r="H167" s="493"/>
      <c r="I167" s="489"/>
      <c r="J167" s="492">
        <v>163</v>
      </c>
      <c r="K167" s="492">
        <v>14</v>
      </c>
      <c r="L167" s="497">
        <f>IF(('Comparison Calculator'!$E$11-K167)&gt;=0,0,IFERROR(-PPMT($P$66/12,(J167-60),($F$1-5)*12,$P$65),0))</f>
        <v>0</v>
      </c>
      <c r="M167" s="497">
        <f>IF(('Comparison Calculator'!$E$11-K167)&gt;=0,$C$1*$P$66/12,IFERROR(-IPMT($P$66/12,(J167-60),($F$1-5)*12,$P$65,0),0))</f>
        <v>0</v>
      </c>
      <c r="N167" s="497">
        <f t="shared" si="65"/>
        <v>0</v>
      </c>
      <c r="O167" s="497">
        <f t="shared" si="78"/>
        <v>1800000</v>
      </c>
      <c r="P167" s="493"/>
      <c r="Q167" s="493"/>
      <c r="S167" s="492">
        <v>163</v>
      </c>
      <c r="T167" s="492">
        <v>14</v>
      </c>
      <c r="U167" s="497">
        <f>IF(('Comparison Calculator'!$E$11-T167)&gt;=0,0,IFERROR(-PPMT($Y$66/12,(S167-60),($F$1-5)*12,$Y$65),0))</f>
        <v>0</v>
      </c>
      <c r="V167" s="497">
        <f>IF(('Comparison Calculator'!$E$11-T167)&gt;=0,$C$1*$Y$66/12,IFERROR(-IPMT($Y$66/12,(S167-60),($F$1-5)*12,$Y$65,0),0))</f>
        <v>0</v>
      </c>
      <c r="W167" s="497">
        <f t="shared" si="66"/>
        <v>0</v>
      </c>
      <c r="X167" s="497">
        <f t="shared" si="79"/>
        <v>1800000</v>
      </c>
      <c r="Y167" s="493"/>
      <c r="Z167" s="493"/>
      <c r="AB167" s="492">
        <v>163</v>
      </c>
      <c r="AC167" s="492">
        <v>14</v>
      </c>
      <c r="AD167" s="497">
        <f>IF(('Comparison Calculator'!$E$11-AC167)&gt;=0,0,IFERROR(-PPMT($AH$66/12,(AB167-60),($F$1-5)*12,$AH$65),0))</f>
        <v>0</v>
      </c>
      <c r="AE167" s="497">
        <f>IF(('Comparison Calculator'!$E$11-AC167)&gt;=0,$C$1*$AH$66/12,IFERROR(-IPMT($AH$66/12,(AB167-60),($F$1-5)*12,$AH$65,0),0))</f>
        <v>0</v>
      </c>
      <c r="AF167" s="497">
        <f t="shared" si="67"/>
        <v>0</v>
      </c>
      <c r="AG167" s="497">
        <f t="shared" si="80"/>
        <v>1800000</v>
      </c>
      <c r="AH167" s="493"/>
      <c r="AI167" s="493"/>
      <c r="AK167" s="492">
        <v>163</v>
      </c>
      <c r="AL167" s="492">
        <v>14</v>
      </c>
      <c r="AM167" s="497">
        <f>IF(('Comparison Calculator'!$E$11-AL167)&gt;=0,0,IFERROR(-PPMT($AQ$66/12,(AK167-60),($F$1-5)*12,$AQ$65),0))</f>
        <v>0</v>
      </c>
      <c r="AN167" s="497">
        <f>IF(('Comparison Calculator'!$E$11-AL167)&gt;=0,$C$1*$AQ$66/12,IFERROR(-IPMT($AQ$66/12,(AK167-60),($F$1-5)*12,$AQ$65,0),0))</f>
        <v>0</v>
      </c>
      <c r="AO167" s="497">
        <f t="shared" si="68"/>
        <v>0</v>
      </c>
      <c r="AP167" s="497">
        <f t="shared" si="81"/>
        <v>1800000</v>
      </c>
      <c r="AQ167" s="493"/>
      <c r="AR167" s="493"/>
      <c r="AT167" s="492">
        <v>163</v>
      </c>
      <c r="AU167" s="492">
        <v>14</v>
      </c>
      <c r="AV167" s="497">
        <f>IF(('Comparison Calculator'!$E$11-AU167)&gt;=0,0,IFERROR(-PPMT($AZ$66/12,(AT167-60),($F$1-5)*12,$AZ$65),0))</f>
        <v>0</v>
      </c>
      <c r="AW167" s="497">
        <f>IF(('Comparison Calculator'!$E$11-AU167)&gt;=0,$C$1*$AZ$66/12,IFERROR(-IPMT($AZ$66/12,(AT167-60),($F$1-5)*12,$AZ$65,0),0))</f>
        <v>0</v>
      </c>
      <c r="AX167" s="497">
        <f t="shared" si="69"/>
        <v>0</v>
      </c>
      <c r="AY167" s="497">
        <f t="shared" si="82"/>
        <v>1800000</v>
      </c>
      <c r="AZ167" s="493"/>
      <c r="BA167" s="493"/>
      <c r="BC167" s="492">
        <v>163</v>
      </c>
      <c r="BD167" s="492">
        <v>14</v>
      </c>
      <c r="BE167" s="497">
        <f>IF(('Comparison Calculator'!$E$11-BD167)&gt;=0,0,IFERROR(-PPMT($BI$66/12,(BC167-60),($F$1-5)*12,$BI$65),0))</f>
        <v>0</v>
      </c>
      <c r="BF167" s="497">
        <f>IF(('Comparison Calculator'!$E$11-BD167)&gt;=0,$C$1*$BI$66/12,IFERROR(-IPMT($BI$66/12,(BC167-60),($F$1-5)*12,$BI$65,0),0))</f>
        <v>0</v>
      </c>
      <c r="BG167" s="497">
        <f t="shared" si="70"/>
        <v>0</v>
      </c>
      <c r="BH167" s="497">
        <f t="shared" si="83"/>
        <v>1800000</v>
      </c>
      <c r="BI167" s="493"/>
      <c r="BJ167" s="493"/>
      <c r="BK167" s="492">
        <v>163</v>
      </c>
      <c r="BL167" s="492">
        <v>14</v>
      </c>
      <c r="BM167" s="497">
        <f>IF(('Comparison Calculator'!$E$11-BL167)&gt;=0,0,IFERROR(-PPMT($BQ$66/12,(BK167-60),($F$1-5)*12,$BQ$65),0))</f>
        <v>0</v>
      </c>
      <c r="BN167" s="497">
        <f>IF(('Comparison Calculator'!$E$11-BL167)&gt;=0,$C$1*$BQ$66/12,IFERROR(-IPMT($BQ$66/12,(BK167-60),($F$1-5)*12,$BQ$65,0),0))</f>
        <v>0</v>
      </c>
      <c r="BO167" s="497">
        <f t="shared" si="71"/>
        <v>0</v>
      </c>
      <c r="BP167" s="497">
        <f t="shared" si="84"/>
        <v>1800000</v>
      </c>
      <c r="BQ167" s="493"/>
      <c r="BR167" s="493"/>
      <c r="BT167" s="492">
        <v>163</v>
      </c>
      <c r="BU167" s="492">
        <v>14</v>
      </c>
      <c r="BV167" s="497">
        <f>IF(('Comparison Calculator'!$E$11-BU167)&gt;=0,0,IFERROR(-PPMT($BZ$66/12,(BT167-60),($F$1-5)*12,$BZ$65),0))</f>
        <v>0</v>
      </c>
      <c r="BW167" s="497">
        <f>IF(('Comparison Calculator'!$E$11-BU167)&gt;=0,$C$1*$BZ$66/12,IFERROR(-IPMT($BZ$66/12,(BT167-60),($F$1-5)*12,$BZ$65,0),0))</f>
        <v>0</v>
      </c>
      <c r="BX167" s="497">
        <f t="shared" si="72"/>
        <v>0</v>
      </c>
      <c r="BY167" s="497">
        <f t="shared" si="85"/>
        <v>1800000</v>
      </c>
      <c r="BZ167" s="493"/>
      <c r="CA167" s="493"/>
      <c r="CC167" s="492">
        <v>163</v>
      </c>
      <c r="CD167" s="492">
        <v>14</v>
      </c>
      <c r="CE167" s="497">
        <f>IF(('Comparison Calculator'!$E$11-CD167)&gt;=0,0,IFERROR(-PPMT($CI$66/12,(CC167-60),($F$1-5)*12,$CI$65),0))</f>
        <v>0</v>
      </c>
      <c r="CF167" s="497">
        <f>IF(('Comparison Calculator'!$E$11-CD167)&gt;=0,$C$1*$CI$66/12,IFERROR(-IPMT($CI$66/12,(CC167-60),($F$1-5)*12,$CI$65,0),0))</f>
        <v>0</v>
      </c>
      <c r="CG167" s="497">
        <f t="shared" si="73"/>
        <v>0</v>
      </c>
      <c r="CH167" s="497">
        <f t="shared" si="86"/>
        <v>1800000</v>
      </c>
      <c r="CI167" s="493"/>
      <c r="CJ167" s="493"/>
      <c r="CL167" s="492">
        <v>163</v>
      </c>
      <c r="CM167" s="492">
        <v>14</v>
      </c>
      <c r="CN167" s="497">
        <f>IF(('Comparison Calculator'!$E$11-CM167)&gt;=0,0,IFERROR(-PPMT($CR$66/12,(CL167-60),($F$1-5)*12,$CR$65),0))</f>
        <v>0</v>
      </c>
      <c r="CO167" s="497">
        <f>IF(('Comparison Calculator'!$E$11-CM167)&gt;=0,$C$1*$CI$66/12,IFERROR(-IPMT($CI$66/12,(CL167-60),($F$1-5)*12,$CI$65,0),0))</f>
        <v>0</v>
      </c>
      <c r="CP167" s="497">
        <f t="shared" si="74"/>
        <v>0</v>
      </c>
      <c r="CQ167" s="497">
        <f t="shared" si="87"/>
        <v>1800000</v>
      </c>
      <c r="CR167" s="493"/>
      <c r="CS167" s="493"/>
      <c r="CU167" s="492">
        <v>163</v>
      </c>
      <c r="CV167" s="492">
        <v>14</v>
      </c>
      <c r="CW167" s="497">
        <f>IF(('Comparison Calculator'!$E$11-CV167)&gt;=0,0,IFERROR(-PPMT($DA$66/12,(CU167-60),($F$1-5)*12,$DA$65),0))</f>
        <v>0</v>
      </c>
      <c r="CX167" s="497">
        <f>IF(('Comparison Calculator'!$E$11-CV167)&gt;=0,$C$1*$DA$66/12,IFERROR(-IPMT($DA$66/12,(CU167-60),($F$1-5)*12,$DA$65,0),0))</f>
        <v>0</v>
      </c>
      <c r="CY167" s="497">
        <f t="shared" si="75"/>
        <v>0</v>
      </c>
      <c r="CZ167" s="497">
        <f t="shared" si="88"/>
        <v>1800000</v>
      </c>
      <c r="DA167" s="493"/>
      <c r="DB167" s="493"/>
      <c r="DD167" s="492">
        <v>163</v>
      </c>
      <c r="DE167" s="492">
        <v>14</v>
      </c>
      <c r="DF167" s="497">
        <f>IF(('Comparison Calculator'!$E$11-DE167)&gt;=0,0,IFERROR(-PPMT($DJ$66/12,(DD167-60),($F$1-5)*12,$DJ$65),0))</f>
        <v>0</v>
      </c>
      <c r="DG167" s="497">
        <f>IF(('Comparison Calculator'!$E$11-DE167)&gt;=0,$C$1*$DJ$66/12,IFERROR(-IPMT($DJ$66/12,(DD167-60),($F$1-5)*12,$DJ$65,0),0))</f>
        <v>0</v>
      </c>
      <c r="DH167" s="497">
        <f t="shared" si="76"/>
        <v>0</v>
      </c>
      <c r="DI167" s="497">
        <f t="shared" si="89"/>
        <v>1800000</v>
      </c>
      <c r="DJ167" s="493"/>
      <c r="DK167" s="493"/>
    </row>
    <row r="168" spans="1:115">
      <c r="A168" s="492">
        <v>164</v>
      </c>
      <c r="B168" s="492">
        <v>14</v>
      </c>
      <c r="C168" s="497">
        <f>IF(('Comparison Calculator'!$E$11-B168)&gt;=0,0,IFERROR(-PPMT($G$66/12,(A168-60),($F$1-5)*12,$G$65),0))</f>
        <v>0</v>
      </c>
      <c r="D168" s="497">
        <f>IF(('Comparison Calculator'!$E$11-B168)&gt;=0,$C$1*$G$66/12,IFERROR(-IPMT($G$66/12,(A168-60),($F$1-5)*12,$G$65,0),0))</f>
        <v>0</v>
      </c>
      <c r="E168" s="497">
        <f t="shared" si="64"/>
        <v>0</v>
      </c>
      <c r="F168" s="497">
        <f t="shared" si="77"/>
        <v>1800000</v>
      </c>
      <c r="G168" s="493"/>
      <c r="H168" s="493"/>
      <c r="I168" s="489"/>
      <c r="J168" s="492">
        <v>164</v>
      </c>
      <c r="K168" s="492">
        <v>14</v>
      </c>
      <c r="L168" s="497">
        <f>IF(('Comparison Calculator'!$E$11-K168)&gt;=0,0,IFERROR(-PPMT($P$66/12,(J168-60),($F$1-5)*12,$P$65),0))</f>
        <v>0</v>
      </c>
      <c r="M168" s="497">
        <f>IF(('Comparison Calculator'!$E$11-K168)&gt;=0,$C$1*$P$66/12,IFERROR(-IPMT($P$66/12,(J168-60),($F$1-5)*12,$P$65,0),0))</f>
        <v>0</v>
      </c>
      <c r="N168" s="497">
        <f t="shared" si="65"/>
        <v>0</v>
      </c>
      <c r="O168" s="497">
        <f t="shared" si="78"/>
        <v>1800000</v>
      </c>
      <c r="P168" s="493"/>
      <c r="Q168" s="493"/>
      <c r="S168" s="492">
        <v>164</v>
      </c>
      <c r="T168" s="492">
        <v>14</v>
      </c>
      <c r="U168" s="497">
        <f>IF(('Comparison Calculator'!$E$11-T168)&gt;=0,0,IFERROR(-PPMT($Y$66/12,(S168-60),($F$1-5)*12,$Y$65),0))</f>
        <v>0</v>
      </c>
      <c r="V168" s="497">
        <f>IF(('Comparison Calculator'!$E$11-T168)&gt;=0,$C$1*$Y$66/12,IFERROR(-IPMT($Y$66/12,(S168-60),($F$1-5)*12,$Y$65,0),0))</f>
        <v>0</v>
      </c>
      <c r="W168" s="497">
        <f t="shared" si="66"/>
        <v>0</v>
      </c>
      <c r="X168" s="497">
        <f t="shared" si="79"/>
        <v>1800000</v>
      </c>
      <c r="Y168" s="493"/>
      <c r="Z168" s="493"/>
      <c r="AB168" s="492">
        <v>164</v>
      </c>
      <c r="AC168" s="492">
        <v>14</v>
      </c>
      <c r="AD168" s="497">
        <f>IF(('Comparison Calculator'!$E$11-AC168)&gt;=0,0,IFERROR(-PPMT($AH$66/12,(AB168-60),($F$1-5)*12,$AH$65),0))</f>
        <v>0</v>
      </c>
      <c r="AE168" s="497">
        <f>IF(('Comparison Calculator'!$E$11-AC168)&gt;=0,$C$1*$AH$66/12,IFERROR(-IPMT($AH$66/12,(AB168-60),($F$1-5)*12,$AH$65,0),0))</f>
        <v>0</v>
      </c>
      <c r="AF168" s="497">
        <f t="shared" si="67"/>
        <v>0</v>
      </c>
      <c r="AG168" s="497">
        <f t="shared" si="80"/>
        <v>1800000</v>
      </c>
      <c r="AH168" s="493"/>
      <c r="AI168" s="493"/>
      <c r="AK168" s="492">
        <v>164</v>
      </c>
      <c r="AL168" s="492">
        <v>14</v>
      </c>
      <c r="AM168" s="497">
        <f>IF(('Comparison Calculator'!$E$11-AL168)&gt;=0,0,IFERROR(-PPMT($AQ$66/12,(AK168-60),($F$1-5)*12,$AQ$65),0))</f>
        <v>0</v>
      </c>
      <c r="AN168" s="497">
        <f>IF(('Comparison Calculator'!$E$11-AL168)&gt;=0,$C$1*$AQ$66/12,IFERROR(-IPMT($AQ$66/12,(AK168-60),($F$1-5)*12,$AQ$65,0),0))</f>
        <v>0</v>
      </c>
      <c r="AO168" s="497">
        <f t="shared" si="68"/>
        <v>0</v>
      </c>
      <c r="AP168" s="497">
        <f t="shared" si="81"/>
        <v>1800000</v>
      </c>
      <c r="AQ168" s="493"/>
      <c r="AR168" s="493"/>
      <c r="AT168" s="492">
        <v>164</v>
      </c>
      <c r="AU168" s="492">
        <v>14</v>
      </c>
      <c r="AV168" s="497">
        <f>IF(('Comparison Calculator'!$E$11-AU168)&gt;=0,0,IFERROR(-PPMT($AZ$66/12,(AT168-60),($F$1-5)*12,$AZ$65),0))</f>
        <v>0</v>
      </c>
      <c r="AW168" s="497">
        <f>IF(('Comparison Calculator'!$E$11-AU168)&gt;=0,$C$1*$AZ$66/12,IFERROR(-IPMT($AZ$66/12,(AT168-60),($F$1-5)*12,$AZ$65,0),0))</f>
        <v>0</v>
      </c>
      <c r="AX168" s="497">
        <f t="shared" si="69"/>
        <v>0</v>
      </c>
      <c r="AY168" s="497">
        <f t="shared" si="82"/>
        <v>1800000</v>
      </c>
      <c r="AZ168" s="493"/>
      <c r="BA168" s="493"/>
      <c r="BC168" s="492">
        <v>164</v>
      </c>
      <c r="BD168" s="492">
        <v>14</v>
      </c>
      <c r="BE168" s="497">
        <f>IF(('Comparison Calculator'!$E$11-BD168)&gt;=0,0,IFERROR(-PPMT($BI$66/12,(BC168-60),($F$1-5)*12,$BI$65),0))</f>
        <v>0</v>
      </c>
      <c r="BF168" s="497">
        <f>IF(('Comparison Calculator'!$E$11-BD168)&gt;=0,$C$1*$BI$66/12,IFERROR(-IPMT($BI$66/12,(BC168-60),($F$1-5)*12,$BI$65,0),0))</f>
        <v>0</v>
      </c>
      <c r="BG168" s="497">
        <f t="shared" si="70"/>
        <v>0</v>
      </c>
      <c r="BH168" s="497">
        <f t="shared" si="83"/>
        <v>1800000</v>
      </c>
      <c r="BI168" s="493"/>
      <c r="BJ168" s="493"/>
      <c r="BK168" s="492">
        <v>164</v>
      </c>
      <c r="BL168" s="492">
        <v>14</v>
      </c>
      <c r="BM168" s="497">
        <f>IF(('Comparison Calculator'!$E$11-BL168)&gt;=0,0,IFERROR(-PPMT($BQ$66/12,(BK168-60),($F$1-5)*12,$BQ$65),0))</f>
        <v>0</v>
      </c>
      <c r="BN168" s="497">
        <f>IF(('Comparison Calculator'!$E$11-BL168)&gt;=0,$C$1*$BQ$66/12,IFERROR(-IPMT($BQ$66/12,(BK168-60),($F$1-5)*12,$BQ$65,0),0))</f>
        <v>0</v>
      </c>
      <c r="BO168" s="497">
        <f t="shared" si="71"/>
        <v>0</v>
      </c>
      <c r="BP168" s="497">
        <f t="shared" si="84"/>
        <v>1800000</v>
      </c>
      <c r="BQ168" s="493"/>
      <c r="BR168" s="493"/>
      <c r="BT168" s="492">
        <v>164</v>
      </c>
      <c r="BU168" s="492">
        <v>14</v>
      </c>
      <c r="BV168" s="497">
        <f>IF(('Comparison Calculator'!$E$11-BU168)&gt;=0,0,IFERROR(-PPMT($BZ$66/12,(BT168-60),($F$1-5)*12,$BZ$65),0))</f>
        <v>0</v>
      </c>
      <c r="BW168" s="497">
        <f>IF(('Comparison Calculator'!$E$11-BU168)&gt;=0,$C$1*$BZ$66/12,IFERROR(-IPMT($BZ$66/12,(BT168-60),($F$1-5)*12,$BZ$65,0),0))</f>
        <v>0</v>
      </c>
      <c r="BX168" s="497">
        <f t="shared" si="72"/>
        <v>0</v>
      </c>
      <c r="BY168" s="497">
        <f t="shared" si="85"/>
        <v>1800000</v>
      </c>
      <c r="BZ168" s="493"/>
      <c r="CA168" s="493"/>
      <c r="CC168" s="492">
        <v>164</v>
      </c>
      <c r="CD168" s="492">
        <v>14</v>
      </c>
      <c r="CE168" s="497">
        <f>IF(('Comparison Calculator'!$E$11-CD168)&gt;=0,0,IFERROR(-PPMT($CI$66/12,(CC168-60),($F$1-5)*12,$CI$65),0))</f>
        <v>0</v>
      </c>
      <c r="CF168" s="497">
        <f>IF(('Comparison Calculator'!$E$11-CD168)&gt;=0,$C$1*$CI$66/12,IFERROR(-IPMT($CI$66/12,(CC168-60),($F$1-5)*12,$CI$65,0),0))</f>
        <v>0</v>
      </c>
      <c r="CG168" s="497">
        <f t="shared" si="73"/>
        <v>0</v>
      </c>
      <c r="CH168" s="497">
        <f t="shared" si="86"/>
        <v>1800000</v>
      </c>
      <c r="CI168" s="493"/>
      <c r="CJ168" s="493"/>
      <c r="CL168" s="492">
        <v>164</v>
      </c>
      <c r="CM168" s="492">
        <v>14</v>
      </c>
      <c r="CN168" s="497">
        <f>IF(('Comparison Calculator'!$E$11-CM168)&gt;=0,0,IFERROR(-PPMT($CR$66/12,(CL168-60),($F$1-5)*12,$CR$65),0))</f>
        <v>0</v>
      </c>
      <c r="CO168" s="497">
        <f>IF(('Comparison Calculator'!$E$11-CM168)&gt;=0,$C$1*$CI$66/12,IFERROR(-IPMT($CI$66/12,(CL168-60),($F$1-5)*12,$CI$65,0),0))</f>
        <v>0</v>
      </c>
      <c r="CP168" s="497">
        <f t="shared" si="74"/>
        <v>0</v>
      </c>
      <c r="CQ168" s="497">
        <f t="shared" si="87"/>
        <v>1800000</v>
      </c>
      <c r="CR168" s="493"/>
      <c r="CS168" s="493"/>
      <c r="CU168" s="492">
        <v>164</v>
      </c>
      <c r="CV168" s="492">
        <v>14</v>
      </c>
      <c r="CW168" s="497">
        <f>IF(('Comparison Calculator'!$E$11-CV168)&gt;=0,0,IFERROR(-PPMT($DA$66/12,(CU168-60),($F$1-5)*12,$DA$65),0))</f>
        <v>0</v>
      </c>
      <c r="CX168" s="497">
        <f>IF(('Comparison Calculator'!$E$11-CV168)&gt;=0,$C$1*$DA$66/12,IFERROR(-IPMT($DA$66/12,(CU168-60),($F$1-5)*12,$DA$65,0),0))</f>
        <v>0</v>
      </c>
      <c r="CY168" s="497">
        <f t="shared" si="75"/>
        <v>0</v>
      </c>
      <c r="CZ168" s="497">
        <f t="shared" si="88"/>
        <v>1800000</v>
      </c>
      <c r="DA168" s="493"/>
      <c r="DB168" s="493"/>
      <c r="DD168" s="492">
        <v>164</v>
      </c>
      <c r="DE168" s="492">
        <v>14</v>
      </c>
      <c r="DF168" s="497">
        <f>IF(('Comparison Calculator'!$E$11-DE168)&gt;=0,0,IFERROR(-PPMT($DJ$66/12,(DD168-60),($F$1-5)*12,$DJ$65),0))</f>
        <v>0</v>
      </c>
      <c r="DG168" s="497">
        <f>IF(('Comparison Calculator'!$E$11-DE168)&gt;=0,$C$1*$DJ$66/12,IFERROR(-IPMT($DJ$66/12,(DD168-60),($F$1-5)*12,$DJ$65,0),0))</f>
        <v>0</v>
      </c>
      <c r="DH168" s="497">
        <f t="shared" si="76"/>
        <v>0</v>
      </c>
      <c r="DI168" s="497">
        <f t="shared" si="89"/>
        <v>1800000</v>
      </c>
      <c r="DJ168" s="493"/>
      <c r="DK168" s="493"/>
    </row>
    <row r="169" spans="1:115">
      <c r="A169" s="492">
        <v>165</v>
      </c>
      <c r="B169" s="492">
        <v>14</v>
      </c>
      <c r="C169" s="497">
        <f>IF(('Comparison Calculator'!$E$11-B169)&gt;=0,0,IFERROR(-PPMT($G$66/12,(A169-60),($F$1-5)*12,$G$65),0))</f>
        <v>0</v>
      </c>
      <c r="D169" s="497">
        <f>IF(('Comparison Calculator'!$E$11-B169)&gt;=0,$C$1*$G$66/12,IFERROR(-IPMT($G$66/12,(A169-60),($F$1-5)*12,$G$65,0),0))</f>
        <v>0</v>
      </c>
      <c r="E169" s="497">
        <f t="shared" si="64"/>
        <v>0</v>
      </c>
      <c r="F169" s="497">
        <f t="shared" si="77"/>
        <v>1800000</v>
      </c>
      <c r="G169" s="493"/>
      <c r="H169" s="493"/>
      <c r="I169" s="489"/>
      <c r="J169" s="492">
        <v>165</v>
      </c>
      <c r="K169" s="492">
        <v>14</v>
      </c>
      <c r="L169" s="497">
        <f>IF(('Comparison Calculator'!$E$11-K169)&gt;=0,0,IFERROR(-PPMT($P$66/12,(J169-60),($F$1-5)*12,$P$65),0))</f>
        <v>0</v>
      </c>
      <c r="M169" s="497">
        <f>IF(('Comparison Calculator'!$E$11-K169)&gt;=0,$C$1*$P$66/12,IFERROR(-IPMT($P$66/12,(J169-60),($F$1-5)*12,$P$65,0),0))</f>
        <v>0</v>
      </c>
      <c r="N169" s="497">
        <f t="shared" si="65"/>
        <v>0</v>
      </c>
      <c r="O169" s="497">
        <f t="shared" si="78"/>
        <v>1800000</v>
      </c>
      <c r="P169" s="493"/>
      <c r="Q169" s="493"/>
      <c r="S169" s="492">
        <v>165</v>
      </c>
      <c r="T169" s="492">
        <v>14</v>
      </c>
      <c r="U169" s="497">
        <f>IF(('Comparison Calculator'!$E$11-T169)&gt;=0,0,IFERROR(-PPMT($Y$66/12,(S169-60),($F$1-5)*12,$Y$65),0))</f>
        <v>0</v>
      </c>
      <c r="V169" s="497">
        <f>IF(('Comparison Calculator'!$E$11-T169)&gt;=0,$C$1*$Y$66/12,IFERROR(-IPMT($Y$66/12,(S169-60),($F$1-5)*12,$Y$65,0),0))</f>
        <v>0</v>
      </c>
      <c r="W169" s="497">
        <f t="shared" si="66"/>
        <v>0</v>
      </c>
      <c r="X169" s="497">
        <f t="shared" si="79"/>
        <v>1800000</v>
      </c>
      <c r="Y169" s="493"/>
      <c r="Z169" s="493"/>
      <c r="AB169" s="492">
        <v>165</v>
      </c>
      <c r="AC169" s="492">
        <v>14</v>
      </c>
      <c r="AD169" s="497">
        <f>IF(('Comparison Calculator'!$E$11-AC169)&gt;=0,0,IFERROR(-PPMT($AH$66/12,(AB169-60),($F$1-5)*12,$AH$65),0))</f>
        <v>0</v>
      </c>
      <c r="AE169" s="497">
        <f>IF(('Comparison Calculator'!$E$11-AC169)&gt;=0,$C$1*$AH$66/12,IFERROR(-IPMT($AH$66/12,(AB169-60),($F$1-5)*12,$AH$65,0),0))</f>
        <v>0</v>
      </c>
      <c r="AF169" s="497">
        <f t="shared" si="67"/>
        <v>0</v>
      </c>
      <c r="AG169" s="497">
        <f t="shared" si="80"/>
        <v>1800000</v>
      </c>
      <c r="AH169" s="493"/>
      <c r="AI169" s="493"/>
      <c r="AK169" s="492">
        <v>165</v>
      </c>
      <c r="AL169" s="492">
        <v>14</v>
      </c>
      <c r="AM169" s="497">
        <f>IF(('Comparison Calculator'!$E$11-AL169)&gt;=0,0,IFERROR(-PPMT($AQ$66/12,(AK169-60),($F$1-5)*12,$AQ$65),0))</f>
        <v>0</v>
      </c>
      <c r="AN169" s="497">
        <f>IF(('Comparison Calculator'!$E$11-AL169)&gt;=0,$C$1*$AQ$66/12,IFERROR(-IPMT($AQ$66/12,(AK169-60),($F$1-5)*12,$AQ$65,0),0))</f>
        <v>0</v>
      </c>
      <c r="AO169" s="497">
        <f t="shared" si="68"/>
        <v>0</v>
      </c>
      <c r="AP169" s="497">
        <f t="shared" si="81"/>
        <v>1800000</v>
      </c>
      <c r="AQ169" s="493"/>
      <c r="AR169" s="493"/>
      <c r="AT169" s="492">
        <v>165</v>
      </c>
      <c r="AU169" s="492">
        <v>14</v>
      </c>
      <c r="AV169" s="497">
        <f>IF(('Comparison Calculator'!$E$11-AU169)&gt;=0,0,IFERROR(-PPMT($AZ$66/12,(AT169-60),($F$1-5)*12,$AZ$65),0))</f>
        <v>0</v>
      </c>
      <c r="AW169" s="497">
        <f>IF(('Comparison Calculator'!$E$11-AU169)&gt;=0,$C$1*$AZ$66/12,IFERROR(-IPMT($AZ$66/12,(AT169-60),($F$1-5)*12,$AZ$65,0),0))</f>
        <v>0</v>
      </c>
      <c r="AX169" s="497">
        <f t="shared" si="69"/>
        <v>0</v>
      </c>
      <c r="AY169" s="497">
        <f t="shared" si="82"/>
        <v>1800000</v>
      </c>
      <c r="AZ169" s="493"/>
      <c r="BA169" s="493"/>
      <c r="BC169" s="492">
        <v>165</v>
      </c>
      <c r="BD169" s="492">
        <v>14</v>
      </c>
      <c r="BE169" s="497">
        <f>IF(('Comparison Calculator'!$E$11-BD169)&gt;=0,0,IFERROR(-PPMT($BI$66/12,(BC169-60),($F$1-5)*12,$BI$65),0))</f>
        <v>0</v>
      </c>
      <c r="BF169" s="497">
        <f>IF(('Comparison Calculator'!$E$11-BD169)&gt;=0,$C$1*$BI$66/12,IFERROR(-IPMT($BI$66/12,(BC169-60),($F$1-5)*12,$BI$65,0),0))</f>
        <v>0</v>
      </c>
      <c r="BG169" s="497">
        <f t="shared" si="70"/>
        <v>0</v>
      </c>
      <c r="BH169" s="497">
        <f t="shared" si="83"/>
        <v>1800000</v>
      </c>
      <c r="BI169" s="493"/>
      <c r="BJ169" s="493"/>
      <c r="BK169" s="492">
        <v>165</v>
      </c>
      <c r="BL169" s="492">
        <v>14</v>
      </c>
      <c r="BM169" s="497">
        <f>IF(('Comparison Calculator'!$E$11-BL169)&gt;=0,0,IFERROR(-PPMT($BQ$66/12,(BK169-60),($F$1-5)*12,$BQ$65),0))</f>
        <v>0</v>
      </c>
      <c r="BN169" s="497">
        <f>IF(('Comparison Calculator'!$E$11-BL169)&gt;=0,$C$1*$BQ$66/12,IFERROR(-IPMT($BQ$66/12,(BK169-60),($F$1-5)*12,$BQ$65,0),0))</f>
        <v>0</v>
      </c>
      <c r="BO169" s="497">
        <f t="shared" si="71"/>
        <v>0</v>
      </c>
      <c r="BP169" s="497">
        <f t="shared" si="84"/>
        <v>1800000</v>
      </c>
      <c r="BQ169" s="493"/>
      <c r="BR169" s="493"/>
      <c r="BT169" s="492">
        <v>165</v>
      </c>
      <c r="BU169" s="492">
        <v>14</v>
      </c>
      <c r="BV169" s="497">
        <f>IF(('Comparison Calculator'!$E$11-BU169)&gt;=0,0,IFERROR(-PPMT($BZ$66/12,(BT169-60),($F$1-5)*12,$BZ$65),0))</f>
        <v>0</v>
      </c>
      <c r="BW169" s="497">
        <f>IF(('Comparison Calculator'!$E$11-BU169)&gt;=0,$C$1*$BZ$66/12,IFERROR(-IPMT($BZ$66/12,(BT169-60),($F$1-5)*12,$BZ$65,0),0))</f>
        <v>0</v>
      </c>
      <c r="BX169" s="497">
        <f t="shared" si="72"/>
        <v>0</v>
      </c>
      <c r="BY169" s="497">
        <f t="shared" si="85"/>
        <v>1800000</v>
      </c>
      <c r="BZ169" s="493"/>
      <c r="CA169" s="493"/>
      <c r="CC169" s="492">
        <v>165</v>
      </c>
      <c r="CD169" s="492">
        <v>14</v>
      </c>
      <c r="CE169" s="497">
        <f>IF(('Comparison Calculator'!$E$11-CD169)&gt;=0,0,IFERROR(-PPMT($CI$66/12,(CC169-60),($F$1-5)*12,$CI$65),0))</f>
        <v>0</v>
      </c>
      <c r="CF169" s="497">
        <f>IF(('Comparison Calculator'!$E$11-CD169)&gt;=0,$C$1*$CI$66/12,IFERROR(-IPMT($CI$66/12,(CC169-60),($F$1-5)*12,$CI$65,0),0))</f>
        <v>0</v>
      </c>
      <c r="CG169" s="497">
        <f t="shared" si="73"/>
        <v>0</v>
      </c>
      <c r="CH169" s="497">
        <f t="shared" si="86"/>
        <v>1800000</v>
      </c>
      <c r="CI169" s="493"/>
      <c r="CJ169" s="493"/>
      <c r="CL169" s="492">
        <v>165</v>
      </c>
      <c r="CM169" s="492">
        <v>14</v>
      </c>
      <c r="CN169" s="497">
        <f>IF(('Comparison Calculator'!$E$11-CM169)&gt;=0,0,IFERROR(-PPMT($CR$66/12,(CL169-60),($F$1-5)*12,$CR$65),0))</f>
        <v>0</v>
      </c>
      <c r="CO169" s="497">
        <f>IF(('Comparison Calculator'!$E$11-CM169)&gt;=0,$C$1*$CI$66/12,IFERROR(-IPMT($CI$66/12,(CL169-60),($F$1-5)*12,$CI$65,0),0))</f>
        <v>0</v>
      </c>
      <c r="CP169" s="497">
        <f t="shared" si="74"/>
        <v>0</v>
      </c>
      <c r="CQ169" s="497">
        <f t="shared" si="87"/>
        <v>1800000</v>
      </c>
      <c r="CR169" s="493"/>
      <c r="CS169" s="493"/>
      <c r="CU169" s="492">
        <v>165</v>
      </c>
      <c r="CV169" s="492">
        <v>14</v>
      </c>
      <c r="CW169" s="497">
        <f>IF(('Comparison Calculator'!$E$11-CV169)&gt;=0,0,IFERROR(-PPMT($DA$66/12,(CU169-60),($F$1-5)*12,$DA$65),0))</f>
        <v>0</v>
      </c>
      <c r="CX169" s="497">
        <f>IF(('Comparison Calculator'!$E$11-CV169)&gt;=0,$C$1*$DA$66/12,IFERROR(-IPMT($DA$66/12,(CU169-60),($F$1-5)*12,$DA$65,0),0))</f>
        <v>0</v>
      </c>
      <c r="CY169" s="497">
        <f t="shared" si="75"/>
        <v>0</v>
      </c>
      <c r="CZ169" s="497">
        <f t="shared" si="88"/>
        <v>1800000</v>
      </c>
      <c r="DA169" s="493"/>
      <c r="DB169" s="493"/>
      <c r="DD169" s="492">
        <v>165</v>
      </c>
      <c r="DE169" s="492">
        <v>14</v>
      </c>
      <c r="DF169" s="497">
        <f>IF(('Comparison Calculator'!$E$11-DE169)&gt;=0,0,IFERROR(-PPMT($DJ$66/12,(DD169-60),($F$1-5)*12,$DJ$65),0))</f>
        <v>0</v>
      </c>
      <c r="DG169" s="497">
        <f>IF(('Comparison Calculator'!$E$11-DE169)&gt;=0,$C$1*$DJ$66/12,IFERROR(-IPMT($DJ$66/12,(DD169-60),($F$1-5)*12,$DJ$65,0),0))</f>
        <v>0</v>
      </c>
      <c r="DH169" s="497">
        <f t="shared" si="76"/>
        <v>0</v>
      </c>
      <c r="DI169" s="497">
        <f t="shared" si="89"/>
        <v>1800000</v>
      </c>
      <c r="DJ169" s="493"/>
      <c r="DK169" s="493"/>
    </row>
    <row r="170" spans="1:115">
      <c r="A170" s="492">
        <v>166</v>
      </c>
      <c r="B170" s="492">
        <v>14</v>
      </c>
      <c r="C170" s="497">
        <f>IF(('Comparison Calculator'!$E$11-B170)&gt;=0,0,IFERROR(-PPMT($G$66/12,(A170-60),($F$1-5)*12,$G$65),0))</f>
        <v>0</v>
      </c>
      <c r="D170" s="497">
        <f>IF(('Comparison Calculator'!$E$11-B170)&gt;=0,$C$1*$G$66/12,IFERROR(-IPMT($G$66/12,(A170-60),($F$1-5)*12,$G$65,0),0))</f>
        <v>0</v>
      </c>
      <c r="E170" s="497">
        <f t="shared" si="64"/>
        <v>0</v>
      </c>
      <c r="F170" s="497">
        <f t="shared" si="77"/>
        <v>1800000</v>
      </c>
      <c r="G170" s="493"/>
      <c r="H170" s="493"/>
      <c r="I170" s="489"/>
      <c r="J170" s="492">
        <v>166</v>
      </c>
      <c r="K170" s="492">
        <v>14</v>
      </c>
      <c r="L170" s="497">
        <f>IF(('Comparison Calculator'!$E$11-K170)&gt;=0,0,IFERROR(-PPMT($P$66/12,(J170-60),($F$1-5)*12,$P$65),0))</f>
        <v>0</v>
      </c>
      <c r="M170" s="497">
        <f>IF(('Comparison Calculator'!$E$11-K170)&gt;=0,$C$1*$P$66/12,IFERROR(-IPMT($P$66/12,(J170-60),($F$1-5)*12,$P$65,0),0))</f>
        <v>0</v>
      </c>
      <c r="N170" s="497">
        <f t="shared" si="65"/>
        <v>0</v>
      </c>
      <c r="O170" s="497">
        <f t="shared" si="78"/>
        <v>1800000</v>
      </c>
      <c r="P170" s="493"/>
      <c r="Q170" s="493"/>
      <c r="S170" s="492">
        <v>166</v>
      </c>
      <c r="T170" s="492">
        <v>14</v>
      </c>
      <c r="U170" s="497">
        <f>IF(('Comparison Calculator'!$E$11-T170)&gt;=0,0,IFERROR(-PPMT($Y$66/12,(S170-60),($F$1-5)*12,$Y$65),0))</f>
        <v>0</v>
      </c>
      <c r="V170" s="497">
        <f>IF(('Comparison Calculator'!$E$11-T170)&gt;=0,$C$1*$Y$66/12,IFERROR(-IPMT($Y$66/12,(S170-60),($F$1-5)*12,$Y$65,0),0))</f>
        <v>0</v>
      </c>
      <c r="W170" s="497">
        <f t="shared" si="66"/>
        <v>0</v>
      </c>
      <c r="X170" s="497">
        <f t="shared" si="79"/>
        <v>1800000</v>
      </c>
      <c r="Y170" s="493"/>
      <c r="Z170" s="493"/>
      <c r="AB170" s="492">
        <v>166</v>
      </c>
      <c r="AC170" s="492">
        <v>14</v>
      </c>
      <c r="AD170" s="497">
        <f>IF(('Comparison Calculator'!$E$11-AC170)&gt;=0,0,IFERROR(-PPMT($AH$66/12,(AB170-60),($F$1-5)*12,$AH$65),0))</f>
        <v>0</v>
      </c>
      <c r="AE170" s="497">
        <f>IF(('Comparison Calculator'!$E$11-AC170)&gt;=0,$C$1*$AH$66/12,IFERROR(-IPMT($AH$66/12,(AB170-60),($F$1-5)*12,$AH$65,0),0))</f>
        <v>0</v>
      </c>
      <c r="AF170" s="497">
        <f t="shared" si="67"/>
        <v>0</v>
      </c>
      <c r="AG170" s="497">
        <f t="shared" si="80"/>
        <v>1800000</v>
      </c>
      <c r="AH170" s="493"/>
      <c r="AI170" s="493"/>
      <c r="AK170" s="492">
        <v>166</v>
      </c>
      <c r="AL170" s="492">
        <v>14</v>
      </c>
      <c r="AM170" s="497">
        <f>IF(('Comparison Calculator'!$E$11-AL170)&gt;=0,0,IFERROR(-PPMT($AQ$66/12,(AK170-60),($F$1-5)*12,$AQ$65),0))</f>
        <v>0</v>
      </c>
      <c r="AN170" s="497">
        <f>IF(('Comparison Calculator'!$E$11-AL170)&gt;=0,$C$1*$AQ$66/12,IFERROR(-IPMT($AQ$66/12,(AK170-60),($F$1-5)*12,$AQ$65,0),0))</f>
        <v>0</v>
      </c>
      <c r="AO170" s="497">
        <f t="shared" si="68"/>
        <v>0</v>
      </c>
      <c r="AP170" s="497">
        <f t="shared" si="81"/>
        <v>1800000</v>
      </c>
      <c r="AQ170" s="493"/>
      <c r="AR170" s="493"/>
      <c r="AT170" s="492">
        <v>166</v>
      </c>
      <c r="AU170" s="492">
        <v>14</v>
      </c>
      <c r="AV170" s="497">
        <f>IF(('Comparison Calculator'!$E$11-AU170)&gt;=0,0,IFERROR(-PPMT($AZ$66/12,(AT170-60),($F$1-5)*12,$AZ$65),0))</f>
        <v>0</v>
      </c>
      <c r="AW170" s="497">
        <f>IF(('Comparison Calculator'!$E$11-AU170)&gt;=0,$C$1*$AZ$66/12,IFERROR(-IPMT($AZ$66/12,(AT170-60),($F$1-5)*12,$AZ$65,0),0))</f>
        <v>0</v>
      </c>
      <c r="AX170" s="497">
        <f t="shared" si="69"/>
        <v>0</v>
      </c>
      <c r="AY170" s="497">
        <f t="shared" si="82"/>
        <v>1800000</v>
      </c>
      <c r="AZ170" s="493"/>
      <c r="BA170" s="493"/>
      <c r="BC170" s="492">
        <v>166</v>
      </c>
      <c r="BD170" s="492">
        <v>14</v>
      </c>
      <c r="BE170" s="497">
        <f>IF(('Comparison Calculator'!$E$11-BD170)&gt;=0,0,IFERROR(-PPMT($BI$66/12,(BC170-60),($F$1-5)*12,$BI$65),0))</f>
        <v>0</v>
      </c>
      <c r="BF170" s="497">
        <f>IF(('Comparison Calculator'!$E$11-BD170)&gt;=0,$C$1*$BI$66/12,IFERROR(-IPMT($BI$66/12,(BC170-60),($F$1-5)*12,$BI$65,0),0))</f>
        <v>0</v>
      </c>
      <c r="BG170" s="497">
        <f t="shared" si="70"/>
        <v>0</v>
      </c>
      <c r="BH170" s="497">
        <f t="shared" si="83"/>
        <v>1800000</v>
      </c>
      <c r="BI170" s="493"/>
      <c r="BJ170" s="493"/>
      <c r="BK170" s="492">
        <v>166</v>
      </c>
      <c r="BL170" s="492">
        <v>14</v>
      </c>
      <c r="BM170" s="497">
        <f>IF(('Comparison Calculator'!$E$11-BL170)&gt;=0,0,IFERROR(-PPMT($BQ$66/12,(BK170-60),($F$1-5)*12,$BQ$65),0))</f>
        <v>0</v>
      </c>
      <c r="BN170" s="497">
        <f>IF(('Comparison Calculator'!$E$11-BL170)&gt;=0,$C$1*$BQ$66/12,IFERROR(-IPMT($BQ$66/12,(BK170-60),($F$1-5)*12,$BQ$65,0),0))</f>
        <v>0</v>
      </c>
      <c r="BO170" s="497">
        <f t="shared" si="71"/>
        <v>0</v>
      </c>
      <c r="BP170" s="497">
        <f t="shared" si="84"/>
        <v>1800000</v>
      </c>
      <c r="BQ170" s="493"/>
      <c r="BR170" s="493"/>
      <c r="BT170" s="492">
        <v>166</v>
      </c>
      <c r="BU170" s="492">
        <v>14</v>
      </c>
      <c r="BV170" s="497">
        <f>IF(('Comparison Calculator'!$E$11-BU170)&gt;=0,0,IFERROR(-PPMT($BZ$66/12,(BT170-60),($F$1-5)*12,$BZ$65),0))</f>
        <v>0</v>
      </c>
      <c r="BW170" s="497">
        <f>IF(('Comparison Calculator'!$E$11-BU170)&gt;=0,$C$1*$BZ$66/12,IFERROR(-IPMT($BZ$66/12,(BT170-60),($F$1-5)*12,$BZ$65,0),0))</f>
        <v>0</v>
      </c>
      <c r="BX170" s="497">
        <f t="shared" si="72"/>
        <v>0</v>
      </c>
      <c r="BY170" s="497">
        <f t="shared" si="85"/>
        <v>1800000</v>
      </c>
      <c r="BZ170" s="493"/>
      <c r="CA170" s="493"/>
      <c r="CC170" s="492">
        <v>166</v>
      </c>
      <c r="CD170" s="492">
        <v>14</v>
      </c>
      <c r="CE170" s="497">
        <f>IF(('Comparison Calculator'!$E$11-CD170)&gt;=0,0,IFERROR(-PPMT($CI$66/12,(CC170-60),($F$1-5)*12,$CI$65),0))</f>
        <v>0</v>
      </c>
      <c r="CF170" s="497">
        <f>IF(('Comparison Calculator'!$E$11-CD170)&gt;=0,$C$1*$CI$66/12,IFERROR(-IPMT($CI$66/12,(CC170-60),($F$1-5)*12,$CI$65,0),0))</f>
        <v>0</v>
      </c>
      <c r="CG170" s="497">
        <f t="shared" si="73"/>
        <v>0</v>
      </c>
      <c r="CH170" s="497">
        <f t="shared" si="86"/>
        <v>1800000</v>
      </c>
      <c r="CI170" s="493"/>
      <c r="CJ170" s="493"/>
      <c r="CL170" s="492">
        <v>166</v>
      </c>
      <c r="CM170" s="492">
        <v>14</v>
      </c>
      <c r="CN170" s="497">
        <f>IF(('Comparison Calculator'!$E$11-CM170)&gt;=0,0,IFERROR(-PPMT($CR$66/12,(CL170-60),($F$1-5)*12,$CR$65),0))</f>
        <v>0</v>
      </c>
      <c r="CO170" s="497">
        <f>IF(('Comparison Calculator'!$E$11-CM170)&gt;=0,$C$1*$CI$66/12,IFERROR(-IPMT($CI$66/12,(CL170-60),($F$1-5)*12,$CI$65,0),0))</f>
        <v>0</v>
      </c>
      <c r="CP170" s="497">
        <f t="shared" si="74"/>
        <v>0</v>
      </c>
      <c r="CQ170" s="497">
        <f t="shared" si="87"/>
        <v>1800000</v>
      </c>
      <c r="CR170" s="493"/>
      <c r="CS170" s="493"/>
      <c r="CU170" s="492">
        <v>166</v>
      </c>
      <c r="CV170" s="492">
        <v>14</v>
      </c>
      <c r="CW170" s="497">
        <f>IF(('Comparison Calculator'!$E$11-CV170)&gt;=0,0,IFERROR(-PPMT($DA$66/12,(CU170-60),($F$1-5)*12,$DA$65),0))</f>
        <v>0</v>
      </c>
      <c r="CX170" s="497">
        <f>IF(('Comparison Calculator'!$E$11-CV170)&gt;=0,$C$1*$DA$66/12,IFERROR(-IPMT($DA$66/12,(CU170-60),($F$1-5)*12,$DA$65,0),0))</f>
        <v>0</v>
      </c>
      <c r="CY170" s="497">
        <f t="shared" si="75"/>
        <v>0</v>
      </c>
      <c r="CZ170" s="497">
        <f t="shared" si="88"/>
        <v>1800000</v>
      </c>
      <c r="DA170" s="493"/>
      <c r="DB170" s="493"/>
      <c r="DD170" s="492">
        <v>166</v>
      </c>
      <c r="DE170" s="492">
        <v>14</v>
      </c>
      <c r="DF170" s="497">
        <f>IF(('Comparison Calculator'!$E$11-DE170)&gt;=0,0,IFERROR(-PPMT($DJ$66/12,(DD170-60),($F$1-5)*12,$DJ$65),0))</f>
        <v>0</v>
      </c>
      <c r="DG170" s="497">
        <f>IF(('Comparison Calculator'!$E$11-DE170)&gt;=0,$C$1*$DJ$66/12,IFERROR(-IPMT($DJ$66/12,(DD170-60),($F$1-5)*12,$DJ$65,0),0))</f>
        <v>0</v>
      </c>
      <c r="DH170" s="497">
        <f t="shared" si="76"/>
        <v>0</v>
      </c>
      <c r="DI170" s="497">
        <f t="shared" si="89"/>
        <v>1800000</v>
      </c>
      <c r="DJ170" s="493"/>
      <c r="DK170" s="493"/>
    </row>
    <row r="171" spans="1:115">
      <c r="A171" s="492">
        <v>167</v>
      </c>
      <c r="B171" s="492">
        <v>14</v>
      </c>
      <c r="C171" s="497">
        <f>IF(('Comparison Calculator'!$E$11-B171)&gt;=0,0,IFERROR(-PPMT($G$66/12,(A171-60),($F$1-5)*12,$G$65),0))</f>
        <v>0</v>
      </c>
      <c r="D171" s="497">
        <f>IF(('Comparison Calculator'!$E$11-B171)&gt;=0,$C$1*$G$66/12,IFERROR(-IPMT($G$66/12,(A171-60),($F$1-5)*12,$G$65,0),0))</f>
        <v>0</v>
      </c>
      <c r="E171" s="497">
        <f t="shared" si="64"/>
        <v>0</v>
      </c>
      <c r="F171" s="497">
        <f t="shared" si="77"/>
        <v>1800000</v>
      </c>
      <c r="G171" s="493"/>
      <c r="H171" s="493"/>
      <c r="I171" s="489"/>
      <c r="J171" s="492">
        <v>167</v>
      </c>
      <c r="K171" s="492">
        <v>14</v>
      </c>
      <c r="L171" s="497">
        <f>IF(('Comparison Calculator'!$E$11-K171)&gt;=0,0,IFERROR(-PPMT($P$66/12,(J171-60),($F$1-5)*12,$P$65),0))</f>
        <v>0</v>
      </c>
      <c r="M171" s="497">
        <f>IF(('Comparison Calculator'!$E$11-K171)&gt;=0,$C$1*$P$66/12,IFERROR(-IPMT($P$66/12,(J171-60),($F$1-5)*12,$P$65,0),0))</f>
        <v>0</v>
      </c>
      <c r="N171" s="497">
        <f t="shared" si="65"/>
        <v>0</v>
      </c>
      <c r="O171" s="497">
        <f t="shared" si="78"/>
        <v>1800000</v>
      </c>
      <c r="P171" s="493"/>
      <c r="Q171" s="493"/>
      <c r="S171" s="492">
        <v>167</v>
      </c>
      <c r="T171" s="492">
        <v>14</v>
      </c>
      <c r="U171" s="497">
        <f>IF(('Comparison Calculator'!$E$11-T171)&gt;=0,0,IFERROR(-PPMT($Y$66/12,(S171-60),($F$1-5)*12,$Y$65),0))</f>
        <v>0</v>
      </c>
      <c r="V171" s="497">
        <f>IF(('Comparison Calculator'!$E$11-T171)&gt;=0,$C$1*$Y$66/12,IFERROR(-IPMT($Y$66/12,(S171-60),($F$1-5)*12,$Y$65,0),0))</f>
        <v>0</v>
      </c>
      <c r="W171" s="497">
        <f t="shared" si="66"/>
        <v>0</v>
      </c>
      <c r="X171" s="497">
        <f t="shared" si="79"/>
        <v>1800000</v>
      </c>
      <c r="Y171" s="493"/>
      <c r="Z171" s="493"/>
      <c r="AB171" s="492">
        <v>167</v>
      </c>
      <c r="AC171" s="492">
        <v>14</v>
      </c>
      <c r="AD171" s="497">
        <f>IF(('Comparison Calculator'!$E$11-AC171)&gt;=0,0,IFERROR(-PPMT($AH$66/12,(AB171-60),($F$1-5)*12,$AH$65),0))</f>
        <v>0</v>
      </c>
      <c r="AE171" s="497">
        <f>IF(('Comparison Calculator'!$E$11-AC171)&gt;=0,$C$1*$AH$66/12,IFERROR(-IPMT($AH$66/12,(AB171-60),($F$1-5)*12,$AH$65,0),0))</f>
        <v>0</v>
      </c>
      <c r="AF171" s="497">
        <f t="shared" si="67"/>
        <v>0</v>
      </c>
      <c r="AG171" s="497">
        <f t="shared" si="80"/>
        <v>1800000</v>
      </c>
      <c r="AH171" s="493"/>
      <c r="AI171" s="493"/>
      <c r="AK171" s="492">
        <v>167</v>
      </c>
      <c r="AL171" s="492">
        <v>14</v>
      </c>
      <c r="AM171" s="497">
        <f>IF(('Comparison Calculator'!$E$11-AL171)&gt;=0,0,IFERROR(-PPMT($AQ$66/12,(AK171-60),($F$1-5)*12,$AQ$65),0))</f>
        <v>0</v>
      </c>
      <c r="AN171" s="497">
        <f>IF(('Comparison Calculator'!$E$11-AL171)&gt;=0,$C$1*$AQ$66/12,IFERROR(-IPMT($AQ$66/12,(AK171-60),($F$1-5)*12,$AQ$65,0),0))</f>
        <v>0</v>
      </c>
      <c r="AO171" s="497">
        <f t="shared" si="68"/>
        <v>0</v>
      </c>
      <c r="AP171" s="497">
        <f t="shared" si="81"/>
        <v>1800000</v>
      </c>
      <c r="AQ171" s="493"/>
      <c r="AR171" s="493"/>
      <c r="AT171" s="492">
        <v>167</v>
      </c>
      <c r="AU171" s="492">
        <v>14</v>
      </c>
      <c r="AV171" s="497">
        <f>IF(('Comparison Calculator'!$E$11-AU171)&gt;=0,0,IFERROR(-PPMT($AZ$66/12,(AT171-60),($F$1-5)*12,$AZ$65),0))</f>
        <v>0</v>
      </c>
      <c r="AW171" s="497">
        <f>IF(('Comparison Calculator'!$E$11-AU171)&gt;=0,$C$1*$AZ$66/12,IFERROR(-IPMT($AZ$66/12,(AT171-60),($F$1-5)*12,$AZ$65,0),0))</f>
        <v>0</v>
      </c>
      <c r="AX171" s="497">
        <f t="shared" si="69"/>
        <v>0</v>
      </c>
      <c r="AY171" s="497">
        <f t="shared" si="82"/>
        <v>1800000</v>
      </c>
      <c r="AZ171" s="493"/>
      <c r="BA171" s="493"/>
      <c r="BC171" s="492">
        <v>167</v>
      </c>
      <c r="BD171" s="492">
        <v>14</v>
      </c>
      <c r="BE171" s="497">
        <f>IF(('Comparison Calculator'!$E$11-BD171)&gt;=0,0,IFERROR(-PPMT($BI$66/12,(BC171-60),($F$1-5)*12,$BI$65),0))</f>
        <v>0</v>
      </c>
      <c r="BF171" s="497">
        <f>IF(('Comparison Calculator'!$E$11-BD171)&gt;=0,$C$1*$BI$66/12,IFERROR(-IPMT($BI$66/12,(BC171-60),($F$1-5)*12,$BI$65,0),0))</f>
        <v>0</v>
      </c>
      <c r="BG171" s="497">
        <f t="shared" si="70"/>
        <v>0</v>
      </c>
      <c r="BH171" s="497">
        <f t="shared" si="83"/>
        <v>1800000</v>
      </c>
      <c r="BI171" s="493"/>
      <c r="BJ171" s="493"/>
      <c r="BK171" s="492">
        <v>167</v>
      </c>
      <c r="BL171" s="492">
        <v>14</v>
      </c>
      <c r="BM171" s="497">
        <f>IF(('Comparison Calculator'!$E$11-BL171)&gt;=0,0,IFERROR(-PPMT($BQ$66/12,(BK171-60),($F$1-5)*12,$BQ$65),0))</f>
        <v>0</v>
      </c>
      <c r="BN171" s="497">
        <f>IF(('Comparison Calculator'!$E$11-BL171)&gt;=0,$C$1*$BQ$66/12,IFERROR(-IPMT($BQ$66/12,(BK171-60),($F$1-5)*12,$BQ$65,0),0))</f>
        <v>0</v>
      </c>
      <c r="BO171" s="497">
        <f t="shared" si="71"/>
        <v>0</v>
      </c>
      <c r="BP171" s="497">
        <f t="shared" si="84"/>
        <v>1800000</v>
      </c>
      <c r="BQ171" s="493"/>
      <c r="BR171" s="493"/>
      <c r="BT171" s="492">
        <v>167</v>
      </c>
      <c r="BU171" s="492">
        <v>14</v>
      </c>
      <c r="BV171" s="497">
        <f>IF(('Comparison Calculator'!$E$11-BU171)&gt;=0,0,IFERROR(-PPMT($BZ$66/12,(BT171-60),($F$1-5)*12,$BZ$65),0))</f>
        <v>0</v>
      </c>
      <c r="BW171" s="497">
        <f>IF(('Comparison Calculator'!$E$11-BU171)&gt;=0,$C$1*$BZ$66/12,IFERROR(-IPMT($BZ$66/12,(BT171-60),($F$1-5)*12,$BZ$65,0),0))</f>
        <v>0</v>
      </c>
      <c r="BX171" s="497">
        <f t="shared" si="72"/>
        <v>0</v>
      </c>
      <c r="BY171" s="497">
        <f t="shared" si="85"/>
        <v>1800000</v>
      </c>
      <c r="BZ171" s="493"/>
      <c r="CA171" s="493"/>
      <c r="CC171" s="492">
        <v>167</v>
      </c>
      <c r="CD171" s="492">
        <v>14</v>
      </c>
      <c r="CE171" s="497">
        <f>IF(('Comparison Calculator'!$E$11-CD171)&gt;=0,0,IFERROR(-PPMT($CI$66/12,(CC171-60),($F$1-5)*12,$CI$65),0))</f>
        <v>0</v>
      </c>
      <c r="CF171" s="497">
        <f>IF(('Comparison Calculator'!$E$11-CD171)&gt;=0,$C$1*$CI$66/12,IFERROR(-IPMT($CI$66/12,(CC171-60),($F$1-5)*12,$CI$65,0),0))</f>
        <v>0</v>
      </c>
      <c r="CG171" s="497">
        <f t="shared" si="73"/>
        <v>0</v>
      </c>
      <c r="CH171" s="497">
        <f t="shared" si="86"/>
        <v>1800000</v>
      </c>
      <c r="CI171" s="493"/>
      <c r="CJ171" s="493"/>
      <c r="CL171" s="492">
        <v>167</v>
      </c>
      <c r="CM171" s="492">
        <v>14</v>
      </c>
      <c r="CN171" s="497">
        <f>IF(('Comparison Calculator'!$E$11-CM171)&gt;=0,0,IFERROR(-PPMT($CR$66/12,(CL171-60),($F$1-5)*12,$CR$65),0))</f>
        <v>0</v>
      </c>
      <c r="CO171" s="497">
        <f>IF(('Comparison Calculator'!$E$11-CM171)&gt;=0,$C$1*$CI$66/12,IFERROR(-IPMT($CI$66/12,(CL171-60),($F$1-5)*12,$CI$65,0),0))</f>
        <v>0</v>
      </c>
      <c r="CP171" s="497">
        <f t="shared" si="74"/>
        <v>0</v>
      </c>
      <c r="CQ171" s="497">
        <f t="shared" si="87"/>
        <v>1800000</v>
      </c>
      <c r="CR171" s="493"/>
      <c r="CS171" s="493"/>
      <c r="CU171" s="492">
        <v>167</v>
      </c>
      <c r="CV171" s="492">
        <v>14</v>
      </c>
      <c r="CW171" s="497">
        <f>IF(('Comparison Calculator'!$E$11-CV171)&gt;=0,0,IFERROR(-PPMT($DA$66/12,(CU171-60),($F$1-5)*12,$DA$65),0))</f>
        <v>0</v>
      </c>
      <c r="CX171" s="497">
        <f>IF(('Comparison Calculator'!$E$11-CV171)&gt;=0,$C$1*$DA$66/12,IFERROR(-IPMT($DA$66/12,(CU171-60),($F$1-5)*12,$DA$65,0),0))</f>
        <v>0</v>
      </c>
      <c r="CY171" s="497">
        <f t="shared" si="75"/>
        <v>0</v>
      </c>
      <c r="CZ171" s="497">
        <f t="shared" si="88"/>
        <v>1800000</v>
      </c>
      <c r="DA171" s="493"/>
      <c r="DB171" s="493"/>
      <c r="DD171" s="492">
        <v>167</v>
      </c>
      <c r="DE171" s="492">
        <v>14</v>
      </c>
      <c r="DF171" s="497">
        <f>IF(('Comparison Calculator'!$E$11-DE171)&gt;=0,0,IFERROR(-PPMT($DJ$66/12,(DD171-60),($F$1-5)*12,$DJ$65),0))</f>
        <v>0</v>
      </c>
      <c r="DG171" s="497">
        <f>IF(('Comparison Calculator'!$E$11-DE171)&gt;=0,$C$1*$DJ$66/12,IFERROR(-IPMT($DJ$66/12,(DD171-60),($F$1-5)*12,$DJ$65,0),0))</f>
        <v>0</v>
      </c>
      <c r="DH171" s="497">
        <f t="shared" si="76"/>
        <v>0</v>
      </c>
      <c r="DI171" s="497">
        <f t="shared" si="89"/>
        <v>1800000</v>
      </c>
      <c r="DJ171" s="493"/>
      <c r="DK171" s="493"/>
    </row>
    <row r="172" spans="1:115">
      <c r="A172" s="492">
        <v>168</v>
      </c>
      <c r="B172" s="492">
        <v>14</v>
      </c>
      <c r="C172" s="497">
        <f>IF(('Comparison Calculator'!$E$11-B172)&gt;=0,0,IFERROR(-PPMT($G$66/12,(A172-60),($F$1-5)*12,$G$65),0))</f>
        <v>0</v>
      </c>
      <c r="D172" s="497">
        <f>IF(('Comparison Calculator'!$E$11-B172)&gt;=0,$C$1*$G$66/12,IFERROR(-IPMT($G$66/12,(A172-60),($F$1-5)*12,$G$65,0),0))</f>
        <v>0</v>
      </c>
      <c r="E172" s="497">
        <f t="shared" si="64"/>
        <v>0</v>
      </c>
      <c r="F172" s="497">
        <f t="shared" si="77"/>
        <v>1800000</v>
      </c>
      <c r="G172" s="493"/>
      <c r="H172" s="493"/>
      <c r="I172" s="489"/>
      <c r="J172" s="492">
        <v>168</v>
      </c>
      <c r="K172" s="492">
        <v>14</v>
      </c>
      <c r="L172" s="497">
        <f>IF(('Comparison Calculator'!$E$11-K172)&gt;=0,0,IFERROR(-PPMT($P$66/12,(J172-60),($F$1-5)*12,$P$65),0))</f>
        <v>0</v>
      </c>
      <c r="M172" s="497">
        <f>IF(('Comparison Calculator'!$E$11-K172)&gt;=0,$C$1*$P$66/12,IFERROR(-IPMT($P$66/12,(J172-60),($F$1-5)*12,$P$65,0),0))</f>
        <v>0</v>
      </c>
      <c r="N172" s="497">
        <f t="shared" si="65"/>
        <v>0</v>
      </c>
      <c r="O172" s="497">
        <f t="shared" si="78"/>
        <v>1800000</v>
      </c>
      <c r="P172" s="493"/>
      <c r="Q172" s="493"/>
      <c r="S172" s="492">
        <v>168</v>
      </c>
      <c r="T172" s="492">
        <v>14</v>
      </c>
      <c r="U172" s="497">
        <f>IF(('Comparison Calculator'!$E$11-T172)&gt;=0,0,IFERROR(-PPMT($Y$66/12,(S172-60),($F$1-5)*12,$Y$65),0))</f>
        <v>0</v>
      </c>
      <c r="V172" s="497">
        <f>IF(('Comparison Calculator'!$E$11-T172)&gt;=0,$C$1*$Y$66/12,IFERROR(-IPMT($Y$66/12,(S172-60),($F$1-5)*12,$Y$65,0),0))</f>
        <v>0</v>
      </c>
      <c r="W172" s="497">
        <f t="shared" si="66"/>
        <v>0</v>
      </c>
      <c r="X172" s="497">
        <f t="shared" si="79"/>
        <v>1800000</v>
      </c>
      <c r="Y172" s="493"/>
      <c r="Z172" s="493"/>
      <c r="AB172" s="492">
        <v>168</v>
      </c>
      <c r="AC172" s="492">
        <v>14</v>
      </c>
      <c r="AD172" s="497">
        <f>IF(('Comparison Calculator'!$E$11-AC172)&gt;=0,0,IFERROR(-PPMT($AH$66/12,(AB172-60),($F$1-5)*12,$AH$65),0))</f>
        <v>0</v>
      </c>
      <c r="AE172" s="497">
        <f>IF(('Comparison Calculator'!$E$11-AC172)&gt;=0,$C$1*$AH$66/12,IFERROR(-IPMT($AH$66/12,(AB172-60),($F$1-5)*12,$AH$65,0),0))</f>
        <v>0</v>
      </c>
      <c r="AF172" s="497">
        <f t="shared" si="67"/>
        <v>0</v>
      </c>
      <c r="AG172" s="497">
        <f t="shared" si="80"/>
        <v>1800000</v>
      </c>
      <c r="AH172" s="493"/>
      <c r="AI172" s="493"/>
      <c r="AK172" s="492">
        <v>168</v>
      </c>
      <c r="AL172" s="492">
        <v>14</v>
      </c>
      <c r="AM172" s="497">
        <f>IF(('Comparison Calculator'!$E$11-AL172)&gt;=0,0,IFERROR(-PPMT($AQ$66/12,(AK172-60),($F$1-5)*12,$AQ$65),0))</f>
        <v>0</v>
      </c>
      <c r="AN172" s="497">
        <f>IF(('Comparison Calculator'!$E$11-AL172)&gt;=0,$C$1*$AQ$66/12,IFERROR(-IPMT($AQ$66/12,(AK172-60),($F$1-5)*12,$AQ$65,0),0))</f>
        <v>0</v>
      </c>
      <c r="AO172" s="497">
        <f t="shared" si="68"/>
        <v>0</v>
      </c>
      <c r="AP172" s="497">
        <f t="shared" si="81"/>
        <v>1800000</v>
      </c>
      <c r="AQ172" s="493"/>
      <c r="AR172" s="493"/>
      <c r="AT172" s="492">
        <v>168</v>
      </c>
      <c r="AU172" s="492">
        <v>14</v>
      </c>
      <c r="AV172" s="497">
        <f>IF(('Comparison Calculator'!$E$11-AU172)&gt;=0,0,IFERROR(-PPMT($AZ$66/12,(AT172-60),($F$1-5)*12,$AZ$65),0))</f>
        <v>0</v>
      </c>
      <c r="AW172" s="497">
        <f>IF(('Comparison Calculator'!$E$11-AU172)&gt;=0,$C$1*$AZ$66/12,IFERROR(-IPMT($AZ$66/12,(AT172-60),($F$1-5)*12,$AZ$65,0),0))</f>
        <v>0</v>
      </c>
      <c r="AX172" s="497">
        <f t="shared" si="69"/>
        <v>0</v>
      </c>
      <c r="AY172" s="497">
        <f t="shared" si="82"/>
        <v>1800000</v>
      </c>
      <c r="AZ172" s="493"/>
      <c r="BA172" s="493"/>
      <c r="BC172" s="492">
        <v>168</v>
      </c>
      <c r="BD172" s="492">
        <v>14</v>
      </c>
      <c r="BE172" s="497">
        <f>IF(('Comparison Calculator'!$E$11-BD172)&gt;=0,0,IFERROR(-PPMT($BI$66/12,(BC172-60),($F$1-5)*12,$BI$65),0))</f>
        <v>0</v>
      </c>
      <c r="BF172" s="497">
        <f>IF(('Comparison Calculator'!$E$11-BD172)&gt;=0,$C$1*$BI$66/12,IFERROR(-IPMT($BI$66/12,(BC172-60),($F$1-5)*12,$BI$65,0),0))</f>
        <v>0</v>
      </c>
      <c r="BG172" s="497">
        <f t="shared" si="70"/>
        <v>0</v>
      </c>
      <c r="BH172" s="497">
        <f t="shared" si="83"/>
        <v>1800000</v>
      </c>
      <c r="BI172" s="493"/>
      <c r="BJ172" s="493"/>
      <c r="BK172" s="492">
        <v>168</v>
      </c>
      <c r="BL172" s="492">
        <v>14</v>
      </c>
      <c r="BM172" s="497">
        <f>IF(('Comparison Calculator'!$E$11-BL172)&gt;=0,0,IFERROR(-PPMT($BQ$66/12,(BK172-60),($F$1-5)*12,$BQ$65),0))</f>
        <v>0</v>
      </c>
      <c r="BN172" s="497">
        <f>IF(('Comparison Calculator'!$E$11-BL172)&gt;=0,$C$1*$BQ$66/12,IFERROR(-IPMT($BQ$66/12,(BK172-60),($F$1-5)*12,$BQ$65,0),0))</f>
        <v>0</v>
      </c>
      <c r="BO172" s="497">
        <f t="shared" si="71"/>
        <v>0</v>
      </c>
      <c r="BP172" s="497">
        <f t="shared" si="84"/>
        <v>1800000</v>
      </c>
      <c r="BQ172" s="493"/>
      <c r="BR172" s="493"/>
      <c r="BT172" s="492">
        <v>168</v>
      </c>
      <c r="BU172" s="492">
        <v>14</v>
      </c>
      <c r="BV172" s="497">
        <f>IF(('Comparison Calculator'!$E$11-BU172)&gt;=0,0,IFERROR(-PPMT($BZ$66/12,(BT172-60),($F$1-5)*12,$BZ$65),0))</f>
        <v>0</v>
      </c>
      <c r="BW172" s="497">
        <f>IF(('Comparison Calculator'!$E$11-BU172)&gt;=0,$C$1*$BZ$66/12,IFERROR(-IPMT($BZ$66/12,(BT172-60),($F$1-5)*12,$BZ$65,0),0))</f>
        <v>0</v>
      </c>
      <c r="BX172" s="497">
        <f t="shared" si="72"/>
        <v>0</v>
      </c>
      <c r="BY172" s="497">
        <f t="shared" si="85"/>
        <v>1800000</v>
      </c>
      <c r="BZ172" s="493"/>
      <c r="CA172" s="493"/>
      <c r="CC172" s="492">
        <v>168</v>
      </c>
      <c r="CD172" s="492">
        <v>14</v>
      </c>
      <c r="CE172" s="497">
        <f>IF(('Comparison Calculator'!$E$11-CD172)&gt;=0,0,IFERROR(-PPMT($CI$66/12,(CC172-60),($F$1-5)*12,$CI$65),0))</f>
        <v>0</v>
      </c>
      <c r="CF172" s="497">
        <f>IF(('Comparison Calculator'!$E$11-CD172)&gt;=0,$C$1*$CI$66/12,IFERROR(-IPMT($CI$66/12,(CC172-60),($F$1-5)*12,$CI$65,0),0))</f>
        <v>0</v>
      </c>
      <c r="CG172" s="497">
        <f t="shared" si="73"/>
        <v>0</v>
      </c>
      <c r="CH172" s="497">
        <f t="shared" si="86"/>
        <v>1800000</v>
      </c>
      <c r="CI172" s="493"/>
      <c r="CJ172" s="493"/>
      <c r="CL172" s="492">
        <v>168</v>
      </c>
      <c r="CM172" s="492">
        <v>14</v>
      </c>
      <c r="CN172" s="497">
        <f>IF(('Comparison Calculator'!$E$11-CM172)&gt;=0,0,IFERROR(-PPMT($CR$66/12,(CL172-60),($F$1-5)*12,$CR$65),0))</f>
        <v>0</v>
      </c>
      <c r="CO172" s="497">
        <f>IF(('Comparison Calculator'!$E$11-CM172)&gt;=0,$C$1*$CI$66/12,IFERROR(-IPMT($CI$66/12,(CL172-60),($F$1-5)*12,$CI$65,0),0))</f>
        <v>0</v>
      </c>
      <c r="CP172" s="497">
        <f t="shared" si="74"/>
        <v>0</v>
      </c>
      <c r="CQ172" s="497">
        <f t="shared" si="87"/>
        <v>1800000</v>
      </c>
      <c r="CR172" s="493"/>
      <c r="CS172" s="493"/>
      <c r="CU172" s="492">
        <v>168</v>
      </c>
      <c r="CV172" s="492">
        <v>14</v>
      </c>
      <c r="CW172" s="497">
        <f>IF(('Comparison Calculator'!$E$11-CV172)&gt;=0,0,IFERROR(-PPMT($DA$66/12,(CU172-60),($F$1-5)*12,$DA$65),0))</f>
        <v>0</v>
      </c>
      <c r="CX172" s="497">
        <f>IF(('Comparison Calculator'!$E$11-CV172)&gt;=0,$C$1*$DA$66/12,IFERROR(-IPMT($DA$66/12,(CU172-60),($F$1-5)*12,$DA$65,0),0))</f>
        <v>0</v>
      </c>
      <c r="CY172" s="497">
        <f t="shared" si="75"/>
        <v>0</v>
      </c>
      <c r="CZ172" s="497">
        <f t="shared" si="88"/>
        <v>1800000</v>
      </c>
      <c r="DA172" s="493"/>
      <c r="DB172" s="493"/>
      <c r="DD172" s="492">
        <v>168</v>
      </c>
      <c r="DE172" s="492">
        <v>14</v>
      </c>
      <c r="DF172" s="497">
        <f>IF(('Comparison Calculator'!$E$11-DE172)&gt;=0,0,IFERROR(-PPMT($DJ$66/12,(DD172-60),($F$1-5)*12,$DJ$65),0))</f>
        <v>0</v>
      </c>
      <c r="DG172" s="497">
        <f>IF(('Comparison Calculator'!$E$11-DE172)&gt;=0,$C$1*$DJ$66/12,IFERROR(-IPMT($DJ$66/12,(DD172-60),($F$1-5)*12,$DJ$65,0),0))</f>
        <v>0</v>
      </c>
      <c r="DH172" s="497">
        <f t="shared" si="76"/>
        <v>0</v>
      </c>
      <c r="DI172" s="497">
        <f t="shared" si="89"/>
        <v>1800000</v>
      </c>
      <c r="DJ172" s="493"/>
      <c r="DK172" s="493"/>
    </row>
    <row r="173" spans="1:115">
      <c r="A173" s="492">
        <v>169</v>
      </c>
      <c r="B173" s="492">
        <v>15</v>
      </c>
      <c r="C173" s="497">
        <f>IF(('Comparison Calculator'!$E$11-B173)&gt;=0,0,IFERROR(-PPMT($G$66/12,(A173-60),($F$1-5)*12,$G$65),0))</f>
        <v>0</v>
      </c>
      <c r="D173" s="497">
        <f>IF(('Comparison Calculator'!$E$11-B173)&gt;=0,$C$1*$G$66/12,IFERROR(-IPMT($G$66/12,(A173-60),($F$1-5)*12,$G$65,0),0))</f>
        <v>0</v>
      </c>
      <c r="E173" s="497">
        <f t="shared" si="64"/>
        <v>0</v>
      </c>
      <c r="F173" s="497">
        <f t="shared" si="77"/>
        <v>1800000</v>
      </c>
      <c r="G173" s="493"/>
      <c r="H173" s="493"/>
      <c r="I173" s="489"/>
      <c r="J173" s="492">
        <v>169</v>
      </c>
      <c r="K173" s="492">
        <v>15</v>
      </c>
      <c r="L173" s="497">
        <f>IF(('Comparison Calculator'!$E$11-K173)&gt;=0,0,IFERROR(-PPMT($P$66/12,(J173-60),($F$1-5)*12,$P$65),0))</f>
        <v>0</v>
      </c>
      <c r="M173" s="497">
        <f>IF(('Comparison Calculator'!$E$11-K173)&gt;=0,$C$1*$P$66/12,IFERROR(-IPMT($P$66/12,(J173-60),($F$1-5)*12,$P$65,0),0))</f>
        <v>0</v>
      </c>
      <c r="N173" s="497">
        <f t="shared" si="65"/>
        <v>0</v>
      </c>
      <c r="O173" s="497">
        <f t="shared" si="78"/>
        <v>1800000</v>
      </c>
      <c r="P173" s="493"/>
      <c r="Q173" s="493"/>
      <c r="S173" s="492">
        <v>169</v>
      </c>
      <c r="T173" s="492">
        <v>15</v>
      </c>
      <c r="U173" s="497">
        <f>IF(('Comparison Calculator'!$E$11-T173)&gt;=0,0,IFERROR(-PPMT($Y$66/12,(S173-60),($F$1-5)*12,$Y$65),0))</f>
        <v>0</v>
      </c>
      <c r="V173" s="497">
        <f>IF(('Comparison Calculator'!$E$11-T173)&gt;=0,$C$1*$Y$66/12,IFERROR(-IPMT($Y$66/12,(S173-60),($F$1-5)*12,$Y$65,0),0))</f>
        <v>0</v>
      </c>
      <c r="W173" s="497">
        <f t="shared" si="66"/>
        <v>0</v>
      </c>
      <c r="X173" s="497">
        <f t="shared" si="79"/>
        <v>1800000</v>
      </c>
      <c r="Y173" s="493"/>
      <c r="Z173" s="493"/>
      <c r="AB173" s="492">
        <v>169</v>
      </c>
      <c r="AC173" s="492">
        <v>15</v>
      </c>
      <c r="AD173" s="497">
        <f>IF(('Comparison Calculator'!$E$11-AC173)&gt;=0,0,IFERROR(-PPMT($AH$66/12,(AB173-60),($F$1-5)*12,$AH$65),0))</f>
        <v>0</v>
      </c>
      <c r="AE173" s="497">
        <f>IF(('Comparison Calculator'!$E$11-AC173)&gt;=0,$C$1*$AH$66/12,IFERROR(-IPMT($AH$66/12,(AB173-60),($F$1-5)*12,$AH$65,0),0))</f>
        <v>0</v>
      </c>
      <c r="AF173" s="497">
        <f t="shared" si="67"/>
        <v>0</v>
      </c>
      <c r="AG173" s="497">
        <f t="shared" si="80"/>
        <v>1800000</v>
      </c>
      <c r="AH173" s="493"/>
      <c r="AI173" s="493"/>
      <c r="AK173" s="492">
        <v>169</v>
      </c>
      <c r="AL173" s="492">
        <v>15</v>
      </c>
      <c r="AM173" s="497">
        <f>IF(('Comparison Calculator'!$E$11-AL173)&gt;=0,0,IFERROR(-PPMT($AQ$66/12,(AK173-60),($F$1-5)*12,$AQ$65),0))</f>
        <v>0</v>
      </c>
      <c r="AN173" s="497">
        <f>IF(('Comparison Calculator'!$E$11-AL173)&gt;=0,$C$1*$AQ$66/12,IFERROR(-IPMT($AQ$66/12,(AK173-60),($F$1-5)*12,$AQ$65,0),0))</f>
        <v>0</v>
      </c>
      <c r="AO173" s="497">
        <f t="shared" si="68"/>
        <v>0</v>
      </c>
      <c r="AP173" s="497">
        <f t="shared" si="81"/>
        <v>1800000</v>
      </c>
      <c r="AQ173" s="493"/>
      <c r="AR173" s="493"/>
      <c r="AT173" s="492">
        <v>169</v>
      </c>
      <c r="AU173" s="492">
        <v>15</v>
      </c>
      <c r="AV173" s="497">
        <f>IF(('Comparison Calculator'!$E$11-AU173)&gt;=0,0,IFERROR(-PPMT($AZ$66/12,(AT173-60),($F$1-5)*12,$AZ$65),0))</f>
        <v>0</v>
      </c>
      <c r="AW173" s="497">
        <f>IF(('Comparison Calculator'!$E$11-AU173)&gt;=0,$C$1*$AZ$66/12,IFERROR(-IPMT($AZ$66/12,(AT173-60),($F$1-5)*12,$AZ$65,0),0))</f>
        <v>0</v>
      </c>
      <c r="AX173" s="497">
        <f t="shared" si="69"/>
        <v>0</v>
      </c>
      <c r="AY173" s="497">
        <f t="shared" si="82"/>
        <v>1800000</v>
      </c>
      <c r="AZ173" s="493"/>
      <c r="BA173" s="493"/>
      <c r="BC173" s="492">
        <v>169</v>
      </c>
      <c r="BD173" s="492">
        <v>15</v>
      </c>
      <c r="BE173" s="497">
        <f>IF(('Comparison Calculator'!$E$11-BD173)&gt;=0,0,IFERROR(-PPMT($BI$66/12,(BC173-60),($F$1-5)*12,$BI$65),0))</f>
        <v>0</v>
      </c>
      <c r="BF173" s="497">
        <f>IF(('Comparison Calculator'!$E$11-BD173)&gt;=0,$C$1*$BI$66/12,IFERROR(-IPMT($BI$66/12,(BC173-60),($F$1-5)*12,$BI$65,0),0))</f>
        <v>0</v>
      </c>
      <c r="BG173" s="497">
        <f t="shared" si="70"/>
        <v>0</v>
      </c>
      <c r="BH173" s="497">
        <f t="shared" si="83"/>
        <v>1800000</v>
      </c>
      <c r="BI173" s="493"/>
      <c r="BJ173" s="493"/>
      <c r="BK173" s="492">
        <v>169</v>
      </c>
      <c r="BL173" s="492">
        <v>15</v>
      </c>
      <c r="BM173" s="497">
        <f>IF(('Comparison Calculator'!$E$11-BL173)&gt;=0,0,IFERROR(-PPMT($BQ$66/12,(BK173-60),($F$1-5)*12,$BQ$65),0))</f>
        <v>0</v>
      </c>
      <c r="BN173" s="497">
        <f>IF(('Comparison Calculator'!$E$11-BL173)&gt;=0,$C$1*$BQ$66/12,IFERROR(-IPMT($BQ$66/12,(BK173-60),($F$1-5)*12,$BQ$65,0),0))</f>
        <v>0</v>
      </c>
      <c r="BO173" s="497">
        <f t="shared" si="71"/>
        <v>0</v>
      </c>
      <c r="BP173" s="497">
        <f t="shared" si="84"/>
        <v>1800000</v>
      </c>
      <c r="BQ173" s="493"/>
      <c r="BR173" s="493"/>
      <c r="BT173" s="492">
        <v>169</v>
      </c>
      <c r="BU173" s="492">
        <v>15</v>
      </c>
      <c r="BV173" s="497">
        <f>IF(('Comparison Calculator'!$E$11-BU173)&gt;=0,0,IFERROR(-PPMT($BZ$66/12,(BT173-60),($F$1-5)*12,$BZ$65),0))</f>
        <v>0</v>
      </c>
      <c r="BW173" s="497">
        <f>IF(('Comparison Calculator'!$E$11-BU173)&gt;=0,$C$1*$BZ$66/12,IFERROR(-IPMT($BZ$66/12,(BT173-60),($F$1-5)*12,$BZ$65,0),0))</f>
        <v>0</v>
      </c>
      <c r="BX173" s="497">
        <f t="shared" si="72"/>
        <v>0</v>
      </c>
      <c r="BY173" s="497">
        <f t="shared" si="85"/>
        <v>1800000</v>
      </c>
      <c r="BZ173" s="493"/>
      <c r="CA173" s="493"/>
      <c r="CC173" s="492">
        <v>169</v>
      </c>
      <c r="CD173" s="492">
        <v>15</v>
      </c>
      <c r="CE173" s="497">
        <f>IF(('Comparison Calculator'!$E$11-CD173)&gt;=0,0,IFERROR(-PPMT($CI$66/12,(CC173-60),($F$1-5)*12,$CI$65),0))</f>
        <v>0</v>
      </c>
      <c r="CF173" s="497">
        <f>IF(('Comparison Calculator'!$E$11-CD173)&gt;=0,$C$1*$CI$66/12,IFERROR(-IPMT($CI$66/12,(CC173-60),($F$1-5)*12,$CI$65,0),0))</f>
        <v>0</v>
      </c>
      <c r="CG173" s="497">
        <f t="shared" si="73"/>
        <v>0</v>
      </c>
      <c r="CH173" s="497">
        <f t="shared" si="86"/>
        <v>1800000</v>
      </c>
      <c r="CI173" s="493"/>
      <c r="CJ173" s="493"/>
      <c r="CL173" s="492">
        <v>169</v>
      </c>
      <c r="CM173" s="492">
        <v>15</v>
      </c>
      <c r="CN173" s="497">
        <f>IF(('Comparison Calculator'!$E$11-CM173)&gt;=0,0,IFERROR(-PPMT($CR$66/12,(CL173-60),($F$1-5)*12,$CR$65),0))</f>
        <v>0</v>
      </c>
      <c r="CO173" s="497">
        <f>IF(('Comparison Calculator'!$E$11-CM173)&gt;=0,$C$1*$CI$66/12,IFERROR(-IPMT($CI$66/12,(CL173-60),($F$1-5)*12,$CI$65,0),0))</f>
        <v>0</v>
      </c>
      <c r="CP173" s="497">
        <f t="shared" si="74"/>
        <v>0</v>
      </c>
      <c r="CQ173" s="497">
        <f t="shared" si="87"/>
        <v>1800000</v>
      </c>
      <c r="CR173" s="493"/>
      <c r="CS173" s="493"/>
      <c r="CU173" s="492">
        <v>169</v>
      </c>
      <c r="CV173" s="492">
        <v>15</v>
      </c>
      <c r="CW173" s="497">
        <f>IF(('Comparison Calculator'!$E$11-CV173)&gt;=0,0,IFERROR(-PPMT($DA$66/12,(CU173-60),($F$1-5)*12,$DA$65),0))</f>
        <v>0</v>
      </c>
      <c r="CX173" s="497">
        <f>IF(('Comparison Calculator'!$E$11-CV173)&gt;=0,$C$1*$DA$66/12,IFERROR(-IPMT($DA$66/12,(CU173-60),($F$1-5)*12,$DA$65,0),0))</f>
        <v>0</v>
      </c>
      <c r="CY173" s="497">
        <f t="shared" si="75"/>
        <v>0</v>
      </c>
      <c r="CZ173" s="497">
        <f t="shared" si="88"/>
        <v>1800000</v>
      </c>
      <c r="DA173" s="493"/>
      <c r="DB173" s="493"/>
      <c r="DD173" s="492">
        <v>169</v>
      </c>
      <c r="DE173" s="492">
        <v>15</v>
      </c>
      <c r="DF173" s="497">
        <f>IF(('Comparison Calculator'!$E$11-DE173)&gt;=0,0,IFERROR(-PPMT($DJ$66/12,(DD173-60),($F$1-5)*12,$DJ$65),0))</f>
        <v>0</v>
      </c>
      <c r="DG173" s="497">
        <f>IF(('Comparison Calculator'!$E$11-DE173)&gt;=0,$C$1*$DJ$66/12,IFERROR(-IPMT($DJ$66/12,(DD173-60),($F$1-5)*12,$DJ$65,0),0))</f>
        <v>0</v>
      </c>
      <c r="DH173" s="497">
        <f t="shared" si="76"/>
        <v>0</v>
      </c>
      <c r="DI173" s="497">
        <f t="shared" si="89"/>
        <v>1800000</v>
      </c>
      <c r="DJ173" s="493"/>
      <c r="DK173" s="493"/>
    </row>
    <row r="174" spans="1:115">
      <c r="A174" s="492">
        <v>170</v>
      </c>
      <c r="B174" s="492">
        <v>15</v>
      </c>
      <c r="C174" s="497">
        <f>IF(('Comparison Calculator'!$E$11-B174)&gt;=0,0,IFERROR(-PPMT($G$66/12,(A174-60),($F$1-5)*12,$G$65),0))</f>
        <v>0</v>
      </c>
      <c r="D174" s="497">
        <f>IF(('Comparison Calculator'!$E$11-B174)&gt;=0,$C$1*$G$66/12,IFERROR(-IPMT($G$66/12,(A174-60),($F$1-5)*12,$G$65,0),0))</f>
        <v>0</v>
      </c>
      <c r="E174" s="497">
        <f t="shared" si="64"/>
        <v>0</v>
      </c>
      <c r="F174" s="497">
        <f t="shared" si="77"/>
        <v>1800000</v>
      </c>
      <c r="G174" s="493"/>
      <c r="H174" s="493"/>
      <c r="I174" s="489"/>
      <c r="J174" s="492">
        <v>170</v>
      </c>
      <c r="K174" s="492">
        <v>15</v>
      </c>
      <c r="L174" s="497">
        <f>IF(('Comparison Calculator'!$E$11-K174)&gt;=0,0,IFERROR(-PPMT($P$66/12,(J174-60),($F$1-5)*12,$P$65),0))</f>
        <v>0</v>
      </c>
      <c r="M174" s="497">
        <f>IF(('Comparison Calculator'!$E$11-K174)&gt;=0,$C$1*$P$66/12,IFERROR(-IPMT($P$66/12,(J174-60),($F$1-5)*12,$P$65,0),0))</f>
        <v>0</v>
      </c>
      <c r="N174" s="497">
        <f t="shared" si="65"/>
        <v>0</v>
      </c>
      <c r="O174" s="497">
        <f t="shared" si="78"/>
        <v>1800000</v>
      </c>
      <c r="P174" s="493"/>
      <c r="Q174" s="493"/>
      <c r="S174" s="492">
        <v>170</v>
      </c>
      <c r="T174" s="492">
        <v>15</v>
      </c>
      <c r="U174" s="497">
        <f>IF(('Comparison Calculator'!$E$11-T174)&gt;=0,0,IFERROR(-PPMT($Y$66/12,(S174-60),($F$1-5)*12,$Y$65),0))</f>
        <v>0</v>
      </c>
      <c r="V174" s="497">
        <f>IF(('Comparison Calculator'!$E$11-T174)&gt;=0,$C$1*$Y$66/12,IFERROR(-IPMT($Y$66/12,(S174-60),($F$1-5)*12,$Y$65,0),0))</f>
        <v>0</v>
      </c>
      <c r="W174" s="497">
        <f t="shared" si="66"/>
        <v>0</v>
      </c>
      <c r="X174" s="497">
        <f t="shared" si="79"/>
        <v>1800000</v>
      </c>
      <c r="Y174" s="493"/>
      <c r="Z174" s="493"/>
      <c r="AB174" s="492">
        <v>170</v>
      </c>
      <c r="AC174" s="492">
        <v>15</v>
      </c>
      <c r="AD174" s="497">
        <f>IF(('Comparison Calculator'!$E$11-AC174)&gt;=0,0,IFERROR(-PPMT($AH$66/12,(AB174-60),($F$1-5)*12,$AH$65),0))</f>
        <v>0</v>
      </c>
      <c r="AE174" s="497">
        <f>IF(('Comparison Calculator'!$E$11-AC174)&gt;=0,$C$1*$AH$66/12,IFERROR(-IPMT($AH$66/12,(AB174-60),($F$1-5)*12,$AH$65,0),0))</f>
        <v>0</v>
      </c>
      <c r="AF174" s="497">
        <f t="shared" si="67"/>
        <v>0</v>
      </c>
      <c r="AG174" s="497">
        <f t="shared" si="80"/>
        <v>1800000</v>
      </c>
      <c r="AH174" s="493"/>
      <c r="AI174" s="493"/>
      <c r="AK174" s="492">
        <v>170</v>
      </c>
      <c r="AL174" s="492">
        <v>15</v>
      </c>
      <c r="AM174" s="497">
        <f>IF(('Comparison Calculator'!$E$11-AL174)&gt;=0,0,IFERROR(-PPMT($AQ$66/12,(AK174-60),($F$1-5)*12,$AQ$65),0))</f>
        <v>0</v>
      </c>
      <c r="AN174" s="497">
        <f>IF(('Comparison Calculator'!$E$11-AL174)&gt;=0,$C$1*$AQ$66/12,IFERROR(-IPMT($AQ$66/12,(AK174-60),($F$1-5)*12,$AQ$65,0),0))</f>
        <v>0</v>
      </c>
      <c r="AO174" s="497">
        <f t="shared" si="68"/>
        <v>0</v>
      </c>
      <c r="AP174" s="497">
        <f t="shared" si="81"/>
        <v>1800000</v>
      </c>
      <c r="AQ174" s="493"/>
      <c r="AR174" s="493"/>
      <c r="AT174" s="492">
        <v>170</v>
      </c>
      <c r="AU174" s="492">
        <v>15</v>
      </c>
      <c r="AV174" s="497">
        <f>IF(('Comparison Calculator'!$E$11-AU174)&gt;=0,0,IFERROR(-PPMT($AZ$66/12,(AT174-60),($F$1-5)*12,$AZ$65),0))</f>
        <v>0</v>
      </c>
      <c r="AW174" s="497">
        <f>IF(('Comparison Calculator'!$E$11-AU174)&gt;=0,$C$1*$AZ$66/12,IFERROR(-IPMT($AZ$66/12,(AT174-60),($F$1-5)*12,$AZ$65,0),0))</f>
        <v>0</v>
      </c>
      <c r="AX174" s="497">
        <f t="shared" si="69"/>
        <v>0</v>
      </c>
      <c r="AY174" s="497">
        <f t="shared" si="82"/>
        <v>1800000</v>
      </c>
      <c r="AZ174" s="493"/>
      <c r="BA174" s="493"/>
      <c r="BC174" s="492">
        <v>170</v>
      </c>
      <c r="BD174" s="492">
        <v>15</v>
      </c>
      <c r="BE174" s="497">
        <f>IF(('Comparison Calculator'!$E$11-BD174)&gt;=0,0,IFERROR(-PPMT($BI$66/12,(BC174-60),($F$1-5)*12,$BI$65),0))</f>
        <v>0</v>
      </c>
      <c r="BF174" s="497">
        <f>IF(('Comparison Calculator'!$E$11-BD174)&gt;=0,$C$1*$BI$66/12,IFERROR(-IPMT($BI$66/12,(BC174-60),($F$1-5)*12,$BI$65,0),0))</f>
        <v>0</v>
      </c>
      <c r="BG174" s="497">
        <f t="shared" si="70"/>
        <v>0</v>
      </c>
      <c r="BH174" s="497">
        <f t="shared" si="83"/>
        <v>1800000</v>
      </c>
      <c r="BI174" s="493"/>
      <c r="BJ174" s="493"/>
      <c r="BK174" s="492">
        <v>170</v>
      </c>
      <c r="BL174" s="492">
        <v>15</v>
      </c>
      <c r="BM174" s="497">
        <f>IF(('Comparison Calculator'!$E$11-BL174)&gt;=0,0,IFERROR(-PPMT($BQ$66/12,(BK174-60),($F$1-5)*12,$BQ$65),0))</f>
        <v>0</v>
      </c>
      <c r="BN174" s="497">
        <f>IF(('Comparison Calculator'!$E$11-BL174)&gt;=0,$C$1*$BQ$66/12,IFERROR(-IPMT($BQ$66/12,(BK174-60),($F$1-5)*12,$BQ$65,0),0))</f>
        <v>0</v>
      </c>
      <c r="BO174" s="497">
        <f t="shared" si="71"/>
        <v>0</v>
      </c>
      <c r="BP174" s="497">
        <f t="shared" si="84"/>
        <v>1800000</v>
      </c>
      <c r="BQ174" s="493"/>
      <c r="BR174" s="493"/>
      <c r="BT174" s="492">
        <v>170</v>
      </c>
      <c r="BU174" s="492">
        <v>15</v>
      </c>
      <c r="BV174" s="497">
        <f>IF(('Comparison Calculator'!$E$11-BU174)&gt;=0,0,IFERROR(-PPMT($BZ$66/12,(BT174-60),($F$1-5)*12,$BZ$65),0))</f>
        <v>0</v>
      </c>
      <c r="BW174" s="497">
        <f>IF(('Comparison Calculator'!$E$11-BU174)&gt;=0,$C$1*$BZ$66/12,IFERROR(-IPMT($BZ$66/12,(BT174-60),($F$1-5)*12,$BZ$65,0),0))</f>
        <v>0</v>
      </c>
      <c r="BX174" s="497">
        <f t="shared" si="72"/>
        <v>0</v>
      </c>
      <c r="BY174" s="497">
        <f t="shared" si="85"/>
        <v>1800000</v>
      </c>
      <c r="BZ174" s="493"/>
      <c r="CA174" s="493"/>
      <c r="CC174" s="492">
        <v>170</v>
      </c>
      <c r="CD174" s="492">
        <v>15</v>
      </c>
      <c r="CE174" s="497">
        <f>IF(('Comparison Calculator'!$E$11-CD174)&gt;=0,0,IFERROR(-PPMT($CI$66/12,(CC174-60),($F$1-5)*12,$CI$65),0))</f>
        <v>0</v>
      </c>
      <c r="CF174" s="497">
        <f>IF(('Comparison Calculator'!$E$11-CD174)&gt;=0,$C$1*$CI$66/12,IFERROR(-IPMT($CI$66/12,(CC174-60),($F$1-5)*12,$CI$65,0),0))</f>
        <v>0</v>
      </c>
      <c r="CG174" s="497">
        <f t="shared" si="73"/>
        <v>0</v>
      </c>
      <c r="CH174" s="497">
        <f t="shared" si="86"/>
        <v>1800000</v>
      </c>
      <c r="CI174" s="493"/>
      <c r="CJ174" s="493"/>
      <c r="CL174" s="492">
        <v>170</v>
      </c>
      <c r="CM174" s="492">
        <v>15</v>
      </c>
      <c r="CN174" s="497">
        <f>IF(('Comparison Calculator'!$E$11-CM174)&gt;=0,0,IFERROR(-PPMT($CR$66/12,(CL174-60),($F$1-5)*12,$CR$65),0))</f>
        <v>0</v>
      </c>
      <c r="CO174" s="497">
        <f>IF(('Comparison Calculator'!$E$11-CM174)&gt;=0,$C$1*$CI$66/12,IFERROR(-IPMT($CI$66/12,(CL174-60),($F$1-5)*12,$CI$65,0),0))</f>
        <v>0</v>
      </c>
      <c r="CP174" s="497">
        <f t="shared" si="74"/>
        <v>0</v>
      </c>
      <c r="CQ174" s="497">
        <f t="shared" si="87"/>
        <v>1800000</v>
      </c>
      <c r="CR174" s="493"/>
      <c r="CS174" s="493"/>
      <c r="CU174" s="492">
        <v>170</v>
      </c>
      <c r="CV174" s="492">
        <v>15</v>
      </c>
      <c r="CW174" s="497">
        <f>IF(('Comparison Calculator'!$E$11-CV174)&gt;=0,0,IFERROR(-PPMT($DA$66/12,(CU174-60),($F$1-5)*12,$DA$65),0))</f>
        <v>0</v>
      </c>
      <c r="CX174" s="497">
        <f>IF(('Comparison Calculator'!$E$11-CV174)&gt;=0,$C$1*$DA$66/12,IFERROR(-IPMT($DA$66/12,(CU174-60),($F$1-5)*12,$DA$65,0),0))</f>
        <v>0</v>
      </c>
      <c r="CY174" s="497">
        <f t="shared" si="75"/>
        <v>0</v>
      </c>
      <c r="CZ174" s="497">
        <f t="shared" si="88"/>
        <v>1800000</v>
      </c>
      <c r="DA174" s="493"/>
      <c r="DB174" s="493"/>
      <c r="DD174" s="492">
        <v>170</v>
      </c>
      <c r="DE174" s="492">
        <v>15</v>
      </c>
      <c r="DF174" s="497">
        <f>IF(('Comparison Calculator'!$E$11-DE174)&gt;=0,0,IFERROR(-PPMT($DJ$66/12,(DD174-60),($F$1-5)*12,$DJ$65),0))</f>
        <v>0</v>
      </c>
      <c r="DG174" s="497">
        <f>IF(('Comparison Calculator'!$E$11-DE174)&gt;=0,$C$1*$DJ$66/12,IFERROR(-IPMT($DJ$66/12,(DD174-60),($F$1-5)*12,$DJ$65,0),0))</f>
        <v>0</v>
      </c>
      <c r="DH174" s="497">
        <f t="shared" si="76"/>
        <v>0</v>
      </c>
      <c r="DI174" s="497">
        <f t="shared" si="89"/>
        <v>1800000</v>
      </c>
      <c r="DJ174" s="493"/>
      <c r="DK174" s="493"/>
    </row>
    <row r="175" spans="1:115">
      <c r="A175" s="492">
        <v>171</v>
      </c>
      <c r="B175" s="492">
        <v>15</v>
      </c>
      <c r="C175" s="497">
        <f>IF(('Comparison Calculator'!$E$11-B175)&gt;=0,0,IFERROR(-PPMT($G$66/12,(A175-60),($F$1-5)*12,$G$65),0))</f>
        <v>0</v>
      </c>
      <c r="D175" s="497">
        <f>IF(('Comparison Calculator'!$E$11-B175)&gt;=0,$C$1*$G$66/12,IFERROR(-IPMT($G$66/12,(A175-60),($F$1-5)*12,$G$65,0),0))</f>
        <v>0</v>
      </c>
      <c r="E175" s="497">
        <f t="shared" si="64"/>
        <v>0</v>
      </c>
      <c r="F175" s="497">
        <f t="shared" si="77"/>
        <v>1800000</v>
      </c>
      <c r="G175" s="493"/>
      <c r="H175" s="493"/>
      <c r="I175" s="489"/>
      <c r="J175" s="492">
        <v>171</v>
      </c>
      <c r="K175" s="492">
        <v>15</v>
      </c>
      <c r="L175" s="497">
        <f>IF(('Comparison Calculator'!$E$11-K175)&gt;=0,0,IFERROR(-PPMT($P$66/12,(J175-60),($F$1-5)*12,$P$65),0))</f>
        <v>0</v>
      </c>
      <c r="M175" s="497">
        <f>IF(('Comparison Calculator'!$E$11-K175)&gt;=0,$C$1*$P$66/12,IFERROR(-IPMT($P$66/12,(J175-60),($F$1-5)*12,$P$65,0),0))</f>
        <v>0</v>
      </c>
      <c r="N175" s="497">
        <f t="shared" si="65"/>
        <v>0</v>
      </c>
      <c r="O175" s="497">
        <f t="shared" si="78"/>
        <v>1800000</v>
      </c>
      <c r="P175" s="493"/>
      <c r="Q175" s="493"/>
      <c r="S175" s="492">
        <v>171</v>
      </c>
      <c r="T175" s="492">
        <v>15</v>
      </c>
      <c r="U175" s="497">
        <f>IF(('Comparison Calculator'!$E$11-T175)&gt;=0,0,IFERROR(-PPMT($Y$66/12,(S175-60),($F$1-5)*12,$Y$65),0))</f>
        <v>0</v>
      </c>
      <c r="V175" s="497">
        <f>IF(('Comparison Calculator'!$E$11-T175)&gt;=0,$C$1*$Y$66/12,IFERROR(-IPMT($Y$66/12,(S175-60),($F$1-5)*12,$Y$65,0),0))</f>
        <v>0</v>
      </c>
      <c r="W175" s="497">
        <f t="shared" si="66"/>
        <v>0</v>
      </c>
      <c r="X175" s="497">
        <f t="shared" si="79"/>
        <v>1800000</v>
      </c>
      <c r="Y175" s="493"/>
      <c r="Z175" s="493"/>
      <c r="AB175" s="492">
        <v>171</v>
      </c>
      <c r="AC175" s="492">
        <v>15</v>
      </c>
      <c r="AD175" s="497">
        <f>IF(('Comparison Calculator'!$E$11-AC175)&gt;=0,0,IFERROR(-PPMT($AH$66/12,(AB175-60),($F$1-5)*12,$AH$65),0))</f>
        <v>0</v>
      </c>
      <c r="AE175" s="497">
        <f>IF(('Comparison Calculator'!$E$11-AC175)&gt;=0,$C$1*$AH$66/12,IFERROR(-IPMT($AH$66/12,(AB175-60),($F$1-5)*12,$AH$65,0),0))</f>
        <v>0</v>
      </c>
      <c r="AF175" s="497">
        <f t="shared" si="67"/>
        <v>0</v>
      </c>
      <c r="AG175" s="497">
        <f t="shared" si="80"/>
        <v>1800000</v>
      </c>
      <c r="AH175" s="493"/>
      <c r="AI175" s="493"/>
      <c r="AK175" s="492">
        <v>171</v>
      </c>
      <c r="AL175" s="492">
        <v>15</v>
      </c>
      <c r="AM175" s="497">
        <f>IF(('Comparison Calculator'!$E$11-AL175)&gt;=0,0,IFERROR(-PPMT($AQ$66/12,(AK175-60),($F$1-5)*12,$AQ$65),0))</f>
        <v>0</v>
      </c>
      <c r="AN175" s="497">
        <f>IF(('Comparison Calculator'!$E$11-AL175)&gt;=0,$C$1*$AQ$66/12,IFERROR(-IPMT($AQ$66/12,(AK175-60),($F$1-5)*12,$AQ$65,0),0))</f>
        <v>0</v>
      </c>
      <c r="AO175" s="497">
        <f t="shared" si="68"/>
        <v>0</v>
      </c>
      <c r="AP175" s="497">
        <f t="shared" si="81"/>
        <v>1800000</v>
      </c>
      <c r="AQ175" s="493"/>
      <c r="AR175" s="493"/>
      <c r="AT175" s="492">
        <v>171</v>
      </c>
      <c r="AU175" s="492">
        <v>15</v>
      </c>
      <c r="AV175" s="497">
        <f>IF(('Comparison Calculator'!$E$11-AU175)&gt;=0,0,IFERROR(-PPMT($AZ$66/12,(AT175-60),($F$1-5)*12,$AZ$65),0))</f>
        <v>0</v>
      </c>
      <c r="AW175" s="497">
        <f>IF(('Comparison Calculator'!$E$11-AU175)&gt;=0,$C$1*$AZ$66/12,IFERROR(-IPMT($AZ$66/12,(AT175-60),($F$1-5)*12,$AZ$65,0),0))</f>
        <v>0</v>
      </c>
      <c r="AX175" s="497">
        <f t="shared" si="69"/>
        <v>0</v>
      </c>
      <c r="AY175" s="497">
        <f t="shared" si="82"/>
        <v>1800000</v>
      </c>
      <c r="AZ175" s="493"/>
      <c r="BA175" s="493"/>
      <c r="BC175" s="492">
        <v>171</v>
      </c>
      <c r="BD175" s="492">
        <v>15</v>
      </c>
      <c r="BE175" s="497">
        <f>IF(('Comparison Calculator'!$E$11-BD175)&gt;=0,0,IFERROR(-PPMT($BI$66/12,(BC175-60),($F$1-5)*12,$BI$65),0))</f>
        <v>0</v>
      </c>
      <c r="BF175" s="497">
        <f>IF(('Comparison Calculator'!$E$11-BD175)&gt;=0,$C$1*$BI$66/12,IFERROR(-IPMT($BI$66/12,(BC175-60),($F$1-5)*12,$BI$65,0),0))</f>
        <v>0</v>
      </c>
      <c r="BG175" s="497">
        <f t="shared" si="70"/>
        <v>0</v>
      </c>
      <c r="BH175" s="497">
        <f t="shared" si="83"/>
        <v>1800000</v>
      </c>
      <c r="BI175" s="493"/>
      <c r="BJ175" s="493"/>
      <c r="BK175" s="492">
        <v>171</v>
      </c>
      <c r="BL175" s="492">
        <v>15</v>
      </c>
      <c r="BM175" s="497">
        <f>IF(('Comparison Calculator'!$E$11-BL175)&gt;=0,0,IFERROR(-PPMT($BQ$66/12,(BK175-60),($F$1-5)*12,$BQ$65),0))</f>
        <v>0</v>
      </c>
      <c r="BN175" s="497">
        <f>IF(('Comparison Calculator'!$E$11-BL175)&gt;=0,$C$1*$BQ$66/12,IFERROR(-IPMT($BQ$66/12,(BK175-60),($F$1-5)*12,$BQ$65,0),0))</f>
        <v>0</v>
      </c>
      <c r="BO175" s="497">
        <f t="shared" si="71"/>
        <v>0</v>
      </c>
      <c r="BP175" s="497">
        <f t="shared" si="84"/>
        <v>1800000</v>
      </c>
      <c r="BQ175" s="493"/>
      <c r="BR175" s="493"/>
      <c r="BT175" s="492">
        <v>171</v>
      </c>
      <c r="BU175" s="492">
        <v>15</v>
      </c>
      <c r="BV175" s="497">
        <f>IF(('Comparison Calculator'!$E$11-BU175)&gt;=0,0,IFERROR(-PPMT($BZ$66/12,(BT175-60),($F$1-5)*12,$BZ$65),0))</f>
        <v>0</v>
      </c>
      <c r="BW175" s="497">
        <f>IF(('Comparison Calculator'!$E$11-BU175)&gt;=0,$C$1*$BZ$66/12,IFERROR(-IPMT($BZ$66/12,(BT175-60),($F$1-5)*12,$BZ$65,0),0))</f>
        <v>0</v>
      </c>
      <c r="BX175" s="497">
        <f t="shared" si="72"/>
        <v>0</v>
      </c>
      <c r="BY175" s="497">
        <f t="shared" si="85"/>
        <v>1800000</v>
      </c>
      <c r="BZ175" s="493"/>
      <c r="CA175" s="493"/>
      <c r="CC175" s="492">
        <v>171</v>
      </c>
      <c r="CD175" s="492">
        <v>15</v>
      </c>
      <c r="CE175" s="497">
        <f>IF(('Comparison Calculator'!$E$11-CD175)&gt;=0,0,IFERROR(-PPMT($CI$66/12,(CC175-60),($F$1-5)*12,$CI$65),0))</f>
        <v>0</v>
      </c>
      <c r="CF175" s="497">
        <f>IF(('Comparison Calculator'!$E$11-CD175)&gt;=0,$C$1*$CI$66/12,IFERROR(-IPMT($CI$66/12,(CC175-60),($F$1-5)*12,$CI$65,0),0))</f>
        <v>0</v>
      </c>
      <c r="CG175" s="497">
        <f t="shared" si="73"/>
        <v>0</v>
      </c>
      <c r="CH175" s="497">
        <f t="shared" si="86"/>
        <v>1800000</v>
      </c>
      <c r="CI175" s="493"/>
      <c r="CJ175" s="493"/>
      <c r="CL175" s="492">
        <v>171</v>
      </c>
      <c r="CM175" s="492">
        <v>15</v>
      </c>
      <c r="CN175" s="497">
        <f>IF(('Comparison Calculator'!$E$11-CM175)&gt;=0,0,IFERROR(-PPMT($CR$66/12,(CL175-60),($F$1-5)*12,$CR$65),0))</f>
        <v>0</v>
      </c>
      <c r="CO175" s="497">
        <f>IF(('Comparison Calculator'!$E$11-CM175)&gt;=0,$C$1*$CI$66/12,IFERROR(-IPMT($CI$66/12,(CL175-60),($F$1-5)*12,$CI$65,0),0))</f>
        <v>0</v>
      </c>
      <c r="CP175" s="497">
        <f t="shared" si="74"/>
        <v>0</v>
      </c>
      <c r="CQ175" s="497">
        <f t="shared" si="87"/>
        <v>1800000</v>
      </c>
      <c r="CR175" s="493"/>
      <c r="CS175" s="493"/>
      <c r="CU175" s="492">
        <v>171</v>
      </c>
      <c r="CV175" s="492">
        <v>15</v>
      </c>
      <c r="CW175" s="497">
        <f>IF(('Comparison Calculator'!$E$11-CV175)&gt;=0,0,IFERROR(-PPMT($DA$66/12,(CU175-60),($F$1-5)*12,$DA$65),0))</f>
        <v>0</v>
      </c>
      <c r="CX175" s="497">
        <f>IF(('Comparison Calculator'!$E$11-CV175)&gt;=0,$C$1*$DA$66/12,IFERROR(-IPMT($DA$66/12,(CU175-60),($F$1-5)*12,$DA$65,0),0))</f>
        <v>0</v>
      </c>
      <c r="CY175" s="497">
        <f t="shared" si="75"/>
        <v>0</v>
      </c>
      <c r="CZ175" s="497">
        <f t="shared" si="88"/>
        <v>1800000</v>
      </c>
      <c r="DA175" s="493"/>
      <c r="DB175" s="493"/>
      <c r="DD175" s="492">
        <v>171</v>
      </c>
      <c r="DE175" s="492">
        <v>15</v>
      </c>
      <c r="DF175" s="497">
        <f>IF(('Comparison Calculator'!$E$11-DE175)&gt;=0,0,IFERROR(-PPMT($DJ$66/12,(DD175-60),($F$1-5)*12,$DJ$65),0))</f>
        <v>0</v>
      </c>
      <c r="DG175" s="497">
        <f>IF(('Comparison Calculator'!$E$11-DE175)&gt;=0,$C$1*$DJ$66/12,IFERROR(-IPMT($DJ$66/12,(DD175-60),($F$1-5)*12,$DJ$65,0),0))</f>
        <v>0</v>
      </c>
      <c r="DH175" s="497">
        <f t="shared" si="76"/>
        <v>0</v>
      </c>
      <c r="DI175" s="497">
        <f t="shared" si="89"/>
        <v>1800000</v>
      </c>
      <c r="DJ175" s="493"/>
      <c r="DK175" s="493"/>
    </row>
    <row r="176" spans="1:115">
      <c r="A176" s="492">
        <v>172</v>
      </c>
      <c r="B176" s="492">
        <v>15</v>
      </c>
      <c r="C176" s="497">
        <f>IF(('Comparison Calculator'!$E$11-B176)&gt;=0,0,IFERROR(-PPMT($G$66/12,(A176-60),($F$1-5)*12,$G$65),0))</f>
        <v>0</v>
      </c>
      <c r="D176" s="497">
        <f>IF(('Comparison Calculator'!$E$11-B176)&gt;=0,$C$1*$G$66/12,IFERROR(-IPMT($G$66/12,(A176-60),($F$1-5)*12,$G$65,0),0))</f>
        <v>0</v>
      </c>
      <c r="E176" s="497">
        <f t="shared" si="64"/>
        <v>0</v>
      </c>
      <c r="F176" s="497">
        <f t="shared" si="77"/>
        <v>1800000</v>
      </c>
      <c r="G176" s="493"/>
      <c r="H176" s="493"/>
      <c r="I176" s="489"/>
      <c r="J176" s="492">
        <v>172</v>
      </c>
      <c r="K176" s="492">
        <v>15</v>
      </c>
      <c r="L176" s="497">
        <f>IF(('Comparison Calculator'!$E$11-K176)&gt;=0,0,IFERROR(-PPMT($P$66/12,(J176-60),($F$1-5)*12,$P$65),0))</f>
        <v>0</v>
      </c>
      <c r="M176" s="497">
        <f>IF(('Comparison Calculator'!$E$11-K176)&gt;=0,$C$1*$P$66/12,IFERROR(-IPMT($P$66/12,(J176-60),($F$1-5)*12,$P$65,0),0))</f>
        <v>0</v>
      </c>
      <c r="N176" s="497">
        <f t="shared" si="65"/>
        <v>0</v>
      </c>
      <c r="O176" s="497">
        <f t="shared" si="78"/>
        <v>1800000</v>
      </c>
      <c r="P176" s="493"/>
      <c r="Q176" s="493"/>
      <c r="S176" s="492">
        <v>172</v>
      </c>
      <c r="T176" s="492">
        <v>15</v>
      </c>
      <c r="U176" s="497">
        <f>IF(('Comparison Calculator'!$E$11-T176)&gt;=0,0,IFERROR(-PPMT($Y$66/12,(S176-60),($F$1-5)*12,$Y$65),0))</f>
        <v>0</v>
      </c>
      <c r="V176" s="497">
        <f>IF(('Comparison Calculator'!$E$11-T176)&gt;=0,$C$1*$Y$66/12,IFERROR(-IPMT($Y$66/12,(S176-60),($F$1-5)*12,$Y$65,0),0))</f>
        <v>0</v>
      </c>
      <c r="W176" s="497">
        <f t="shared" si="66"/>
        <v>0</v>
      </c>
      <c r="X176" s="497">
        <f t="shared" si="79"/>
        <v>1800000</v>
      </c>
      <c r="Y176" s="493"/>
      <c r="Z176" s="493"/>
      <c r="AB176" s="492">
        <v>172</v>
      </c>
      <c r="AC176" s="492">
        <v>15</v>
      </c>
      <c r="AD176" s="497">
        <f>IF(('Comparison Calculator'!$E$11-AC176)&gt;=0,0,IFERROR(-PPMT($AH$66/12,(AB176-60),($F$1-5)*12,$AH$65),0))</f>
        <v>0</v>
      </c>
      <c r="AE176" s="497">
        <f>IF(('Comparison Calculator'!$E$11-AC176)&gt;=0,$C$1*$AH$66/12,IFERROR(-IPMT($AH$66/12,(AB176-60),($F$1-5)*12,$AH$65,0),0))</f>
        <v>0</v>
      </c>
      <c r="AF176" s="497">
        <f t="shared" si="67"/>
        <v>0</v>
      </c>
      <c r="AG176" s="497">
        <f t="shared" si="80"/>
        <v>1800000</v>
      </c>
      <c r="AH176" s="493"/>
      <c r="AI176" s="493"/>
      <c r="AK176" s="492">
        <v>172</v>
      </c>
      <c r="AL176" s="492">
        <v>15</v>
      </c>
      <c r="AM176" s="497">
        <f>IF(('Comparison Calculator'!$E$11-AL176)&gt;=0,0,IFERROR(-PPMT($AQ$66/12,(AK176-60),($F$1-5)*12,$AQ$65),0))</f>
        <v>0</v>
      </c>
      <c r="AN176" s="497">
        <f>IF(('Comparison Calculator'!$E$11-AL176)&gt;=0,$C$1*$AQ$66/12,IFERROR(-IPMT($AQ$66/12,(AK176-60),($F$1-5)*12,$AQ$65,0),0))</f>
        <v>0</v>
      </c>
      <c r="AO176" s="497">
        <f t="shared" si="68"/>
        <v>0</v>
      </c>
      <c r="AP176" s="497">
        <f t="shared" si="81"/>
        <v>1800000</v>
      </c>
      <c r="AQ176" s="493"/>
      <c r="AR176" s="493"/>
      <c r="AT176" s="492">
        <v>172</v>
      </c>
      <c r="AU176" s="492">
        <v>15</v>
      </c>
      <c r="AV176" s="497">
        <f>IF(('Comparison Calculator'!$E$11-AU176)&gt;=0,0,IFERROR(-PPMT($AZ$66/12,(AT176-60),($F$1-5)*12,$AZ$65),0))</f>
        <v>0</v>
      </c>
      <c r="AW176" s="497">
        <f>IF(('Comparison Calculator'!$E$11-AU176)&gt;=0,$C$1*$AZ$66/12,IFERROR(-IPMT($AZ$66/12,(AT176-60),($F$1-5)*12,$AZ$65,0),0))</f>
        <v>0</v>
      </c>
      <c r="AX176" s="497">
        <f t="shared" si="69"/>
        <v>0</v>
      </c>
      <c r="AY176" s="497">
        <f t="shared" si="82"/>
        <v>1800000</v>
      </c>
      <c r="AZ176" s="493"/>
      <c r="BA176" s="493"/>
      <c r="BC176" s="492">
        <v>172</v>
      </c>
      <c r="BD176" s="492">
        <v>15</v>
      </c>
      <c r="BE176" s="497">
        <f>IF(('Comparison Calculator'!$E$11-BD176)&gt;=0,0,IFERROR(-PPMT($BI$66/12,(BC176-60),($F$1-5)*12,$BI$65),0))</f>
        <v>0</v>
      </c>
      <c r="BF176" s="497">
        <f>IF(('Comparison Calculator'!$E$11-BD176)&gt;=0,$C$1*$BI$66/12,IFERROR(-IPMT($BI$66/12,(BC176-60),($F$1-5)*12,$BI$65,0),0))</f>
        <v>0</v>
      </c>
      <c r="BG176" s="497">
        <f t="shared" si="70"/>
        <v>0</v>
      </c>
      <c r="BH176" s="497">
        <f t="shared" si="83"/>
        <v>1800000</v>
      </c>
      <c r="BI176" s="493"/>
      <c r="BJ176" s="493"/>
      <c r="BK176" s="492">
        <v>172</v>
      </c>
      <c r="BL176" s="492">
        <v>15</v>
      </c>
      <c r="BM176" s="497">
        <f>IF(('Comparison Calculator'!$E$11-BL176)&gt;=0,0,IFERROR(-PPMT($BQ$66/12,(BK176-60),($F$1-5)*12,$BQ$65),0))</f>
        <v>0</v>
      </c>
      <c r="BN176" s="497">
        <f>IF(('Comparison Calculator'!$E$11-BL176)&gt;=0,$C$1*$BQ$66/12,IFERROR(-IPMT($BQ$66/12,(BK176-60),($F$1-5)*12,$BQ$65,0),0))</f>
        <v>0</v>
      </c>
      <c r="BO176" s="497">
        <f t="shared" si="71"/>
        <v>0</v>
      </c>
      <c r="BP176" s="497">
        <f t="shared" si="84"/>
        <v>1800000</v>
      </c>
      <c r="BQ176" s="493"/>
      <c r="BR176" s="493"/>
      <c r="BT176" s="492">
        <v>172</v>
      </c>
      <c r="BU176" s="492">
        <v>15</v>
      </c>
      <c r="BV176" s="497">
        <f>IF(('Comparison Calculator'!$E$11-BU176)&gt;=0,0,IFERROR(-PPMT($BZ$66/12,(BT176-60),($F$1-5)*12,$BZ$65),0))</f>
        <v>0</v>
      </c>
      <c r="BW176" s="497">
        <f>IF(('Comparison Calculator'!$E$11-BU176)&gt;=0,$C$1*$BZ$66/12,IFERROR(-IPMT($BZ$66/12,(BT176-60),($F$1-5)*12,$BZ$65,0),0))</f>
        <v>0</v>
      </c>
      <c r="BX176" s="497">
        <f t="shared" si="72"/>
        <v>0</v>
      </c>
      <c r="BY176" s="497">
        <f t="shared" si="85"/>
        <v>1800000</v>
      </c>
      <c r="BZ176" s="493"/>
      <c r="CA176" s="493"/>
      <c r="CC176" s="492">
        <v>172</v>
      </c>
      <c r="CD176" s="492">
        <v>15</v>
      </c>
      <c r="CE176" s="497">
        <f>IF(('Comparison Calculator'!$E$11-CD176)&gt;=0,0,IFERROR(-PPMT($CI$66/12,(CC176-60),($F$1-5)*12,$CI$65),0))</f>
        <v>0</v>
      </c>
      <c r="CF176" s="497">
        <f>IF(('Comparison Calculator'!$E$11-CD176)&gt;=0,$C$1*$CI$66/12,IFERROR(-IPMT($CI$66/12,(CC176-60),($F$1-5)*12,$CI$65,0),0))</f>
        <v>0</v>
      </c>
      <c r="CG176" s="497">
        <f t="shared" si="73"/>
        <v>0</v>
      </c>
      <c r="CH176" s="497">
        <f t="shared" si="86"/>
        <v>1800000</v>
      </c>
      <c r="CI176" s="493"/>
      <c r="CJ176" s="493"/>
      <c r="CL176" s="492">
        <v>172</v>
      </c>
      <c r="CM176" s="492">
        <v>15</v>
      </c>
      <c r="CN176" s="497">
        <f>IF(('Comparison Calculator'!$E$11-CM176)&gt;=0,0,IFERROR(-PPMT($CR$66/12,(CL176-60),($F$1-5)*12,$CR$65),0))</f>
        <v>0</v>
      </c>
      <c r="CO176" s="497">
        <f>IF(('Comparison Calculator'!$E$11-CM176)&gt;=0,$C$1*$CI$66/12,IFERROR(-IPMT($CI$66/12,(CL176-60),($F$1-5)*12,$CI$65,0),0))</f>
        <v>0</v>
      </c>
      <c r="CP176" s="497">
        <f t="shared" si="74"/>
        <v>0</v>
      </c>
      <c r="CQ176" s="497">
        <f t="shared" si="87"/>
        <v>1800000</v>
      </c>
      <c r="CR176" s="493"/>
      <c r="CS176" s="493"/>
      <c r="CU176" s="492">
        <v>172</v>
      </c>
      <c r="CV176" s="492">
        <v>15</v>
      </c>
      <c r="CW176" s="497">
        <f>IF(('Comparison Calculator'!$E$11-CV176)&gt;=0,0,IFERROR(-PPMT($DA$66/12,(CU176-60),($F$1-5)*12,$DA$65),0))</f>
        <v>0</v>
      </c>
      <c r="CX176" s="497">
        <f>IF(('Comparison Calculator'!$E$11-CV176)&gt;=0,$C$1*$DA$66/12,IFERROR(-IPMT($DA$66/12,(CU176-60),($F$1-5)*12,$DA$65,0),0))</f>
        <v>0</v>
      </c>
      <c r="CY176" s="497">
        <f t="shared" si="75"/>
        <v>0</v>
      </c>
      <c r="CZ176" s="497">
        <f t="shared" si="88"/>
        <v>1800000</v>
      </c>
      <c r="DA176" s="493"/>
      <c r="DB176" s="493"/>
      <c r="DD176" s="492">
        <v>172</v>
      </c>
      <c r="DE176" s="492">
        <v>15</v>
      </c>
      <c r="DF176" s="497">
        <f>IF(('Comparison Calculator'!$E$11-DE176)&gt;=0,0,IFERROR(-PPMT($DJ$66/12,(DD176-60),($F$1-5)*12,$DJ$65),0))</f>
        <v>0</v>
      </c>
      <c r="DG176" s="497">
        <f>IF(('Comparison Calculator'!$E$11-DE176)&gt;=0,$C$1*$DJ$66/12,IFERROR(-IPMT($DJ$66/12,(DD176-60),($F$1-5)*12,$DJ$65,0),0))</f>
        <v>0</v>
      </c>
      <c r="DH176" s="497">
        <f t="shared" si="76"/>
        <v>0</v>
      </c>
      <c r="DI176" s="497">
        <f t="shared" si="89"/>
        <v>1800000</v>
      </c>
      <c r="DJ176" s="493"/>
      <c r="DK176" s="493"/>
    </row>
    <row r="177" spans="1:115">
      <c r="A177" s="492">
        <v>173</v>
      </c>
      <c r="B177" s="492">
        <v>15</v>
      </c>
      <c r="C177" s="497">
        <f>IF(('Comparison Calculator'!$E$11-B177)&gt;=0,0,IFERROR(-PPMT($G$66/12,(A177-60),($F$1-5)*12,$G$65),0))</f>
        <v>0</v>
      </c>
      <c r="D177" s="497">
        <f>IF(('Comparison Calculator'!$E$11-B177)&gt;=0,$C$1*$G$66/12,IFERROR(-IPMT($G$66/12,(A177-60),($F$1-5)*12,$G$65,0),0))</f>
        <v>0</v>
      </c>
      <c r="E177" s="497">
        <f t="shared" si="64"/>
        <v>0</v>
      </c>
      <c r="F177" s="497">
        <f t="shared" si="77"/>
        <v>1800000</v>
      </c>
      <c r="G177" s="493"/>
      <c r="H177" s="493"/>
      <c r="I177" s="489"/>
      <c r="J177" s="492">
        <v>173</v>
      </c>
      <c r="K177" s="492">
        <v>15</v>
      </c>
      <c r="L177" s="497">
        <f>IF(('Comparison Calculator'!$E$11-K177)&gt;=0,0,IFERROR(-PPMT($P$66/12,(J177-60),($F$1-5)*12,$P$65),0))</f>
        <v>0</v>
      </c>
      <c r="M177" s="497">
        <f>IF(('Comparison Calculator'!$E$11-K177)&gt;=0,$C$1*$P$66/12,IFERROR(-IPMT($P$66/12,(J177-60),($F$1-5)*12,$P$65,0),0))</f>
        <v>0</v>
      </c>
      <c r="N177" s="497">
        <f t="shared" si="65"/>
        <v>0</v>
      </c>
      <c r="O177" s="497">
        <f t="shared" si="78"/>
        <v>1800000</v>
      </c>
      <c r="P177" s="493"/>
      <c r="Q177" s="493"/>
      <c r="S177" s="492">
        <v>173</v>
      </c>
      <c r="T177" s="492">
        <v>15</v>
      </c>
      <c r="U177" s="497">
        <f>IF(('Comparison Calculator'!$E$11-T177)&gt;=0,0,IFERROR(-PPMT($Y$66/12,(S177-60),($F$1-5)*12,$Y$65),0))</f>
        <v>0</v>
      </c>
      <c r="V177" s="497">
        <f>IF(('Comparison Calculator'!$E$11-T177)&gt;=0,$C$1*$Y$66/12,IFERROR(-IPMT($Y$66/12,(S177-60),($F$1-5)*12,$Y$65,0),0))</f>
        <v>0</v>
      </c>
      <c r="W177" s="497">
        <f t="shared" si="66"/>
        <v>0</v>
      </c>
      <c r="X177" s="497">
        <f t="shared" si="79"/>
        <v>1800000</v>
      </c>
      <c r="Y177" s="493"/>
      <c r="Z177" s="493"/>
      <c r="AB177" s="492">
        <v>173</v>
      </c>
      <c r="AC177" s="492">
        <v>15</v>
      </c>
      <c r="AD177" s="497">
        <f>IF(('Comparison Calculator'!$E$11-AC177)&gt;=0,0,IFERROR(-PPMT($AH$66/12,(AB177-60),($F$1-5)*12,$AH$65),0))</f>
        <v>0</v>
      </c>
      <c r="AE177" s="497">
        <f>IF(('Comparison Calculator'!$E$11-AC177)&gt;=0,$C$1*$AH$66/12,IFERROR(-IPMT($AH$66/12,(AB177-60),($F$1-5)*12,$AH$65,0),0))</f>
        <v>0</v>
      </c>
      <c r="AF177" s="497">
        <f t="shared" si="67"/>
        <v>0</v>
      </c>
      <c r="AG177" s="497">
        <f t="shared" si="80"/>
        <v>1800000</v>
      </c>
      <c r="AH177" s="493"/>
      <c r="AI177" s="493"/>
      <c r="AK177" s="492">
        <v>173</v>
      </c>
      <c r="AL177" s="492">
        <v>15</v>
      </c>
      <c r="AM177" s="497">
        <f>IF(('Comparison Calculator'!$E$11-AL177)&gt;=0,0,IFERROR(-PPMT($AQ$66/12,(AK177-60),($F$1-5)*12,$AQ$65),0))</f>
        <v>0</v>
      </c>
      <c r="AN177" s="497">
        <f>IF(('Comparison Calculator'!$E$11-AL177)&gt;=0,$C$1*$AQ$66/12,IFERROR(-IPMT($AQ$66/12,(AK177-60),($F$1-5)*12,$AQ$65,0),0))</f>
        <v>0</v>
      </c>
      <c r="AO177" s="497">
        <f t="shared" si="68"/>
        <v>0</v>
      </c>
      <c r="AP177" s="497">
        <f t="shared" si="81"/>
        <v>1800000</v>
      </c>
      <c r="AQ177" s="493"/>
      <c r="AR177" s="493"/>
      <c r="AT177" s="492">
        <v>173</v>
      </c>
      <c r="AU177" s="492">
        <v>15</v>
      </c>
      <c r="AV177" s="497">
        <f>IF(('Comparison Calculator'!$E$11-AU177)&gt;=0,0,IFERROR(-PPMT($AZ$66/12,(AT177-60),($F$1-5)*12,$AZ$65),0))</f>
        <v>0</v>
      </c>
      <c r="AW177" s="497">
        <f>IF(('Comparison Calculator'!$E$11-AU177)&gt;=0,$C$1*$AZ$66/12,IFERROR(-IPMT($AZ$66/12,(AT177-60),($F$1-5)*12,$AZ$65,0),0))</f>
        <v>0</v>
      </c>
      <c r="AX177" s="497">
        <f t="shared" si="69"/>
        <v>0</v>
      </c>
      <c r="AY177" s="497">
        <f t="shared" si="82"/>
        <v>1800000</v>
      </c>
      <c r="AZ177" s="493"/>
      <c r="BA177" s="493"/>
      <c r="BC177" s="492">
        <v>173</v>
      </c>
      <c r="BD177" s="492">
        <v>15</v>
      </c>
      <c r="BE177" s="497">
        <f>IF(('Comparison Calculator'!$E$11-BD177)&gt;=0,0,IFERROR(-PPMT($BI$66/12,(BC177-60),($F$1-5)*12,$BI$65),0))</f>
        <v>0</v>
      </c>
      <c r="BF177" s="497">
        <f>IF(('Comparison Calculator'!$E$11-BD177)&gt;=0,$C$1*$BI$66/12,IFERROR(-IPMT($BI$66/12,(BC177-60),($F$1-5)*12,$BI$65,0),0))</f>
        <v>0</v>
      </c>
      <c r="BG177" s="497">
        <f t="shared" si="70"/>
        <v>0</v>
      </c>
      <c r="BH177" s="497">
        <f t="shared" si="83"/>
        <v>1800000</v>
      </c>
      <c r="BI177" s="493"/>
      <c r="BJ177" s="493"/>
      <c r="BK177" s="492">
        <v>173</v>
      </c>
      <c r="BL177" s="492">
        <v>15</v>
      </c>
      <c r="BM177" s="497">
        <f>IF(('Comparison Calculator'!$E$11-BL177)&gt;=0,0,IFERROR(-PPMT($BQ$66/12,(BK177-60),($F$1-5)*12,$BQ$65),0))</f>
        <v>0</v>
      </c>
      <c r="BN177" s="497">
        <f>IF(('Comparison Calculator'!$E$11-BL177)&gt;=0,$C$1*$BQ$66/12,IFERROR(-IPMT($BQ$66/12,(BK177-60),($F$1-5)*12,$BQ$65,0),0))</f>
        <v>0</v>
      </c>
      <c r="BO177" s="497">
        <f t="shared" si="71"/>
        <v>0</v>
      </c>
      <c r="BP177" s="497">
        <f t="shared" si="84"/>
        <v>1800000</v>
      </c>
      <c r="BQ177" s="493"/>
      <c r="BR177" s="493"/>
      <c r="BT177" s="492">
        <v>173</v>
      </c>
      <c r="BU177" s="492">
        <v>15</v>
      </c>
      <c r="BV177" s="497">
        <f>IF(('Comparison Calculator'!$E$11-BU177)&gt;=0,0,IFERROR(-PPMT($BZ$66/12,(BT177-60),($F$1-5)*12,$BZ$65),0))</f>
        <v>0</v>
      </c>
      <c r="BW177" s="497">
        <f>IF(('Comparison Calculator'!$E$11-BU177)&gt;=0,$C$1*$BZ$66/12,IFERROR(-IPMT($BZ$66/12,(BT177-60),($F$1-5)*12,$BZ$65,0),0))</f>
        <v>0</v>
      </c>
      <c r="BX177" s="497">
        <f t="shared" si="72"/>
        <v>0</v>
      </c>
      <c r="BY177" s="497">
        <f t="shared" si="85"/>
        <v>1800000</v>
      </c>
      <c r="BZ177" s="493"/>
      <c r="CA177" s="493"/>
      <c r="CC177" s="492">
        <v>173</v>
      </c>
      <c r="CD177" s="492">
        <v>15</v>
      </c>
      <c r="CE177" s="497">
        <f>IF(('Comparison Calculator'!$E$11-CD177)&gt;=0,0,IFERROR(-PPMT($CI$66/12,(CC177-60),($F$1-5)*12,$CI$65),0))</f>
        <v>0</v>
      </c>
      <c r="CF177" s="497">
        <f>IF(('Comparison Calculator'!$E$11-CD177)&gt;=0,$C$1*$CI$66/12,IFERROR(-IPMT($CI$66/12,(CC177-60),($F$1-5)*12,$CI$65,0),0))</f>
        <v>0</v>
      </c>
      <c r="CG177" s="497">
        <f t="shared" si="73"/>
        <v>0</v>
      </c>
      <c r="CH177" s="497">
        <f t="shared" si="86"/>
        <v>1800000</v>
      </c>
      <c r="CI177" s="493"/>
      <c r="CJ177" s="493"/>
      <c r="CL177" s="492">
        <v>173</v>
      </c>
      <c r="CM177" s="492">
        <v>15</v>
      </c>
      <c r="CN177" s="497">
        <f>IF(('Comparison Calculator'!$E$11-CM177)&gt;=0,0,IFERROR(-PPMT($CR$66/12,(CL177-60),($F$1-5)*12,$CR$65),0))</f>
        <v>0</v>
      </c>
      <c r="CO177" s="497">
        <f>IF(('Comparison Calculator'!$E$11-CM177)&gt;=0,$C$1*$CI$66/12,IFERROR(-IPMT($CI$66/12,(CL177-60),($F$1-5)*12,$CI$65,0),0))</f>
        <v>0</v>
      </c>
      <c r="CP177" s="497">
        <f t="shared" si="74"/>
        <v>0</v>
      </c>
      <c r="CQ177" s="497">
        <f t="shared" si="87"/>
        <v>1800000</v>
      </c>
      <c r="CR177" s="493"/>
      <c r="CS177" s="493"/>
      <c r="CU177" s="492">
        <v>173</v>
      </c>
      <c r="CV177" s="492">
        <v>15</v>
      </c>
      <c r="CW177" s="497">
        <f>IF(('Comparison Calculator'!$E$11-CV177)&gt;=0,0,IFERROR(-PPMT($DA$66/12,(CU177-60),($F$1-5)*12,$DA$65),0))</f>
        <v>0</v>
      </c>
      <c r="CX177" s="497">
        <f>IF(('Comparison Calculator'!$E$11-CV177)&gt;=0,$C$1*$DA$66/12,IFERROR(-IPMT($DA$66/12,(CU177-60),($F$1-5)*12,$DA$65,0),0))</f>
        <v>0</v>
      </c>
      <c r="CY177" s="497">
        <f t="shared" si="75"/>
        <v>0</v>
      </c>
      <c r="CZ177" s="497">
        <f t="shared" si="88"/>
        <v>1800000</v>
      </c>
      <c r="DA177" s="493"/>
      <c r="DB177" s="493"/>
      <c r="DD177" s="492">
        <v>173</v>
      </c>
      <c r="DE177" s="492">
        <v>15</v>
      </c>
      <c r="DF177" s="497">
        <f>IF(('Comparison Calculator'!$E$11-DE177)&gt;=0,0,IFERROR(-PPMT($DJ$66/12,(DD177-60),($F$1-5)*12,$DJ$65),0))</f>
        <v>0</v>
      </c>
      <c r="DG177" s="497">
        <f>IF(('Comparison Calculator'!$E$11-DE177)&gt;=0,$C$1*$DJ$66/12,IFERROR(-IPMT($DJ$66/12,(DD177-60),($F$1-5)*12,$DJ$65,0),0))</f>
        <v>0</v>
      </c>
      <c r="DH177" s="497">
        <f t="shared" si="76"/>
        <v>0</v>
      </c>
      <c r="DI177" s="497">
        <f t="shared" si="89"/>
        <v>1800000</v>
      </c>
      <c r="DJ177" s="493"/>
      <c r="DK177" s="493"/>
    </row>
    <row r="178" spans="1:115">
      <c r="A178" s="492">
        <v>174</v>
      </c>
      <c r="B178" s="492">
        <v>15</v>
      </c>
      <c r="C178" s="497">
        <f>IF(('Comparison Calculator'!$E$11-B178)&gt;=0,0,IFERROR(-PPMT($G$66/12,(A178-60),($F$1-5)*12,$G$65),0))</f>
        <v>0</v>
      </c>
      <c r="D178" s="497">
        <f>IF(('Comparison Calculator'!$E$11-B178)&gt;=0,$C$1*$G$66/12,IFERROR(-IPMT($G$66/12,(A178-60),($F$1-5)*12,$G$65,0),0))</f>
        <v>0</v>
      </c>
      <c r="E178" s="497">
        <f t="shared" si="64"/>
        <v>0</v>
      </c>
      <c r="F178" s="497">
        <f t="shared" si="77"/>
        <v>1800000</v>
      </c>
      <c r="G178" s="493"/>
      <c r="H178" s="493"/>
      <c r="I178" s="489"/>
      <c r="J178" s="492">
        <v>174</v>
      </c>
      <c r="K178" s="492">
        <v>15</v>
      </c>
      <c r="L178" s="497">
        <f>IF(('Comparison Calculator'!$E$11-K178)&gt;=0,0,IFERROR(-PPMT($P$66/12,(J178-60),($F$1-5)*12,$P$65),0))</f>
        <v>0</v>
      </c>
      <c r="M178" s="497">
        <f>IF(('Comparison Calculator'!$E$11-K178)&gt;=0,$C$1*$P$66/12,IFERROR(-IPMT($P$66/12,(J178-60),($F$1-5)*12,$P$65,0),0))</f>
        <v>0</v>
      </c>
      <c r="N178" s="497">
        <f t="shared" si="65"/>
        <v>0</v>
      </c>
      <c r="O178" s="497">
        <f t="shared" si="78"/>
        <v>1800000</v>
      </c>
      <c r="P178" s="493"/>
      <c r="Q178" s="493"/>
      <c r="S178" s="492">
        <v>174</v>
      </c>
      <c r="T178" s="492">
        <v>15</v>
      </c>
      <c r="U178" s="497">
        <f>IF(('Comparison Calculator'!$E$11-T178)&gt;=0,0,IFERROR(-PPMT($Y$66/12,(S178-60),($F$1-5)*12,$Y$65),0))</f>
        <v>0</v>
      </c>
      <c r="V178" s="497">
        <f>IF(('Comparison Calculator'!$E$11-T178)&gt;=0,$C$1*$Y$66/12,IFERROR(-IPMT($Y$66/12,(S178-60),($F$1-5)*12,$Y$65,0),0))</f>
        <v>0</v>
      </c>
      <c r="W178" s="497">
        <f t="shared" si="66"/>
        <v>0</v>
      </c>
      <c r="X178" s="497">
        <f t="shared" si="79"/>
        <v>1800000</v>
      </c>
      <c r="Y178" s="493"/>
      <c r="Z178" s="493"/>
      <c r="AB178" s="492">
        <v>174</v>
      </c>
      <c r="AC178" s="492">
        <v>15</v>
      </c>
      <c r="AD178" s="497">
        <f>IF(('Comparison Calculator'!$E$11-AC178)&gt;=0,0,IFERROR(-PPMT($AH$66/12,(AB178-60),($F$1-5)*12,$AH$65),0))</f>
        <v>0</v>
      </c>
      <c r="AE178" s="497">
        <f>IF(('Comparison Calculator'!$E$11-AC178)&gt;=0,$C$1*$AH$66/12,IFERROR(-IPMT($AH$66/12,(AB178-60),($F$1-5)*12,$AH$65,0),0))</f>
        <v>0</v>
      </c>
      <c r="AF178" s="497">
        <f t="shared" si="67"/>
        <v>0</v>
      </c>
      <c r="AG178" s="497">
        <f t="shared" si="80"/>
        <v>1800000</v>
      </c>
      <c r="AH178" s="493"/>
      <c r="AI178" s="493"/>
      <c r="AK178" s="492">
        <v>174</v>
      </c>
      <c r="AL178" s="492">
        <v>15</v>
      </c>
      <c r="AM178" s="497">
        <f>IF(('Comparison Calculator'!$E$11-AL178)&gt;=0,0,IFERROR(-PPMT($AQ$66/12,(AK178-60),($F$1-5)*12,$AQ$65),0))</f>
        <v>0</v>
      </c>
      <c r="AN178" s="497">
        <f>IF(('Comparison Calculator'!$E$11-AL178)&gt;=0,$C$1*$AQ$66/12,IFERROR(-IPMT($AQ$66/12,(AK178-60),($F$1-5)*12,$AQ$65,0),0))</f>
        <v>0</v>
      </c>
      <c r="AO178" s="497">
        <f t="shared" si="68"/>
        <v>0</v>
      </c>
      <c r="AP178" s="497">
        <f t="shared" si="81"/>
        <v>1800000</v>
      </c>
      <c r="AQ178" s="493"/>
      <c r="AR178" s="493"/>
      <c r="AT178" s="492">
        <v>174</v>
      </c>
      <c r="AU178" s="492">
        <v>15</v>
      </c>
      <c r="AV178" s="497">
        <f>IF(('Comparison Calculator'!$E$11-AU178)&gt;=0,0,IFERROR(-PPMT($AZ$66/12,(AT178-60),($F$1-5)*12,$AZ$65),0))</f>
        <v>0</v>
      </c>
      <c r="AW178" s="497">
        <f>IF(('Comparison Calculator'!$E$11-AU178)&gt;=0,$C$1*$AZ$66/12,IFERROR(-IPMT($AZ$66/12,(AT178-60),($F$1-5)*12,$AZ$65,0),0))</f>
        <v>0</v>
      </c>
      <c r="AX178" s="497">
        <f t="shared" si="69"/>
        <v>0</v>
      </c>
      <c r="AY178" s="497">
        <f t="shared" si="82"/>
        <v>1800000</v>
      </c>
      <c r="AZ178" s="493"/>
      <c r="BA178" s="493"/>
      <c r="BC178" s="492">
        <v>174</v>
      </c>
      <c r="BD178" s="492">
        <v>15</v>
      </c>
      <c r="BE178" s="497">
        <f>IF(('Comparison Calculator'!$E$11-BD178)&gt;=0,0,IFERROR(-PPMT($BI$66/12,(BC178-60),($F$1-5)*12,$BI$65),0))</f>
        <v>0</v>
      </c>
      <c r="BF178" s="497">
        <f>IF(('Comparison Calculator'!$E$11-BD178)&gt;=0,$C$1*$BI$66/12,IFERROR(-IPMT($BI$66/12,(BC178-60),($F$1-5)*12,$BI$65,0),0))</f>
        <v>0</v>
      </c>
      <c r="BG178" s="497">
        <f t="shared" si="70"/>
        <v>0</v>
      </c>
      <c r="BH178" s="497">
        <f t="shared" si="83"/>
        <v>1800000</v>
      </c>
      <c r="BI178" s="493"/>
      <c r="BJ178" s="493"/>
      <c r="BK178" s="492">
        <v>174</v>
      </c>
      <c r="BL178" s="492">
        <v>15</v>
      </c>
      <c r="BM178" s="497">
        <f>IF(('Comparison Calculator'!$E$11-BL178)&gt;=0,0,IFERROR(-PPMT($BQ$66/12,(BK178-60),($F$1-5)*12,$BQ$65),0))</f>
        <v>0</v>
      </c>
      <c r="BN178" s="497">
        <f>IF(('Comparison Calculator'!$E$11-BL178)&gt;=0,$C$1*$BQ$66/12,IFERROR(-IPMT($BQ$66/12,(BK178-60),($F$1-5)*12,$BQ$65,0),0))</f>
        <v>0</v>
      </c>
      <c r="BO178" s="497">
        <f t="shared" si="71"/>
        <v>0</v>
      </c>
      <c r="BP178" s="497">
        <f t="shared" si="84"/>
        <v>1800000</v>
      </c>
      <c r="BQ178" s="493"/>
      <c r="BR178" s="493"/>
      <c r="BT178" s="492">
        <v>174</v>
      </c>
      <c r="BU178" s="492">
        <v>15</v>
      </c>
      <c r="BV178" s="497">
        <f>IF(('Comparison Calculator'!$E$11-BU178)&gt;=0,0,IFERROR(-PPMT($BZ$66/12,(BT178-60),($F$1-5)*12,$BZ$65),0))</f>
        <v>0</v>
      </c>
      <c r="BW178" s="497">
        <f>IF(('Comparison Calculator'!$E$11-BU178)&gt;=0,$C$1*$BZ$66/12,IFERROR(-IPMT($BZ$66/12,(BT178-60),($F$1-5)*12,$BZ$65,0),0))</f>
        <v>0</v>
      </c>
      <c r="BX178" s="497">
        <f t="shared" si="72"/>
        <v>0</v>
      </c>
      <c r="BY178" s="497">
        <f t="shared" si="85"/>
        <v>1800000</v>
      </c>
      <c r="BZ178" s="493"/>
      <c r="CA178" s="493"/>
      <c r="CC178" s="492">
        <v>174</v>
      </c>
      <c r="CD178" s="492">
        <v>15</v>
      </c>
      <c r="CE178" s="497">
        <f>IF(('Comparison Calculator'!$E$11-CD178)&gt;=0,0,IFERROR(-PPMT($CI$66/12,(CC178-60),($F$1-5)*12,$CI$65),0))</f>
        <v>0</v>
      </c>
      <c r="CF178" s="497">
        <f>IF(('Comparison Calculator'!$E$11-CD178)&gt;=0,$C$1*$CI$66/12,IFERROR(-IPMT($CI$66/12,(CC178-60),($F$1-5)*12,$CI$65,0),0))</f>
        <v>0</v>
      </c>
      <c r="CG178" s="497">
        <f t="shared" si="73"/>
        <v>0</v>
      </c>
      <c r="CH178" s="497">
        <f t="shared" si="86"/>
        <v>1800000</v>
      </c>
      <c r="CI178" s="493"/>
      <c r="CJ178" s="493"/>
      <c r="CL178" s="492">
        <v>174</v>
      </c>
      <c r="CM178" s="492">
        <v>15</v>
      </c>
      <c r="CN178" s="497">
        <f>IF(('Comparison Calculator'!$E$11-CM178)&gt;=0,0,IFERROR(-PPMT($CR$66/12,(CL178-60),($F$1-5)*12,$CR$65),0))</f>
        <v>0</v>
      </c>
      <c r="CO178" s="497">
        <f>IF(('Comparison Calculator'!$E$11-CM178)&gt;=0,$C$1*$CI$66/12,IFERROR(-IPMT($CI$66/12,(CL178-60),($F$1-5)*12,$CI$65,0),0))</f>
        <v>0</v>
      </c>
      <c r="CP178" s="497">
        <f t="shared" si="74"/>
        <v>0</v>
      </c>
      <c r="CQ178" s="497">
        <f t="shared" si="87"/>
        <v>1800000</v>
      </c>
      <c r="CR178" s="493"/>
      <c r="CS178" s="493"/>
      <c r="CU178" s="492">
        <v>174</v>
      </c>
      <c r="CV178" s="492">
        <v>15</v>
      </c>
      <c r="CW178" s="497">
        <f>IF(('Comparison Calculator'!$E$11-CV178)&gt;=0,0,IFERROR(-PPMT($DA$66/12,(CU178-60),($F$1-5)*12,$DA$65),0))</f>
        <v>0</v>
      </c>
      <c r="CX178" s="497">
        <f>IF(('Comparison Calculator'!$E$11-CV178)&gt;=0,$C$1*$DA$66/12,IFERROR(-IPMT($DA$66/12,(CU178-60),($F$1-5)*12,$DA$65,0),0))</f>
        <v>0</v>
      </c>
      <c r="CY178" s="497">
        <f t="shared" si="75"/>
        <v>0</v>
      </c>
      <c r="CZ178" s="497">
        <f t="shared" si="88"/>
        <v>1800000</v>
      </c>
      <c r="DA178" s="493"/>
      <c r="DB178" s="493"/>
      <c r="DD178" s="492">
        <v>174</v>
      </c>
      <c r="DE178" s="492">
        <v>15</v>
      </c>
      <c r="DF178" s="497">
        <f>IF(('Comparison Calculator'!$E$11-DE178)&gt;=0,0,IFERROR(-PPMT($DJ$66/12,(DD178-60),($F$1-5)*12,$DJ$65),0))</f>
        <v>0</v>
      </c>
      <c r="DG178" s="497">
        <f>IF(('Comparison Calculator'!$E$11-DE178)&gt;=0,$C$1*$DJ$66/12,IFERROR(-IPMT($DJ$66/12,(DD178-60),($F$1-5)*12,$DJ$65,0),0))</f>
        <v>0</v>
      </c>
      <c r="DH178" s="497">
        <f t="shared" si="76"/>
        <v>0</v>
      </c>
      <c r="DI178" s="497">
        <f t="shared" si="89"/>
        <v>1800000</v>
      </c>
      <c r="DJ178" s="493"/>
      <c r="DK178" s="493"/>
    </row>
    <row r="179" spans="1:115">
      <c r="A179" s="492">
        <v>175</v>
      </c>
      <c r="B179" s="492">
        <v>15</v>
      </c>
      <c r="C179" s="497">
        <f>IF(('Comparison Calculator'!$E$11-B179)&gt;=0,0,IFERROR(-PPMT($G$66/12,(A179-60),($F$1-5)*12,$G$65),0))</f>
        <v>0</v>
      </c>
      <c r="D179" s="497">
        <f>IF(('Comparison Calculator'!$E$11-B179)&gt;=0,$C$1*$G$66/12,IFERROR(-IPMT($G$66/12,(A179-60),($F$1-5)*12,$G$65,0),0))</f>
        <v>0</v>
      </c>
      <c r="E179" s="497">
        <f t="shared" si="64"/>
        <v>0</v>
      </c>
      <c r="F179" s="497">
        <f t="shared" si="77"/>
        <v>1800000</v>
      </c>
      <c r="G179" s="493"/>
      <c r="H179" s="493"/>
      <c r="I179" s="489"/>
      <c r="J179" s="492">
        <v>175</v>
      </c>
      <c r="K179" s="492">
        <v>15</v>
      </c>
      <c r="L179" s="497">
        <f>IF(('Comparison Calculator'!$E$11-K179)&gt;=0,0,IFERROR(-PPMT($P$66/12,(J179-60),($F$1-5)*12,$P$65),0))</f>
        <v>0</v>
      </c>
      <c r="M179" s="497">
        <f>IF(('Comparison Calculator'!$E$11-K179)&gt;=0,$C$1*$P$66/12,IFERROR(-IPMT($P$66/12,(J179-60),($F$1-5)*12,$P$65,0),0))</f>
        <v>0</v>
      </c>
      <c r="N179" s="497">
        <f t="shared" si="65"/>
        <v>0</v>
      </c>
      <c r="O179" s="497">
        <f t="shared" si="78"/>
        <v>1800000</v>
      </c>
      <c r="P179" s="493"/>
      <c r="Q179" s="493"/>
      <c r="S179" s="492">
        <v>175</v>
      </c>
      <c r="T179" s="492">
        <v>15</v>
      </c>
      <c r="U179" s="497">
        <f>IF(('Comparison Calculator'!$E$11-T179)&gt;=0,0,IFERROR(-PPMT($Y$66/12,(S179-60),($F$1-5)*12,$Y$65),0))</f>
        <v>0</v>
      </c>
      <c r="V179" s="497">
        <f>IF(('Comparison Calculator'!$E$11-T179)&gt;=0,$C$1*$Y$66/12,IFERROR(-IPMT($Y$66/12,(S179-60),($F$1-5)*12,$Y$65,0),0))</f>
        <v>0</v>
      </c>
      <c r="W179" s="497">
        <f t="shared" si="66"/>
        <v>0</v>
      </c>
      <c r="X179" s="497">
        <f t="shared" si="79"/>
        <v>1800000</v>
      </c>
      <c r="Y179" s="493"/>
      <c r="Z179" s="493"/>
      <c r="AB179" s="492">
        <v>175</v>
      </c>
      <c r="AC179" s="492">
        <v>15</v>
      </c>
      <c r="AD179" s="497">
        <f>IF(('Comparison Calculator'!$E$11-AC179)&gt;=0,0,IFERROR(-PPMT($AH$66/12,(AB179-60),($F$1-5)*12,$AH$65),0))</f>
        <v>0</v>
      </c>
      <c r="AE179" s="497">
        <f>IF(('Comparison Calculator'!$E$11-AC179)&gt;=0,$C$1*$AH$66/12,IFERROR(-IPMT($AH$66/12,(AB179-60),($F$1-5)*12,$AH$65,0),0))</f>
        <v>0</v>
      </c>
      <c r="AF179" s="497">
        <f t="shared" si="67"/>
        <v>0</v>
      </c>
      <c r="AG179" s="497">
        <f t="shared" si="80"/>
        <v>1800000</v>
      </c>
      <c r="AH179" s="493"/>
      <c r="AI179" s="493"/>
      <c r="AK179" s="492">
        <v>175</v>
      </c>
      <c r="AL179" s="492">
        <v>15</v>
      </c>
      <c r="AM179" s="497">
        <f>IF(('Comparison Calculator'!$E$11-AL179)&gt;=0,0,IFERROR(-PPMT($AQ$66/12,(AK179-60),($F$1-5)*12,$AQ$65),0))</f>
        <v>0</v>
      </c>
      <c r="AN179" s="497">
        <f>IF(('Comparison Calculator'!$E$11-AL179)&gt;=0,$C$1*$AQ$66/12,IFERROR(-IPMT($AQ$66/12,(AK179-60),($F$1-5)*12,$AQ$65,0),0))</f>
        <v>0</v>
      </c>
      <c r="AO179" s="497">
        <f t="shared" si="68"/>
        <v>0</v>
      </c>
      <c r="AP179" s="497">
        <f t="shared" si="81"/>
        <v>1800000</v>
      </c>
      <c r="AQ179" s="493"/>
      <c r="AR179" s="493"/>
      <c r="AT179" s="492">
        <v>175</v>
      </c>
      <c r="AU179" s="492">
        <v>15</v>
      </c>
      <c r="AV179" s="497">
        <f>IF(('Comparison Calculator'!$E$11-AU179)&gt;=0,0,IFERROR(-PPMT($AZ$66/12,(AT179-60),($F$1-5)*12,$AZ$65),0))</f>
        <v>0</v>
      </c>
      <c r="AW179" s="497">
        <f>IF(('Comparison Calculator'!$E$11-AU179)&gt;=0,$C$1*$AZ$66/12,IFERROR(-IPMT($AZ$66/12,(AT179-60),($F$1-5)*12,$AZ$65,0),0))</f>
        <v>0</v>
      </c>
      <c r="AX179" s="497">
        <f t="shared" si="69"/>
        <v>0</v>
      </c>
      <c r="AY179" s="497">
        <f t="shared" si="82"/>
        <v>1800000</v>
      </c>
      <c r="AZ179" s="493"/>
      <c r="BA179" s="493"/>
      <c r="BC179" s="492">
        <v>175</v>
      </c>
      <c r="BD179" s="492">
        <v>15</v>
      </c>
      <c r="BE179" s="497">
        <f>IF(('Comparison Calculator'!$E$11-BD179)&gt;=0,0,IFERROR(-PPMT($BI$66/12,(BC179-60),($F$1-5)*12,$BI$65),0))</f>
        <v>0</v>
      </c>
      <c r="BF179" s="497">
        <f>IF(('Comparison Calculator'!$E$11-BD179)&gt;=0,$C$1*$BI$66/12,IFERROR(-IPMT($BI$66/12,(BC179-60),($F$1-5)*12,$BI$65,0),0))</f>
        <v>0</v>
      </c>
      <c r="BG179" s="497">
        <f t="shared" si="70"/>
        <v>0</v>
      </c>
      <c r="BH179" s="497">
        <f t="shared" si="83"/>
        <v>1800000</v>
      </c>
      <c r="BI179" s="493"/>
      <c r="BJ179" s="493"/>
      <c r="BK179" s="492">
        <v>175</v>
      </c>
      <c r="BL179" s="492">
        <v>15</v>
      </c>
      <c r="BM179" s="497">
        <f>IF(('Comparison Calculator'!$E$11-BL179)&gt;=0,0,IFERROR(-PPMT($BQ$66/12,(BK179-60),($F$1-5)*12,$BQ$65),0))</f>
        <v>0</v>
      </c>
      <c r="BN179" s="497">
        <f>IF(('Comparison Calculator'!$E$11-BL179)&gt;=0,$C$1*$BQ$66/12,IFERROR(-IPMT($BQ$66/12,(BK179-60),($F$1-5)*12,$BQ$65,0),0))</f>
        <v>0</v>
      </c>
      <c r="BO179" s="497">
        <f t="shared" si="71"/>
        <v>0</v>
      </c>
      <c r="BP179" s="497">
        <f t="shared" si="84"/>
        <v>1800000</v>
      </c>
      <c r="BQ179" s="493"/>
      <c r="BR179" s="493"/>
      <c r="BT179" s="492">
        <v>175</v>
      </c>
      <c r="BU179" s="492">
        <v>15</v>
      </c>
      <c r="BV179" s="497">
        <f>IF(('Comparison Calculator'!$E$11-BU179)&gt;=0,0,IFERROR(-PPMT($BZ$66/12,(BT179-60),($F$1-5)*12,$BZ$65),0))</f>
        <v>0</v>
      </c>
      <c r="BW179" s="497">
        <f>IF(('Comparison Calculator'!$E$11-BU179)&gt;=0,$C$1*$BZ$66/12,IFERROR(-IPMT($BZ$66/12,(BT179-60),($F$1-5)*12,$BZ$65,0),0))</f>
        <v>0</v>
      </c>
      <c r="BX179" s="497">
        <f t="shared" si="72"/>
        <v>0</v>
      </c>
      <c r="BY179" s="497">
        <f t="shared" si="85"/>
        <v>1800000</v>
      </c>
      <c r="BZ179" s="493"/>
      <c r="CA179" s="493"/>
      <c r="CC179" s="492">
        <v>175</v>
      </c>
      <c r="CD179" s="492">
        <v>15</v>
      </c>
      <c r="CE179" s="497">
        <f>IF(('Comparison Calculator'!$E$11-CD179)&gt;=0,0,IFERROR(-PPMT($CI$66/12,(CC179-60),($F$1-5)*12,$CI$65),0))</f>
        <v>0</v>
      </c>
      <c r="CF179" s="497">
        <f>IF(('Comparison Calculator'!$E$11-CD179)&gt;=0,$C$1*$CI$66/12,IFERROR(-IPMT($CI$66/12,(CC179-60),($F$1-5)*12,$CI$65,0),0))</f>
        <v>0</v>
      </c>
      <c r="CG179" s="497">
        <f t="shared" si="73"/>
        <v>0</v>
      </c>
      <c r="CH179" s="497">
        <f t="shared" si="86"/>
        <v>1800000</v>
      </c>
      <c r="CI179" s="493"/>
      <c r="CJ179" s="493"/>
      <c r="CL179" s="492">
        <v>175</v>
      </c>
      <c r="CM179" s="492">
        <v>15</v>
      </c>
      <c r="CN179" s="497">
        <f>IF(('Comparison Calculator'!$E$11-CM179)&gt;=0,0,IFERROR(-PPMT($CR$66/12,(CL179-60),($F$1-5)*12,$CR$65),0))</f>
        <v>0</v>
      </c>
      <c r="CO179" s="497">
        <f>IF(('Comparison Calculator'!$E$11-CM179)&gt;=0,$C$1*$CI$66/12,IFERROR(-IPMT($CI$66/12,(CL179-60),($F$1-5)*12,$CI$65,0),0))</f>
        <v>0</v>
      </c>
      <c r="CP179" s="497">
        <f t="shared" si="74"/>
        <v>0</v>
      </c>
      <c r="CQ179" s="497">
        <f t="shared" si="87"/>
        <v>1800000</v>
      </c>
      <c r="CR179" s="493"/>
      <c r="CS179" s="493"/>
      <c r="CU179" s="492">
        <v>175</v>
      </c>
      <c r="CV179" s="492">
        <v>15</v>
      </c>
      <c r="CW179" s="497">
        <f>IF(('Comparison Calculator'!$E$11-CV179)&gt;=0,0,IFERROR(-PPMT($DA$66/12,(CU179-60),($F$1-5)*12,$DA$65),0))</f>
        <v>0</v>
      </c>
      <c r="CX179" s="497">
        <f>IF(('Comparison Calculator'!$E$11-CV179)&gt;=0,$C$1*$DA$66/12,IFERROR(-IPMT($DA$66/12,(CU179-60),($F$1-5)*12,$DA$65,0),0))</f>
        <v>0</v>
      </c>
      <c r="CY179" s="497">
        <f t="shared" si="75"/>
        <v>0</v>
      </c>
      <c r="CZ179" s="497">
        <f t="shared" si="88"/>
        <v>1800000</v>
      </c>
      <c r="DA179" s="493"/>
      <c r="DB179" s="493"/>
      <c r="DD179" s="492">
        <v>175</v>
      </c>
      <c r="DE179" s="492">
        <v>15</v>
      </c>
      <c r="DF179" s="497">
        <f>IF(('Comparison Calculator'!$E$11-DE179)&gt;=0,0,IFERROR(-PPMT($DJ$66/12,(DD179-60),($F$1-5)*12,$DJ$65),0))</f>
        <v>0</v>
      </c>
      <c r="DG179" s="497">
        <f>IF(('Comparison Calculator'!$E$11-DE179)&gt;=0,$C$1*$DJ$66/12,IFERROR(-IPMT($DJ$66/12,(DD179-60),($F$1-5)*12,$DJ$65,0),0))</f>
        <v>0</v>
      </c>
      <c r="DH179" s="497">
        <f t="shared" si="76"/>
        <v>0</v>
      </c>
      <c r="DI179" s="497">
        <f t="shared" si="89"/>
        <v>1800000</v>
      </c>
      <c r="DJ179" s="493"/>
      <c r="DK179" s="493"/>
    </row>
    <row r="180" spans="1:115">
      <c r="A180" s="492">
        <v>176</v>
      </c>
      <c r="B180" s="492">
        <v>15</v>
      </c>
      <c r="C180" s="497">
        <f>IF(('Comparison Calculator'!$E$11-B180)&gt;=0,0,IFERROR(-PPMT($G$66/12,(A180-60),($F$1-5)*12,$G$65),0))</f>
        <v>0</v>
      </c>
      <c r="D180" s="497">
        <f>IF(('Comparison Calculator'!$E$11-B180)&gt;=0,$C$1*$G$66/12,IFERROR(-IPMT($G$66/12,(A180-60),($F$1-5)*12,$G$65,0),0))</f>
        <v>0</v>
      </c>
      <c r="E180" s="497">
        <f t="shared" si="64"/>
        <v>0</v>
      </c>
      <c r="F180" s="497">
        <f t="shared" si="77"/>
        <v>1800000</v>
      </c>
      <c r="G180" s="493"/>
      <c r="H180" s="493"/>
      <c r="I180" s="489"/>
      <c r="J180" s="492">
        <v>176</v>
      </c>
      <c r="K180" s="492">
        <v>15</v>
      </c>
      <c r="L180" s="497">
        <f>IF(('Comparison Calculator'!$E$11-K180)&gt;=0,0,IFERROR(-PPMT($P$66/12,(J180-60),($F$1-5)*12,$P$65),0))</f>
        <v>0</v>
      </c>
      <c r="M180" s="497">
        <f>IF(('Comparison Calculator'!$E$11-K180)&gt;=0,$C$1*$P$66/12,IFERROR(-IPMT($P$66/12,(J180-60),($F$1-5)*12,$P$65,0),0))</f>
        <v>0</v>
      </c>
      <c r="N180" s="497">
        <f t="shared" si="65"/>
        <v>0</v>
      </c>
      <c r="O180" s="497">
        <f t="shared" si="78"/>
        <v>1800000</v>
      </c>
      <c r="P180" s="493"/>
      <c r="Q180" s="493"/>
      <c r="S180" s="492">
        <v>176</v>
      </c>
      <c r="T180" s="492">
        <v>15</v>
      </c>
      <c r="U180" s="497">
        <f>IF(('Comparison Calculator'!$E$11-T180)&gt;=0,0,IFERROR(-PPMT($Y$66/12,(S180-60),($F$1-5)*12,$Y$65),0))</f>
        <v>0</v>
      </c>
      <c r="V180" s="497">
        <f>IF(('Comparison Calculator'!$E$11-T180)&gt;=0,$C$1*$Y$66/12,IFERROR(-IPMT($Y$66/12,(S180-60),($F$1-5)*12,$Y$65,0),0))</f>
        <v>0</v>
      </c>
      <c r="W180" s="497">
        <f t="shared" si="66"/>
        <v>0</v>
      </c>
      <c r="X180" s="497">
        <f t="shared" si="79"/>
        <v>1800000</v>
      </c>
      <c r="Y180" s="493"/>
      <c r="Z180" s="493"/>
      <c r="AB180" s="492">
        <v>176</v>
      </c>
      <c r="AC180" s="492">
        <v>15</v>
      </c>
      <c r="AD180" s="497">
        <f>IF(('Comparison Calculator'!$E$11-AC180)&gt;=0,0,IFERROR(-PPMT($AH$66/12,(AB180-60),($F$1-5)*12,$AH$65),0))</f>
        <v>0</v>
      </c>
      <c r="AE180" s="497">
        <f>IF(('Comparison Calculator'!$E$11-AC180)&gt;=0,$C$1*$AH$66/12,IFERROR(-IPMT($AH$66/12,(AB180-60),($F$1-5)*12,$AH$65,0),0))</f>
        <v>0</v>
      </c>
      <c r="AF180" s="497">
        <f t="shared" si="67"/>
        <v>0</v>
      </c>
      <c r="AG180" s="497">
        <f t="shared" si="80"/>
        <v>1800000</v>
      </c>
      <c r="AH180" s="493"/>
      <c r="AI180" s="493"/>
      <c r="AK180" s="492">
        <v>176</v>
      </c>
      <c r="AL180" s="492">
        <v>15</v>
      </c>
      <c r="AM180" s="497">
        <f>IF(('Comparison Calculator'!$E$11-AL180)&gt;=0,0,IFERROR(-PPMT($AQ$66/12,(AK180-60),($F$1-5)*12,$AQ$65),0))</f>
        <v>0</v>
      </c>
      <c r="AN180" s="497">
        <f>IF(('Comparison Calculator'!$E$11-AL180)&gt;=0,$C$1*$AQ$66/12,IFERROR(-IPMT($AQ$66/12,(AK180-60),($F$1-5)*12,$AQ$65,0),0))</f>
        <v>0</v>
      </c>
      <c r="AO180" s="497">
        <f t="shared" si="68"/>
        <v>0</v>
      </c>
      <c r="AP180" s="497">
        <f t="shared" si="81"/>
        <v>1800000</v>
      </c>
      <c r="AQ180" s="493"/>
      <c r="AR180" s="493"/>
      <c r="AT180" s="492">
        <v>176</v>
      </c>
      <c r="AU180" s="492">
        <v>15</v>
      </c>
      <c r="AV180" s="497">
        <f>IF(('Comparison Calculator'!$E$11-AU180)&gt;=0,0,IFERROR(-PPMT($AZ$66/12,(AT180-60),($F$1-5)*12,$AZ$65),0))</f>
        <v>0</v>
      </c>
      <c r="AW180" s="497">
        <f>IF(('Comparison Calculator'!$E$11-AU180)&gt;=0,$C$1*$AZ$66/12,IFERROR(-IPMT($AZ$66/12,(AT180-60),($F$1-5)*12,$AZ$65,0),0))</f>
        <v>0</v>
      </c>
      <c r="AX180" s="497">
        <f t="shared" si="69"/>
        <v>0</v>
      </c>
      <c r="AY180" s="497">
        <f t="shared" si="82"/>
        <v>1800000</v>
      </c>
      <c r="AZ180" s="493"/>
      <c r="BA180" s="493"/>
      <c r="BC180" s="492">
        <v>176</v>
      </c>
      <c r="BD180" s="492">
        <v>15</v>
      </c>
      <c r="BE180" s="497">
        <f>IF(('Comparison Calculator'!$E$11-BD180)&gt;=0,0,IFERROR(-PPMT($BI$66/12,(BC180-60),($F$1-5)*12,$BI$65),0))</f>
        <v>0</v>
      </c>
      <c r="BF180" s="497">
        <f>IF(('Comparison Calculator'!$E$11-BD180)&gt;=0,$C$1*$BI$66/12,IFERROR(-IPMT($BI$66/12,(BC180-60),($F$1-5)*12,$BI$65,0),0))</f>
        <v>0</v>
      </c>
      <c r="BG180" s="497">
        <f t="shared" si="70"/>
        <v>0</v>
      </c>
      <c r="BH180" s="497">
        <f t="shared" si="83"/>
        <v>1800000</v>
      </c>
      <c r="BI180" s="493"/>
      <c r="BJ180" s="493"/>
      <c r="BK180" s="492">
        <v>176</v>
      </c>
      <c r="BL180" s="492">
        <v>15</v>
      </c>
      <c r="BM180" s="497">
        <f>IF(('Comparison Calculator'!$E$11-BL180)&gt;=0,0,IFERROR(-PPMT($BQ$66/12,(BK180-60),($F$1-5)*12,$BQ$65),0))</f>
        <v>0</v>
      </c>
      <c r="BN180" s="497">
        <f>IF(('Comparison Calculator'!$E$11-BL180)&gt;=0,$C$1*$BQ$66/12,IFERROR(-IPMT($BQ$66/12,(BK180-60),($F$1-5)*12,$BQ$65,0),0))</f>
        <v>0</v>
      </c>
      <c r="BO180" s="497">
        <f t="shared" si="71"/>
        <v>0</v>
      </c>
      <c r="BP180" s="497">
        <f t="shared" si="84"/>
        <v>1800000</v>
      </c>
      <c r="BQ180" s="493"/>
      <c r="BR180" s="493"/>
      <c r="BT180" s="492">
        <v>176</v>
      </c>
      <c r="BU180" s="492">
        <v>15</v>
      </c>
      <c r="BV180" s="497">
        <f>IF(('Comparison Calculator'!$E$11-BU180)&gt;=0,0,IFERROR(-PPMT($BZ$66/12,(BT180-60),($F$1-5)*12,$BZ$65),0))</f>
        <v>0</v>
      </c>
      <c r="BW180" s="497">
        <f>IF(('Comparison Calculator'!$E$11-BU180)&gt;=0,$C$1*$BZ$66/12,IFERROR(-IPMT($BZ$66/12,(BT180-60),($F$1-5)*12,$BZ$65,0),0))</f>
        <v>0</v>
      </c>
      <c r="BX180" s="497">
        <f t="shared" si="72"/>
        <v>0</v>
      </c>
      <c r="BY180" s="497">
        <f t="shared" si="85"/>
        <v>1800000</v>
      </c>
      <c r="BZ180" s="493"/>
      <c r="CA180" s="493"/>
      <c r="CC180" s="492">
        <v>176</v>
      </c>
      <c r="CD180" s="492">
        <v>15</v>
      </c>
      <c r="CE180" s="497">
        <f>IF(('Comparison Calculator'!$E$11-CD180)&gt;=0,0,IFERROR(-PPMT($CI$66/12,(CC180-60),($F$1-5)*12,$CI$65),0))</f>
        <v>0</v>
      </c>
      <c r="CF180" s="497">
        <f>IF(('Comparison Calculator'!$E$11-CD180)&gt;=0,$C$1*$CI$66/12,IFERROR(-IPMT($CI$66/12,(CC180-60),($F$1-5)*12,$CI$65,0),0))</f>
        <v>0</v>
      </c>
      <c r="CG180" s="497">
        <f t="shared" si="73"/>
        <v>0</v>
      </c>
      <c r="CH180" s="497">
        <f t="shared" si="86"/>
        <v>1800000</v>
      </c>
      <c r="CI180" s="493"/>
      <c r="CJ180" s="493"/>
      <c r="CL180" s="492">
        <v>176</v>
      </c>
      <c r="CM180" s="492">
        <v>15</v>
      </c>
      <c r="CN180" s="497">
        <f>IF(('Comparison Calculator'!$E$11-CM180)&gt;=0,0,IFERROR(-PPMT($CR$66/12,(CL180-60),($F$1-5)*12,$CR$65),0))</f>
        <v>0</v>
      </c>
      <c r="CO180" s="497">
        <f>IF(('Comparison Calculator'!$E$11-CM180)&gt;=0,$C$1*$CI$66/12,IFERROR(-IPMT($CI$66/12,(CL180-60),($F$1-5)*12,$CI$65,0),0))</f>
        <v>0</v>
      </c>
      <c r="CP180" s="497">
        <f t="shared" si="74"/>
        <v>0</v>
      </c>
      <c r="CQ180" s="497">
        <f t="shared" si="87"/>
        <v>1800000</v>
      </c>
      <c r="CR180" s="493"/>
      <c r="CS180" s="493"/>
      <c r="CU180" s="492">
        <v>176</v>
      </c>
      <c r="CV180" s="492">
        <v>15</v>
      </c>
      <c r="CW180" s="497">
        <f>IF(('Comparison Calculator'!$E$11-CV180)&gt;=0,0,IFERROR(-PPMT($DA$66/12,(CU180-60),($F$1-5)*12,$DA$65),0))</f>
        <v>0</v>
      </c>
      <c r="CX180" s="497">
        <f>IF(('Comparison Calculator'!$E$11-CV180)&gt;=0,$C$1*$DA$66/12,IFERROR(-IPMT($DA$66/12,(CU180-60),($F$1-5)*12,$DA$65,0),0))</f>
        <v>0</v>
      </c>
      <c r="CY180" s="497">
        <f t="shared" si="75"/>
        <v>0</v>
      </c>
      <c r="CZ180" s="497">
        <f t="shared" si="88"/>
        <v>1800000</v>
      </c>
      <c r="DA180" s="493"/>
      <c r="DB180" s="493"/>
      <c r="DD180" s="492">
        <v>176</v>
      </c>
      <c r="DE180" s="492">
        <v>15</v>
      </c>
      <c r="DF180" s="497">
        <f>IF(('Comparison Calculator'!$E$11-DE180)&gt;=0,0,IFERROR(-PPMT($DJ$66/12,(DD180-60),($F$1-5)*12,$DJ$65),0))</f>
        <v>0</v>
      </c>
      <c r="DG180" s="497">
        <f>IF(('Comparison Calculator'!$E$11-DE180)&gt;=0,$C$1*$DJ$66/12,IFERROR(-IPMT($DJ$66/12,(DD180-60),($F$1-5)*12,$DJ$65,0),0))</f>
        <v>0</v>
      </c>
      <c r="DH180" s="497">
        <f t="shared" si="76"/>
        <v>0</v>
      </c>
      <c r="DI180" s="497">
        <f t="shared" si="89"/>
        <v>1800000</v>
      </c>
      <c r="DJ180" s="493"/>
      <c r="DK180" s="493"/>
    </row>
    <row r="181" spans="1:115">
      <c r="A181" s="492">
        <v>177</v>
      </c>
      <c r="B181" s="492">
        <v>15</v>
      </c>
      <c r="C181" s="497">
        <f>IF(('Comparison Calculator'!$E$11-B181)&gt;=0,0,IFERROR(-PPMT($G$66/12,(A181-60),($F$1-5)*12,$G$65),0))</f>
        <v>0</v>
      </c>
      <c r="D181" s="497">
        <f>IF(('Comparison Calculator'!$E$11-B181)&gt;=0,$C$1*$G$66/12,IFERROR(-IPMT($G$66/12,(A181-60),($F$1-5)*12,$G$65,0),0))</f>
        <v>0</v>
      </c>
      <c r="E181" s="497">
        <f t="shared" si="64"/>
        <v>0</v>
      </c>
      <c r="F181" s="497">
        <f t="shared" si="77"/>
        <v>1800000</v>
      </c>
      <c r="G181" s="493"/>
      <c r="H181" s="493"/>
      <c r="I181" s="489"/>
      <c r="J181" s="492">
        <v>177</v>
      </c>
      <c r="K181" s="492">
        <v>15</v>
      </c>
      <c r="L181" s="497">
        <f>IF(('Comparison Calculator'!$E$11-K181)&gt;=0,0,IFERROR(-PPMT($P$66/12,(J181-60),($F$1-5)*12,$P$65),0))</f>
        <v>0</v>
      </c>
      <c r="M181" s="497">
        <f>IF(('Comparison Calculator'!$E$11-K181)&gt;=0,$C$1*$P$66/12,IFERROR(-IPMT($P$66/12,(J181-60),($F$1-5)*12,$P$65,0),0))</f>
        <v>0</v>
      </c>
      <c r="N181" s="497">
        <f t="shared" si="65"/>
        <v>0</v>
      </c>
      <c r="O181" s="497">
        <f t="shared" si="78"/>
        <v>1800000</v>
      </c>
      <c r="P181" s="493"/>
      <c r="Q181" s="493"/>
      <c r="S181" s="492">
        <v>177</v>
      </c>
      <c r="T181" s="492">
        <v>15</v>
      </c>
      <c r="U181" s="497">
        <f>IF(('Comparison Calculator'!$E$11-T181)&gt;=0,0,IFERROR(-PPMT($Y$66/12,(S181-60),($F$1-5)*12,$Y$65),0))</f>
        <v>0</v>
      </c>
      <c r="V181" s="497">
        <f>IF(('Comparison Calculator'!$E$11-T181)&gt;=0,$C$1*$Y$66/12,IFERROR(-IPMT($Y$66/12,(S181-60),($F$1-5)*12,$Y$65,0),0))</f>
        <v>0</v>
      </c>
      <c r="W181" s="497">
        <f t="shared" si="66"/>
        <v>0</v>
      </c>
      <c r="X181" s="497">
        <f t="shared" si="79"/>
        <v>1800000</v>
      </c>
      <c r="Y181" s="493"/>
      <c r="Z181" s="493"/>
      <c r="AB181" s="492">
        <v>177</v>
      </c>
      <c r="AC181" s="492">
        <v>15</v>
      </c>
      <c r="AD181" s="497">
        <f>IF(('Comparison Calculator'!$E$11-AC181)&gt;=0,0,IFERROR(-PPMT($AH$66/12,(AB181-60),($F$1-5)*12,$AH$65),0))</f>
        <v>0</v>
      </c>
      <c r="AE181" s="497">
        <f>IF(('Comparison Calculator'!$E$11-AC181)&gt;=0,$C$1*$AH$66/12,IFERROR(-IPMT($AH$66/12,(AB181-60),($F$1-5)*12,$AH$65,0),0))</f>
        <v>0</v>
      </c>
      <c r="AF181" s="497">
        <f t="shared" si="67"/>
        <v>0</v>
      </c>
      <c r="AG181" s="497">
        <f t="shared" si="80"/>
        <v>1800000</v>
      </c>
      <c r="AH181" s="493"/>
      <c r="AI181" s="493"/>
      <c r="AK181" s="492">
        <v>177</v>
      </c>
      <c r="AL181" s="492">
        <v>15</v>
      </c>
      <c r="AM181" s="497">
        <f>IF(('Comparison Calculator'!$E$11-AL181)&gt;=0,0,IFERROR(-PPMT($AQ$66/12,(AK181-60),($F$1-5)*12,$AQ$65),0))</f>
        <v>0</v>
      </c>
      <c r="AN181" s="497">
        <f>IF(('Comparison Calculator'!$E$11-AL181)&gt;=0,$C$1*$AQ$66/12,IFERROR(-IPMT($AQ$66/12,(AK181-60),($F$1-5)*12,$AQ$65,0),0))</f>
        <v>0</v>
      </c>
      <c r="AO181" s="497">
        <f t="shared" si="68"/>
        <v>0</v>
      </c>
      <c r="AP181" s="497">
        <f t="shared" si="81"/>
        <v>1800000</v>
      </c>
      <c r="AQ181" s="493"/>
      <c r="AR181" s="493"/>
      <c r="AT181" s="492">
        <v>177</v>
      </c>
      <c r="AU181" s="492">
        <v>15</v>
      </c>
      <c r="AV181" s="497">
        <f>IF(('Comparison Calculator'!$E$11-AU181)&gt;=0,0,IFERROR(-PPMT($AZ$66/12,(AT181-60),($F$1-5)*12,$AZ$65),0))</f>
        <v>0</v>
      </c>
      <c r="AW181" s="497">
        <f>IF(('Comparison Calculator'!$E$11-AU181)&gt;=0,$C$1*$AZ$66/12,IFERROR(-IPMT($AZ$66/12,(AT181-60),($F$1-5)*12,$AZ$65,0),0))</f>
        <v>0</v>
      </c>
      <c r="AX181" s="497">
        <f t="shared" si="69"/>
        <v>0</v>
      </c>
      <c r="AY181" s="497">
        <f t="shared" si="82"/>
        <v>1800000</v>
      </c>
      <c r="AZ181" s="493"/>
      <c r="BA181" s="493"/>
      <c r="BC181" s="492">
        <v>177</v>
      </c>
      <c r="BD181" s="492">
        <v>15</v>
      </c>
      <c r="BE181" s="497">
        <f>IF(('Comparison Calculator'!$E$11-BD181)&gt;=0,0,IFERROR(-PPMT($BI$66/12,(BC181-60),($F$1-5)*12,$BI$65),0))</f>
        <v>0</v>
      </c>
      <c r="BF181" s="497">
        <f>IF(('Comparison Calculator'!$E$11-BD181)&gt;=0,$C$1*$BI$66/12,IFERROR(-IPMT($BI$66/12,(BC181-60),($F$1-5)*12,$BI$65,0),0))</f>
        <v>0</v>
      </c>
      <c r="BG181" s="497">
        <f t="shared" si="70"/>
        <v>0</v>
      </c>
      <c r="BH181" s="497">
        <f t="shared" si="83"/>
        <v>1800000</v>
      </c>
      <c r="BI181" s="493"/>
      <c r="BJ181" s="493"/>
      <c r="BK181" s="492">
        <v>177</v>
      </c>
      <c r="BL181" s="492">
        <v>15</v>
      </c>
      <c r="BM181" s="497">
        <f>IF(('Comparison Calculator'!$E$11-BL181)&gt;=0,0,IFERROR(-PPMT($BQ$66/12,(BK181-60),($F$1-5)*12,$BQ$65),0))</f>
        <v>0</v>
      </c>
      <c r="BN181" s="497">
        <f>IF(('Comparison Calculator'!$E$11-BL181)&gt;=0,$C$1*$BQ$66/12,IFERROR(-IPMT($BQ$66/12,(BK181-60),($F$1-5)*12,$BQ$65,0),0))</f>
        <v>0</v>
      </c>
      <c r="BO181" s="497">
        <f t="shared" si="71"/>
        <v>0</v>
      </c>
      <c r="BP181" s="497">
        <f t="shared" si="84"/>
        <v>1800000</v>
      </c>
      <c r="BQ181" s="493"/>
      <c r="BR181" s="493"/>
      <c r="BT181" s="492">
        <v>177</v>
      </c>
      <c r="BU181" s="492">
        <v>15</v>
      </c>
      <c r="BV181" s="497">
        <f>IF(('Comparison Calculator'!$E$11-BU181)&gt;=0,0,IFERROR(-PPMT($BZ$66/12,(BT181-60),($F$1-5)*12,$BZ$65),0))</f>
        <v>0</v>
      </c>
      <c r="BW181" s="497">
        <f>IF(('Comparison Calculator'!$E$11-BU181)&gt;=0,$C$1*$BZ$66/12,IFERROR(-IPMT($BZ$66/12,(BT181-60),($F$1-5)*12,$BZ$65,0),0))</f>
        <v>0</v>
      </c>
      <c r="BX181" s="497">
        <f t="shared" si="72"/>
        <v>0</v>
      </c>
      <c r="BY181" s="497">
        <f t="shared" si="85"/>
        <v>1800000</v>
      </c>
      <c r="BZ181" s="493"/>
      <c r="CA181" s="493"/>
      <c r="CC181" s="492">
        <v>177</v>
      </c>
      <c r="CD181" s="492">
        <v>15</v>
      </c>
      <c r="CE181" s="497">
        <f>IF(('Comparison Calculator'!$E$11-CD181)&gt;=0,0,IFERROR(-PPMT($CI$66/12,(CC181-60),($F$1-5)*12,$CI$65),0))</f>
        <v>0</v>
      </c>
      <c r="CF181" s="497">
        <f>IF(('Comparison Calculator'!$E$11-CD181)&gt;=0,$C$1*$CI$66/12,IFERROR(-IPMT($CI$66/12,(CC181-60),($F$1-5)*12,$CI$65,0),0))</f>
        <v>0</v>
      </c>
      <c r="CG181" s="497">
        <f t="shared" si="73"/>
        <v>0</v>
      </c>
      <c r="CH181" s="497">
        <f t="shared" si="86"/>
        <v>1800000</v>
      </c>
      <c r="CI181" s="493"/>
      <c r="CJ181" s="493"/>
      <c r="CL181" s="492">
        <v>177</v>
      </c>
      <c r="CM181" s="492">
        <v>15</v>
      </c>
      <c r="CN181" s="497">
        <f>IF(('Comparison Calculator'!$E$11-CM181)&gt;=0,0,IFERROR(-PPMT($CR$66/12,(CL181-60),($F$1-5)*12,$CR$65),0))</f>
        <v>0</v>
      </c>
      <c r="CO181" s="497">
        <f>IF(('Comparison Calculator'!$E$11-CM181)&gt;=0,$C$1*$CI$66/12,IFERROR(-IPMT($CI$66/12,(CL181-60),($F$1-5)*12,$CI$65,0),0))</f>
        <v>0</v>
      </c>
      <c r="CP181" s="497">
        <f t="shared" si="74"/>
        <v>0</v>
      </c>
      <c r="CQ181" s="497">
        <f t="shared" si="87"/>
        <v>1800000</v>
      </c>
      <c r="CR181" s="493"/>
      <c r="CS181" s="493"/>
      <c r="CU181" s="492">
        <v>177</v>
      </c>
      <c r="CV181" s="492">
        <v>15</v>
      </c>
      <c r="CW181" s="497">
        <f>IF(('Comparison Calculator'!$E$11-CV181)&gt;=0,0,IFERROR(-PPMT($DA$66/12,(CU181-60),($F$1-5)*12,$DA$65),0))</f>
        <v>0</v>
      </c>
      <c r="CX181" s="497">
        <f>IF(('Comparison Calculator'!$E$11-CV181)&gt;=0,$C$1*$DA$66/12,IFERROR(-IPMT($DA$66/12,(CU181-60),($F$1-5)*12,$DA$65,0),0))</f>
        <v>0</v>
      </c>
      <c r="CY181" s="497">
        <f t="shared" si="75"/>
        <v>0</v>
      </c>
      <c r="CZ181" s="497">
        <f t="shared" si="88"/>
        <v>1800000</v>
      </c>
      <c r="DA181" s="493"/>
      <c r="DB181" s="493"/>
      <c r="DD181" s="492">
        <v>177</v>
      </c>
      <c r="DE181" s="492">
        <v>15</v>
      </c>
      <c r="DF181" s="497">
        <f>IF(('Comparison Calculator'!$E$11-DE181)&gt;=0,0,IFERROR(-PPMT($DJ$66/12,(DD181-60),($F$1-5)*12,$DJ$65),0))</f>
        <v>0</v>
      </c>
      <c r="DG181" s="497">
        <f>IF(('Comparison Calculator'!$E$11-DE181)&gt;=0,$C$1*$DJ$66/12,IFERROR(-IPMT($DJ$66/12,(DD181-60),($F$1-5)*12,$DJ$65,0),0))</f>
        <v>0</v>
      </c>
      <c r="DH181" s="497">
        <f t="shared" si="76"/>
        <v>0</v>
      </c>
      <c r="DI181" s="497">
        <f t="shared" si="89"/>
        <v>1800000</v>
      </c>
      <c r="DJ181" s="493"/>
      <c r="DK181" s="493"/>
    </row>
    <row r="182" spans="1:115">
      <c r="A182" s="492">
        <v>178</v>
      </c>
      <c r="B182" s="492">
        <v>15</v>
      </c>
      <c r="C182" s="497">
        <f>IF(('Comparison Calculator'!$E$11-B182)&gt;=0,0,IFERROR(-PPMT($G$66/12,(A182-60),($F$1-5)*12,$G$65),0))</f>
        <v>0</v>
      </c>
      <c r="D182" s="497">
        <f>IF(('Comparison Calculator'!$E$11-B182)&gt;=0,$C$1*$G$66/12,IFERROR(-IPMT($G$66/12,(A182-60),($F$1-5)*12,$G$65,0),0))</f>
        <v>0</v>
      </c>
      <c r="E182" s="497">
        <f t="shared" si="64"/>
        <v>0</v>
      </c>
      <c r="F182" s="497">
        <f t="shared" si="77"/>
        <v>1800000</v>
      </c>
      <c r="G182" s="493"/>
      <c r="H182" s="493"/>
      <c r="I182" s="489"/>
      <c r="J182" s="492">
        <v>178</v>
      </c>
      <c r="K182" s="492">
        <v>15</v>
      </c>
      <c r="L182" s="497">
        <f>IF(('Comparison Calculator'!$E$11-K182)&gt;=0,0,IFERROR(-PPMT($P$66/12,(J182-60),($F$1-5)*12,$P$65),0))</f>
        <v>0</v>
      </c>
      <c r="M182" s="497">
        <f>IF(('Comparison Calculator'!$E$11-K182)&gt;=0,$C$1*$P$66/12,IFERROR(-IPMT($P$66/12,(J182-60),($F$1-5)*12,$P$65,0),0))</f>
        <v>0</v>
      </c>
      <c r="N182" s="497">
        <f t="shared" si="65"/>
        <v>0</v>
      </c>
      <c r="O182" s="497">
        <f t="shared" si="78"/>
        <v>1800000</v>
      </c>
      <c r="P182" s="493"/>
      <c r="Q182" s="493"/>
      <c r="S182" s="492">
        <v>178</v>
      </c>
      <c r="T182" s="492">
        <v>15</v>
      </c>
      <c r="U182" s="497">
        <f>IF(('Comparison Calculator'!$E$11-T182)&gt;=0,0,IFERROR(-PPMT($Y$66/12,(S182-60),($F$1-5)*12,$Y$65),0))</f>
        <v>0</v>
      </c>
      <c r="V182" s="497">
        <f>IF(('Comparison Calculator'!$E$11-T182)&gt;=0,$C$1*$Y$66/12,IFERROR(-IPMT($Y$66/12,(S182-60),($F$1-5)*12,$Y$65,0),0))</f>
        <v>0</v>
      </c>
      <c r="W182" s="497">
        <f t="shared" si="66"/>
        <v>0</v>
      </c>
      <c r="X182" s="497">
        <f t="shared" si="79"/>
        <v>1800000</v>
      </c>
      <c r="Y182" s="493"/>
      <c r="Z182" s="493"/>
      <c r="AB182" s="492">
        <v>178</v>
      </c>
      <c r="AC182" s="492">
        <v>15</v>
      </c>
      <c r="AD182" s="497">
        <f>IF(('Comparison Calculator'!$E$11-AC182)&gt;=0,0,IFERROR(-PPMT($AH$66/12,(AB182-60),($F$1-5)*12,$AH$65),0))</f>
        <v>0</v>
      </c>
      <c r="AE182" s="497">
        <f>IF(('Comparison Calculator'!$E$11-AC182)&gt;=0,$C$1*$AH$66/12,IFERROR(-IPMT($AH$66/12,(AB182-60),($F$1-5)*12,$AH$65,0),0))</f>
        <v>0</v>
      </c>
      <c r="AF182" s="497">
        <f t="shared" si="67"/>
        <v>0</v>
      </c>
      <c r="AG182" s="497">
        <f t="shared" si="80"/>
        <v>1800000</v>
      </c>
      <c r="AH182" s="493"/>
      <c r="AI182" s="493"/>
      <c r="AK182" s="492">
        <v>178</v>
      </c>
      <c r="AL182" s="492">
        <v>15</v>
      </c>
      <c r="AM182" s="497">
        <f>IF(('Comparison Calculator'!$E$11-AL182)&gt;=0,0,IFERROR(-PPMT($AQ$66/12,(AK182-60),($F$1-5)*12,$AQ$65),0))</f>
        <v>0</v>
      </c>
      <c r="AN182" s="497">
        <f>IF(('Comparison Calculator'!$E$11-AL182)&gt;=0,$C$1*$AQ$66/12,IFERROR(-IPMT($AQ$66/12,(AK182-60),($F$1-5)*12,$AQ$65,0),0))</f>
        <v>0</v>
      </c>
      <c r="AO182" s="497">
        <f t="shared" si="68"/>
        <v>0</v>
      </c>
      <c r="AP182" s="497">
        <f t="shared" si="81"/>
        <v>1800000</v>
      </c>
      <c r="AQ182" s="493"/>
      <c r="AR182" s="493"/>
      <c r="AT182" s="492">
        <v>178</v>
      </c>
      <c r="AU182" s="492">
        <v>15</v>
      </c>
      <c r="AV182" s="497">
        <f>IF(('Comparison Calculator'!$E$11-AU182)&gt;=0,0,IFERROR(-PPMT($AZ$66/12,(AT182-60),($F$1-5)*12,$AZ$65),0))</f>
        <v>0</v>
      </c>
      <c r="AW182" s="497">
        <f>IF(('Comparison Calculator'!$E$11-AU182)&gt;=0,$C$1*$AZ$66/12,IFERROR(-IPMT($AZ$66/12,(AT182-60),($F$1-5)*12,$AZ$65,0),0))</f>
        <v>0</v>
      </c>
      <c r="AX182" s="497">
        <f t="shared" si="69"/>
        <v>0</v>
      </c>
      <c r="AY182" s="497">
        <f t="shared" si="82"/>
        <v>1800000</v>
      </c>
      <c r="AZ182" s="493"/>
      <c r="BA182" s="493"/>
      <c r="BC182" s="492">
        <v>178</v>
      </c>
      <c r="BD182" s="492">
        <v>15</v>
      </c>
      <c r="BE182" s="497">
        <f>IF(('Comparison Calculator'!$E$11-BD182)&gt;=0,0,IFERROR(-PPMT($BI$66/12,(BC182-60),($F$1-5)*12,$BI$65),0))</f>
        <v>0</v>
      </c>
      <c r="BF182" s="497">
        <f>IF(('Comparison Calculator'!$E$11-BD182)&gt;=0,$C$1*$BI$66/12,IFERROR(-IPMT($BI$66/12,(BC182-60),($F$1-5)*12,$BI$65,0),0))</f>
        <v>0</v>
      </c>
      <c r="BG182" s="497">
        <f t="shared" si="70"/>
        <v>0</v>
      </c>
      <c r="BH182" s="497">
        <f t="shared" si="83"/>
        <v>1800000</v>
      </c>
      <c r="BI182" s="493"/>
      <c r="BJ182" s="493"/>
      <c r="BK182" s="492">
        <v>178</v>
      </c>
      <c r="BL182" s="492">
        <v>15</v>
      </c>
      <c r="BM182" s="497">
        <f>IF(('Comparison Calculator'!$E$11-BL182)&gt;=0,0,IFERROR(-PPMT($BQ$66/12,(BK182-60),($F$1-5)*12,$BQ$65),0))</f>
        <v>0</v>
      </c>
      <c r="BN182" s="497">
        <f>IF(('Comparison Calculator'!$E$11-BL182)&gt;=0,$C$1*$BQ$66/12,IFERROR(-IPMT($BQ$66/12,(BK182-60),($F$1-5)*12,$BQ$65,0),0))</f>
        <v>0</v>
      </c>
      <c r="BO182" s="497">
        <f t="shared" si="71"/>
        <v>0</v>
      </c>
      <c r="BP182" s="497">
        <f t="shared" si="84"/>
        <v>1800000</v>
      </c>
      <c r="BQ182" s="493"/>
      <c r="BR182" s="493"/>
      <c r="BT182" s="492">
        <v>178</v>
      </c>
      <c r="BU182" s="492">
        <v>15</v>
      </c>
      <c r="BV182" s="497">
        <f>IF(('Comparison Calculator'!$E$11-BU182)&gt;=0,0,IFERROR(-PPMT($BZ$66/12,(BT182-60),($F$1-5)*12,$BZ$65),0))</f>
        <v>0</v>
      </c>
      <c r="BW182" s="497">
        <f>IF(('Comparison Calculator'!$E$11-BU182)&gt;=0,$C$1*$BZ$66/12,IFERROR(-IPMT($BZ$66/12,(BT182-60),($F$1-5)*12,$BZ$65,0),0))</f>
        <v>0</v>
      </c>
      <c r="BX182" s="497">
        <f t="shared" si="72"/>
        <v>0</v>
      </c>
      <c r="BY182" s="497">
        <f t="shared" si="85"/>
        <v>1800000</v>
      </c>
      <c r="BZ182" s="493"/>
      <c r="CA182" s="493"/>
      <c r="CC182" s="492">
        <v>178</v>
      </c>
      <c r="CD182" s="492">
        <v>15</v>
      </c>
      <c r="CE182" s="497">
        <f>IF(('Comparison Calculator'!$E$11-CD182)&gt;=0,0,IFERROR(-PPMT($CI$66/12,(CC182-60),($F$1-5)*12,$CI$65),0))</f>
        <v>0</v>
      </c>
      <c r="CF182" s="497">
        <f>IF(('Comparison Calculator'!$E$11-CD182)&gt;=0,$C$1*$CI$66/12,IFERROR(-IPMT($CI$66/12,(CC182-60),($F$1-5)*12,$CI$65,0),0))</f>
        <v>0</v>
      </c>
      <c r="CG182" s="497">
        <f t="shared" si="73"/>
        <v>0</v>
      </c>
      <c r="CH182" s="497">
        <f t="shared" si="86"/>
        <v>1800000</v>
      </c>
      <c r="CI182" s="493"/>
      <c r="CJ182" s="493"/>
      <c r="CL182" s="492">
        <v>178</v>
      </c>
      <c r="CM182" s="492">
        <v>15</v>
      </c>
      <c r="CN182" s="497">
        <f>IF(('Comparison Calculator'!$E$11-CM182)&gt;=0,0,IFERROR(-PPMT($CR$66/12,(CL182-60),($F$1-5)*12,$CR$65),0))</f>
        <v>0</v>
      </c>
      <c r="CO182" s="497">
        <f>IF(('Comparison Calculator'!$E$11-CM182)&gt;=0,$C$1*$CI$66/12,IFERROR(-IPMT($CI$66/12,(CL182-60),($F$1-5)*12,$CI$65,0),0))</f>
        <v>0</v>
      </c>
      <c r="CP182" s="497">
        <f t="shared" si="74"/>
        <v>0</v>
      </c>
      <c r="CQ182" s="497">
        <f t="shared" si="87"/>
        <v>1800000</v>
      </c>
      <c r="CR182" s="493"/>
      <c r="CS182" s="493"/>
      <c r="CU182" s="492">
        <v>178</v>
      </c>
      <c r="CV182" s="492">
        <v>15</v>
      </c>
      <c r="CW182" s="497">
        <f>IF(('Comparison Calculator'!$E$11-CV182)&gt;=0,0,IFERROR(-PPMT($DA$66/12,(CU182-60),($F$1-5)*12,$DA$65),0))</f>
        <v>0</v>
      </c>
      <c r="CX182" s="497">
        <f>IF(('Comparison Calculator'!$E$11-CV182)&gt;=0,$C$1*$DA$66/12,IFERROR(-IPMT($DA$66/12,(CU182-60),($F$1-5)*12,$DA$65,0),0))</f>
        <v>0</v>
      </c>
      <c r="CY182" s="497">
        <f t="shared" si="75"/>
        <v>0</v>
      </c>
      <c r="CZ182" s="497">
        <f t="shared" si="88"/>
        <v>1800000</v>
      </c>
      <c r="DA182" s="493"/>
      <c r="DB182" s="493"/>
      <c r="DD182" s="492">
        <v>178</v>
      </c>
      <c r="DE182" s="492">
        <v>15</v>
      </c>
      <c r="DF182" s="497">
        <f>IF(('Comparison Calculator'!$E$11-DE182)&gt;=0,0,IFERROR(-PPMT($DJ$66/12,(DD182-60),($F$1-5)*12,$DJ$65),0))</f>
        <v>0</v>
      </c>
      <c r="DG182" s="497">
        <f>IF(('Comparison Calculator'!$E$11-DE182)&gt;=0,$C$1*$DJ$66/12,IFERROR(-IPMT($DJ$66/12,(DD182-60),($F$1-5)*12,$DJ$65,0),0))</f>
        <v>0</v>
      </c>
      <c r="DH182" s="497">
        <f t="shared" si="76"/>
        <v>0</v>
      </c>
      <c r="DI182" s="497">
        <f t="shared" si="89"/>
        <v>1800000</v>
      </c>
      <c r="DJ182" s="493"/>
      <c r="DK182" s="493"/>
    </row>
    <row r="183" spans="1:115">
      <c r="A183" s="492">
        <v>179</v>
      </c>
      <c r="B183" s="492">
        <v>15</v>
      </c>
      <c r="C183" s="497">
        <f>IF(('Comparison Calculator'!$E$11-B183)&gt;=0,0,IFERROR(-PPMT($G$66/12,(A183-60),($F$1-5)*12,$G$65),0))</f>
        <v>0</v>
      </c>
      <c r="D183" s="497">
        <f>IF(('Comparison Calculator'!$E$11-B183)&gt;=0,$C$1*$G$66/12,IFERROR(-IPMT($G$66/12,(A183-60),($F$1-5)*12,$G$65,0),0))</f>
        <v>0</v>
      </c>
      <c r="E183" s="497">
        <f t="shared" si="64"/>
        <v>0</v>
      </c>
      <c r="F183" s="497">
        <f t="shared" si="77"/>
        <v>1800000</v>
      </c>
      <c r="G183" s="493"/>
      <c r="H183" s="493"/>
      <c r="I183" s="489"/>
      <c r="J183" s="492">
        <v>179</v>
      </c>
      <c r="K183" s="492">
        <v>15</v>
      </c>
      <c r="L183" s="497">
        <f>IF(('Comparison Calculator'!$E$11-K183)&gt;=0,0,IFERROR(-PPMT($P$66/12,(J183-60),($F$1-5)*12,$P$65),0))</f>
        <v>0</v>
      </c>
      <c r="M183" s="497">
        <f>IF(('Comparison Calculator'!$E$11-K183)&gt;=0,$C$1*$P$66/12,IFERROR(-IPMT($P$66/12,(J183-60),($F$1-5)*12,$P$65,0),0))</f>
        <v>0</v>
      </c>
      <c r="N183" s="497">
        <f t="shared" si="65"/>
        <v>0</v>
      </c>
      <c r="O183" s="497">
        <f t="shared" si="78"/>
        <v>1800000</v>
      </c>
      <c r="P183" s="493"/>
      <c r="Q183" s="493"/>
      <c r="S183" s="492">
        <v>179</v>
      </c>
      <c r="T183" s="492">
        <v>15</v>
      </c>
      <c r="U183" s="497">
        <f>IF(('Comparison Calculator'!$E$11-T183)&gt;=0,0,IFERROR(-PPMT($Y$66/12,(S183-60),($F$1-5)*12,$Y$65),0))</f>
        <v>0</v>
      </c>
      <c r="V183" s="497">
        <f>IF(('Comparison Calculator'!$E$11-T183)&gt;=0,$C$1*$Y$66/12,IFERROR(-IPMT($Y$66/12,(S183-60),($F$1-5)*12,$Y$65,0),0))</f>
        <v>0</v>
      </c>
      <c r="W183" s="497">
        <f t="shared" si="66"/>
        <v>0</v>
      </c>
      <c r="X183" s="497">
        <f t="shared" si="79"/>
        <v>1800000</v>
      </c>
      <c r="Y183" s="493"/>
      <c r="Z183" s="493"/>
      <c r="AB183" s="492">
        <v>179</v>
      </c>
      <c r="AC183" s="492">
        <v>15</v>
      </c>
      <c r="AD183" s="497">
        <f>IF(('Comparison Calculator'!$E$11-AC183)&gt;=0,0,IFERROR(-PPMT($AH$66/12,(AB183-60),($F$1-5)*12,$AH$65),0))</f>
        <v>0</v>
      </c>
      <c r="AE183" s="497">
        <f>IF(('Comparison Calculator'!$E$11-AC183)&gt;=0,$C$1*$AH$66/12,IFERROR(-IPMT($AH$66/12,(AB183-60),($F$1-5)*12,$AH$65,0),0))</f>
        <v>0</v>
      </c>
      <c r="AF183" s="497">
        <f t="shared" si="67"/>
        <v>0</v>
      </c>
      <c r="AG183" s="497">
        <f t="shared" si="80"/>
        <v>1800000</v>
      </c>
      <c r="AH183" s="493"/>
      <c r="AI183" s="493"/>
      <c r="AK183" s="492">
        <v>179</v>
      </c>
      <c r="AL183" s="492">
        <v>15</v>
      </c>
      <c r="AM183" s="497">
        <f>IF(('Comparison Calculator'!$E$11-AL183)&gt;=0,0,IFERROR(-PPMT($AQ$66/12,(AK183-60),($F$1-5)*12,$AQ$65),0))</f>
        <v>0</v>
      </c>
      <c r="AN183" s="497">
        <f>IF(('Comparison Calculator'!$E$11-AL183)&gt;=0,$C$1*$AQ$66/12,IFERROR(-IPMT($AQ$66/12,(AK183-60),($F$1-5)*12,$AQ$65,0),0))</f>
        <v>0</v>
      </c>
      <c r="AO183" s="497">
        <f t="shared" si="68"/>
        <v>0</v>
      </c>
      <c r="AP183" s="497">
        <f t="shared" si="81"/>
        <v>1800000</v>
      </c>
      <c r="AQ183" s="493"/>
      <c r="AR183" s="493"/>
      <c r="AT183" s="492">
        <v>179</v>
      </c>
      <c r="AU183" s="492">
        <v>15</v>
      </c>
      <c r="AV183" s="497">
        <f>IF(('Comparison Calculator'!$E$11-AU183)&gt;=0,0,IFERROR(-PPMT($AZ$66/12,(AT183-60),($F$1-5)*12,$AZ$65),0))</f>
        <v>0</v>
      </c>
      <c r="AW183" s="497">
        <f>IF(('Comparison Calculator'!$E$11-AU183)&gt;=0,$C$1*$AZ$66/12,IFERROR(-IPMT($AZ$66/12,(AT183-60),($F$1-5)*12,$AZ$65,0),0))</f>
        <v>0</v>
      </c>
      <c r="AX183" s="497">
        <f t="shared" si="69"/>
        <v>0</v>
      </c>
      <c r="AY183" s="497">
        <f t="shared" si="82"/>
        <v>1800000</v>
      </c>
      <c r="AZ183" s="493"/>
      <c r="BA183" s="493"/>
      <c r="BC183" s="492">
        <v>179</v>
      </c>
      <c r="BD183" s="492">
        <v>15</v>
      </c>
      <c r="BE183" s="497">
        <f>IF(('Comparison Calculator'!$E$11-BD183)&gt;=0,0,IFERROR(-PPMT($BI$66/12,(BC183-60),($F$1-5)*12,$BI$65),0))</f>
        <v>0</v>
      </c>
      <c r="BF183" s="497">
        <f>IF(('Comparison Calculator'!$E$11-BD183)&gt;=0,$C$1*$BI$66/12,IFERROR(-IPMT($BI$66/12,(BC183-60),($F$1-5)*12,$BI$65,0),0))</f>
        <v>0</v>
      </c>
      <c r="BG183" s="497">
        <f t="shared" si="70"/>
        <v>0</v>
      </c>
      <c r="BH183" s="497">
        <f t="shared" si="83"/>
        <v>1800000</v>
      </c>
      <c r="BI183" s="493"/>
      <c r="BJ183" s="493"/>
      <c r="BK183" s="492">
        <v>179</v>
      </c>
      <c r="BL183" s="492">
        <v>15</v>
      </c>
      <c r="BM183" s="497">
        <f>IF(('Comparison Calculator'!$E$11-BL183)&gt;=0,0,IFERROR(-PPMT($BQ$66/12,(BK183-60),($F$1-5)*12,$BQ$65),0))</f>
        <v>0</v>
      </c>
      <c r="BN183" s="497">
        <f>IF(('Comparison Calculator'!$E$11-BL183)&gt;=0,$C$1*$BQ$66/12,IFERROR(-IPMT($BQ$66/12,(BK183-60),($F$1-5)*12,$BQ$65,0),0))</f>
        <v>0</v>
      </c>
      <c r="BO183" s="497">
        <f t="shared" si="71"/>
        <v>0</v>
      </c>
      <c r="BP183" s="497">
        <f t="shared" si="84"/>
        <v>1800000</v>
      </c>
      <c r="BQ183" s="493"/>
      <c r="BR183" s="493"/>
      <c r="BT183" s="492">
        <v>179</v>
      </c>
      <c r="BU183" s="492">
        <v>15</v>
      </c>
      <c r="BV183" s="497">
        <f>IF(('Comparison Calculator'!$E$11-BU183)&gt;=0,0,IFERROR(-PPMT($BZ$66/12,(BT183-60),($F$1-5)*12,$BZ$65),0))</f>
        <v>0</v>
      </c>
      <c r="BW183" s="497">
        <f>IF(('Comparison Calculator'!$E$11-BU183)&gt;=0,$C$1*$BZ$66/12,IFERROR(-IPMT($BZ$66/12,(BT183-60),($F$1-5)*12,$BZ$65,0),0))</f>
        <v>0</v>
      </c>
      <c r="BX183" s="497">
        <f t="shared" si="72"/>
        <v>0</v>
      </c>
      <c r="BY183" s="497">
        <f t="shared" si="85"/>
        <v>1800000</v>
      </c>
      <c r="BZ183" s="493"/>
      <c r="CA183" s="493"/>
      <c r="CC183" s="492">
        <v>179</v>
      </c>
      <c r="CD183" s="492">
        <v>15</v>
      </c>
      <c r="CE183" s="497">
        <f>IF(('Comparison Calculator'!$E$11-CD183)&gt;=0,0,IFERROR(-PPMT($CI$66/12,(CC183-60),($F$1-5)*12,$CI$65),0))</f>
        <v>0</v>
      </c>
      <c r="CF183" s="497">
        <f>IF(('Comparison Calculator'!$E$11-CD183)&gt;=0,$C$1*$CI$66/12,IFERROR(-IPMT($CI$66/12,(CC183-60),($F$1-5)*12,$CI$65,0),0))</f>
        <v>0</v>
      </c>
      <c r="CG183" s="497">
        <f t="shared" si="73"/>
        <v>0</v>
      </c>
      <c r="CH183" s="497">
        <f t="shared" si="86"/>
        <v>1800000</v>
      </c>
      <c r="CI183" s="493"/>
      <c r="CJ183" s="493"/>
      <c r="CL183" s="492">
        <v>179</v>
      </c>
      <c r="CM183" s="492">
        <v>15</v>
      </c>
      <c r="CN183" s="497">
        <f>IF(('Comparison Calculator'!$E$11-CM183)&gt;=0,0,IFERROR(-PPMT($CR$66/12,(CL183-60),($F$1-5)*12,$CR$65),0))</f>
        <v>0</v>
      </c>
      <c r="CO183" s="497">
        <f>IF(('Comparison Calculator'!$E$11-CM183)&gt;=0,$C$1*$CI$66/12,IFERROR(-IPMT($CI$66/12,(CL183-60),($F$1-5)*12,$CI$65,0),0))</f>
        <v>0</v>
      </c>
      <c r="CP183" s="497">
        <f t="shared" si="74"/>
        <v>0</v>
      </c>
      <c r="CQ183" s="497">
        <f t="shared" si="87"/>
        <v>1800000</v>
      </c>
      <c r="CR183" s="493"/>
      <c r="CS183" s="493"/>
      <c r="CU183" s="492">
        <v>179</v>
      </c>
      <c r="CV183" s="492">
        <v>15</v>
      </c>
      <c r="CW183" s="497">
        <f>IF(('Comparison Calculator'!$E$11-CV183)&gt;=0,0,IFERROR(-PPMT($DA$66/12,(CU183-60),($F$1-5)*12,$DA$65),0))</f>
        <v>0</v>
      </c>
      <c r="CX183" s="497">
        <f>IF(('Comparison Calculator'!$E$11-CV183)&gt;=0,$C$1*$DA$66/12,IFERROR(-IPMT($DA$66/12,(CU183-60),($F$1-5)*12,$DA$65,0),0))</f>
        <v>0</v>
      </c>
      <c r="CY183" s="497">
        <f t="shared" si="75"/>
        <v>0</v>
      </c>
      <c r="CZ183" s="497">
        <f t="shared" si="88"/>
        <v>1800000</v>
      </c>
      <c r="DA183" s="493"/>
      <c r="DB183" s="493"/>
      <c r="DD183" s="492">
        <v>179</v>
      </c>
      <c r="DE183" s="492">
        <v>15</v>
      </c>
      <c r="DF183" s="497">
        <f>IF(('Comparison Calculator'!$E$11-DE183)&gt;=0,0,IFERROR(-PPMT($DJ$66/12,(DD183-60),($F$1-5)*12,$DJ$65),0))</f>
        <v>0</v>
      </c>
      <c r="DG183" s="497">
        <f>IF(('Comparison Calculator'!$E$11-DE183)&gt;=0,$C$1*$DJ$66/12,IFERROR(-IPMT($DJ$66/12,(DD183-60),($F$1-5)*12,$DJ$65,0),0))</f>
        <v>0</v>
      </c>
      <c r="DH183" s="497">
        <f t="shared" si="76"/>
        <v>0</v>
      </c>
      <c r="DI183" s="497">
        <f t="shared" si="89"/>
        <v>1800000</v>
      </c>
      <c r="DJ183" s="493"/>
      <c r="DK183" s="493"/>
    </row>
    <row r="184" spans="1:115">
      <c r="A184" s="492">
        <v>180</v>
      </c>
      <c r="B184" s="492">
        <v>15</v>
      </c>
      <c r="C184" s="497">
        <f>IF(('Comparison Calculator'!$E$11-B184)&gt;=0,0,IFERROR(-PPMT($G$66/12,(A184-60),($F$1-5)*12,$G$65),0))</f>
        <v>0</v>
      </c>
      <c r="D184" s="497">
        <f>IF(('Comparison Calculator'!$E$11-B184)&gt;=0,$C$1*$G$66/12,IFERROR(-IPMT($G$66/12,(A184-60),($F$1-5)*12,$G$65,0),0))</f>
        <v>0</v>
      </c>
      <c r="E184" s="497">
        <f t="shared" si="64"/>
        <v>0</v>
      </c>
      <c r="F184" s="497">
        <f t="shared" si="77"/>
        <v>1800000</v>
      </c>
      <c r="G184" s="493"/>
      <c r="H184" s="493"/>
      <c r="I184" s="489"/>
      <c r="J184" s="492">
        <v>180</v>
      </c>
      <c r="K184" s="492">
        <v>15</v>
      </c>
      <c r="L184" s="497">
        <f>IF(('Comparison Calculator'!$E$11-K184)&gt;=0,0,IFERROR(-PPMT($P$66/12,(J184-60),($F$1-5)*12,$P$65),0))</f>
        <v>0</v>
      </c>
      <c r="M184" s="497">
        <f>IF(('Comparison Calculator'!$E$11-K184)&gt;=0,$C$1*$P$66/12,IFERROR(-IPMT($P$66/12,(J184-60),($F$1-5)*12,$P$65,0),0))</f>
        <v>0</v>
      </c>
      <c r="N184" s="497">
        <f t="shared" si="65"/>
        <v>0</v>
      </c>
      <c r="O184" s="497">
        <f t="shared" si="78"/>
        <v>1800000</v>
      </c>
      <c r="P184" s="493"/>
      <c r="Q184" s="493"/>
      <c r="S184" s="492">
        <v>180</v>
      </c>
      <c r="T184" s="492">
        <v>15</v>
      </c>
      <c r="U184" s="497">
        <f>IF(('Comparison Calculator'!$E$11-T184)&gt;=0,0,IFERROR(-PPMT($Y$66/12,(S184-60),($F$1-5)*12,$Y$65),0))</f>
        <v>0</v>
      </c>
      <c r="V184" s="497">
        <f>IF(('Comparison Calculator'!$E$11-T184)&gt;=0,$C$1*$Y$66/12,IFERROR(-IPMT($Y$66/12,(S184-60),($F$1-5)*12,$Y$65,0),0))</f>
        <v>0</v>
      </c>
      <c r="W184" s="497">
        <f t="shared" si="66"/>
        <v>0</v>
      </c>
      <c r="X184" s="497">
        <f t="shared" si="79"/>
        <v>1800000</v>
      </c>
      <c r="Y184" s="493"/>
      <c r="Z184" s="493"/>
      <c r="AB184" s="492">
        <v>180</v>
      </c>
      <c r="AC184" s="492">
        <v>15</v>
      </c>
      <c r="AD184" s="497">
        <f>IF(('Comparison Calculator'!$E$11-AC184)&gt;=0,0,IFERROR(-PPMT($AH$66/12,(AB184-60),($F$1-5)*12,$AH$65),0))</f>
        <v>0</v>
      </c>
      <c r="AE184" s="497">
        <f>IF(('Comparison Calculator'!$E$11-AC184)&gt;=0,$C$1*$AH$66/12,IFERROR(-IPMT($AH$66/12,(AB184-60),($F$1-5)*12,$AH$65,0),0))</f>
        <v>0</v>
      </c>
      <c r="AF184" s="497">
        <f t="shared" si="67"/>
        <v>0</v>
      </c>
      <c r="AG184" s="497">
        <f t="shared" si="80"/>
        <v>1800000</v>
      </c>
      <c r="AH184" s="493"/>
      <c r="AI184" s="493"/>
      <c r="AK184" s="492">
        <v>180</v>
      </c>
      <c r="AL184" s="492">
        <v>15</v>
      </c>
      <c r="AM184" s="497">
        <f>IF(('Comparison Calculator'!$E$11-AL184)&gt;=0,0,IFERROR(-PPMT($AQ$66/12,(AK184-60),($F$1-5)*12,$AQ$65),0))</f>
        <v>0</v>
      </c>
      <c r="AN184" s="497">
        <f>IF(('Comparison Calculator'!$E$11-AL184)&gt;=0,$C$1*$AQ$66/12,IFERROR(-IPMT($AQ$66/12,(AK184-60),($F$1-5)*12,$AQ$65,0),0))</f>
        <v>0</v>
      </c>
      <c r="AO184" s="497">
        <f t="shared" si="68"/>
        <v>0</v>
      </c>
      <c r="AP184" s="497">
        <f t="shared" si="81"/>
        <v>1800000</v>
      </c>
      <c r="AQ184" s="493"/>
      <c r="AR184" s="493"/>
      <c r="AT184" s="492">
        <v>180</v>
      </c>
      <c r="AU184" s="492">
        <v>15</v>
      </c>
      <c r="AV184" s="497">
        <f>IF(('Comparison Calculator'!$E$11-AU184)&gt;=0,0,IFERROR(-PPMT($AZ$66/12,(AT184-60),($F$1-5)*12,$AZ$65),0))</f>
        <v>0</v>
      </c>
      <c r="AW184" s="497">
        <f>IF(('Comparison Calculator'!$E$11-AU184)&gt;=0,$C$1*$AZ$66/12,IFERROR(-IPMT($AZ$66/12,(AT184-60),($F$1-5)*12,$AZ$65,0),0))</f>
        <v>0</v>
      </c>
      <c r="AX184" s="497">
        <f t="shared" si="69"/>
        <v>0</v>
      </c>
      <c r="AY184" s="497">
        <f t="shared" si="82"/>
        <v>1800000</v>
      </c>
      <c r="AZ184" s="493"/>
      <c r="BA184" s="493"/>
      <c r="BC184" s="492">
        <v>180</v>
      </c>
      <c r="BD184" s="492">
        <v>15</v>
      </c>
      <c r="BE184" s="497">
        <f>IF(('Comparison Calculator'!$E$11-BD184)&gt;=0,0,IFERROR(-PPMT($BI$66/12,(BC184-60),($F$1-5)*12,$BI$65),0))</f>
        <v>0</v>
      </c>
      <c r="BF184" s="497">
        <f>IF(('Comparison Calculator'!$E$11-BD184)&gt;=0,$C$1*$BI$66/12,IFERROR(-IPMT($BI$66/12,(BC184-60),($F$1-5)*12,$BI$65,0),0))</f>
        <v>0</v>
      </c>
      <c r="BG184" s="497">
        <f t="shared" si="70"/>
        <v>0</v>
      </c>
      <c r="BH184" s="497">
        <f t="shared" si="83"/>
        <v>1800000</v>
      </c>
      <c r="BI184" s="493"/>
      <c r="BJ184" s="493"/>
      <c r="BK184" s="492">
        <v>180</v>
      </c>
      <c r="BL184" s="492">
        <v>15</v>
      </c>
      <c r="BM184" s="497">
        <f>IF(('Comparison Calculator'!$E$11-BL184)&gt;=0,0,IFERROR(-PPMT($BQ$66/12,(BK184-60),($F$1-5)*12,$BQ$65),0))</f>
        <v>0</v>
      </c>
      <c r="BN184" s="497">
        <f>IF(('Comparison Calculator'!$E$11-BL184)&gt;=0,$C$1*$BQ$66/12,IFERROR(-IPMT($BQ$66/12,(BK184-60),($F$1-5)*12,$BQ$65,0),0))</f>
        <v>0</v>
      </c>
      <c r="BO184" s="497">
        <f t="shared" si="71"/>
        <v>0</v>
      </c>
      <c r="BP184" s="497">
        <f t="shared" si="84"/>
        <v>1800000</v>
      </c>
      <c r="BQ184" s="493"/>
      <c r="BR184" s="493"/>
      <c r="BT184" s="492">
        <v>180</v>
      </c>
      <c r="BU184" s="492">
        <v>15</v>
      </c>
      <c r="BV184" s="497">
        <f>IF(('Comparison Calculator'!$E$11-BU184)&gt;=0,0,IFERROR(-PPMT($BZ$66/12,(BT184-60),($F$1-5)*12,$BZ$65),0))</f>
        <v>0</v>
      </c>
      <c r="BW184" s="497">
        <f>IF(('Comparison Calculator'!$E$11-BU184)&gt;=0,$C$1*$BZ$66/12,IFERROR(-IPMT($BZ$66/12,(BT184-60),($F$1-5)*12,$BZ$65,0),0))</f>
        <v>0</v>
      </c>
      <c r="BX184" s="497">
        <f t="shared" si="72"/>
        <v>0</v>
      </c>
      <c r="BY184" s="497">
        <f t="shared" si="85"/>
        <v>1800000</v>
      </c>
      <c r="BZ184" s="493"/>
      <c r="CA184" s="493"/>
      <c r="CC184" s="492">
        <v>180</v>
      </c>
      <c r="CD184" s="492">
        <v>15</v>
      </c>
      <c r="CE184" s="497">
        <f>IF(('Comparison Calculator'!$E$11-CD184)&gt;=0,0,IFERROR(-PPMT($CI$66/12,(CC184-60),($F$1-5)*12,$CI$65),0))</f>
        <v>0</v>
      </c>
      <c r="CF184" s="497">
        <f>IF(('Comparison Calculator'!$E$11-CD184)&gt;=0,$C$1*$CI$66/12,IFERROR(-IPMT($CI$66/12,(CC184-60),($F$1-5)*12,$CI$65,0),0))</f>
        <v>0</v>
      </c>
      <c r="CG184" s="497">
        <f t="shared" si="73"/>
        <v>0</v>
      </c>
      <c r="CH184" s="497">
        <f t="shared" si="86"/>
        <v>1800000</v>
      </c>
      <c r="CI184" s="493"/>
      <c r="CJ184" s="493"/>
      <c r="CL184" s="492">
        <v>180</v>
      </c>
      <c r="CM184" s="492">
        <v>15</v>
      </c>
      <c r="CN184" s="497">
        <f>IF(('Comparison Calculator'!$E$11-CM184)&gt;=0,0,IFERROR(-PPMT($CR$66/12,(CL184-60),($F$1-5)*12,$CR$65),0))</f>
        <v>0</v>
      </c>
      <c r="CO184" s="497">
        <f>IF(('Comparison Calculator'!$E$11-CM184)&gt;=0,$C$1*$CI$66/12,IFERROR(-IPMT($CI$66/12,(CL184-60),($F$1-5)*12,$CI$65,0),0))</f>
        <v>0</v>
      </c>
      <c r="CP184" s="497">
        <f t="shared" si="74"/>
        <v>0</v>
      </c>
      <c r="CQ184" s="497">
        <f t="shared" si="87"/>
        <v>1800000</v>
      </c>
      <c r="CR184" s="493"/>
      <c r="CS184" s="493"/>
      <c r="CU184" s="492">
        <v>180</v>
      </c>
      <c r="CV184" s="492">
        <v>15</v>
      </c>
      <c r="CW184" s="497">
        <f>IF(('Comparison Calculator'!$E$11-CV184)&gt;=0,0,IFERROR(-PPMT($DA$66/12,(CU184-60),($F$1-5)*12,$DA$65),0))</f>
        <v>0</v>
      </c>
      <c r="CX184" s="497">
        <f>IF(('Comparison Calculator'!$E$11-CV184)&gt;=0,$C$1*$DA$66/12,IFERROR(-IPMT($DA$66/12,(CU184-60),($F$1-5)*12,$DA$65,0),0))</f>
        <v>0</v>
      </c>
      <c r="CY184" s="497">
        <f t="shared" si="75"/>
        <v>0</v>
      </c>
      <c r="CZ184" s="497">
        <f t="shared" si="88"/>
        <v>1800000</v>
      </c>
      <c r="DA184" s="493"/>
      <c r="DB184" s="493"/>
      <c r="DD184" s="492">
        <v>180</v>
      </c>
      <c r="DE184" s="492">
        <v>15</v>
      </c>
      <c r="DF184" s="497">
        <f>IF(('Comparison Calculator'!$E$11-DE184)&gt;=0,0,IFERROR(-PPMT($DJ$66/12,(DD184-60),($F$1-5)*12,$DJ$65),0))</f>
        <v>0</v>
      </c>
      <c r="DG184" s="497">
        <f>IF(('Comparison Calculator'!$E$11-DE184)&gt;=0,$C$1*$DJ$66/12,IFERROR(-IPMT($DJ$66/12,(DD184-60),($F$1-5)*12,$DJ$65,0),0))</f>
        <v>0</v>
      </c>
      <c r="DH184" s="497">
        <f t="shared" si="76"/>
        <v>0</v>
      </c>
      <c r="DI184" s="497">
        <f t="shared" si="89"/>
        <v>1800000</v>
      </c>
      <c r="DJ184" s="493"/>
      <c r="DK184" s="493"/>
    </row>
    <row r="185" spans="1:115">
      <c r="A185" s="492">
        <v>181</v>
      </c>
      <c r="B185" s="492">
        <v>16</v>
      </c>
      <c r="C185" s="497">
        <f>IF(('Comparison Calculator'!$E$11-B185)&gt;=0,0,IFERROR(-PPMT($G$66/12,(A185-60),($F$1-5)*12,$G$65),0))</f>
        <v>0</v>
      </c>
      <c r="D185" s="497">
        <f>IF(('Comparison Calculator'!$E$11-B185)&gt;=0,$C$1*$G$66/12,IFERROR(-IPMT($G$66/12,(A185-60),($F$1-5)*12,$G$65,0),0))</f>
        <v>0</v>
      </c>
      <c r="E185" s="497">
        <f t="shared" si="64"/>
        <v>0</v>
      </c>
      <c r="F185" s="497">
        <f t="shared" si="77"/>
        <v>1800000</v>
      </c>
      <c r="G185" s="493"/>
      <c r="H185" s="493"/>
      <c r="I185" s="489"/>
      <c r="J185" s="492">
        <v>181</v>
      </c>
      <c r="K185" s="492">
        <v>16</v>
      </c>
      <c r="L185" s="497">
        <f>IF(('Comparison Calculator'!$E$11-K185)&gt;=0,0,IFERROR(-PPMT($P$66/12,(J185-60),($F$1-5)*12,$P$65),0))</f>
        <v>0</v>
      </c>
      <c r="M185" s="497">
        <f>IF(('Comparison Calculator'!$E$11-K185)&gt;=0,$C$1*$P$66/12,IFERROR(-IPMT($P$66/12,(J185-60),($F$1-5)*12,$P$65,0),0))</f>
        <v>0</v>
      </c>
      <c r="N185" s="497">
        <f t="shared" si="65"/>
        <v>0</v>
      </c>
      <c r="O185" s="497">
        <f t="shared" si="78"/>
        <v>1800000</v>
      </c>
      <c r="P185" s="493"/>
      <c r="Q185" s="493"/>
      <c r="S185" s="492">
        <v>181</v>
      </c>
      <c r="T185" s="492">
        <v>16</v>
      </c>
      <c r="U185" s="497">
        <f>IF(('Comparison Calculator'!$E$11-T185)&gt;=0,0,IFERROR(-PPMT($Y$66/12,(S185-60),($F$1-5)*12,$Y$65),0))</f>
        <v>0</v>
      </c>
      <c r="V185" s="497">
        <f>IF(('Comparison Calculator'!$E$11-T185)&gt;=0,$C$1*$Y$66/12,IFERROR(-IPMT($Y$66/12,(S185-60),($F$1-5)*12,$Y$65,0),0))</f>
        <v>0</v>
      </c>
      <c r="W185" s="497">
        <f t="shared" si="66"/>
        <v>0</v>
      </c>
      <c r="X185" s="497">
        <f t="shared" si="79"/>
        <v>1800000</v>
      </c>
      <c r="Y185" s="493"/>
      <c r="Z185" s="493"/>
      <c r="AB185" s="492">
        <v>181</v>
      </c>
      <c r="AC185" s="492">
        <v>16</v>
      </c>
      <c r="AD185" s="497">
        <f>IF(('Comparison Calculator'!$E$11-AC185)&gt;=0,0,IFERROR(-PPMT($AH$66/12,(AB185-60),($F$1-5)*12,$AH$65),0))</f>
        <v>0</v>
      </c>
      <c r="AE185" s="497">
        <f>IF(('Comparison Calculator'!$E$11-AC185)&gt;=0,$C$1*$AH$66/12,IFERROR(-IPMT($AH$66/12,(AB185-60),($F$1-5)*12,$AH$65,0),0))</f>
        <v>0</v>
      </c>
      <c r="AF185" s="497">
        <f t="shared" si="67"/>
        <v>0</v>
      </c>
      <c r="AG185" s="497">
        <f t="shared" si="80"/>
        <v>1800000</v>
      </c>
      <c r="AH185" s="493"/>
      <c r="AI185" s="493"/>
      <c r="AK185" s="492">
        <v>181</v>
      </c>
      <c r="AL185" s="492">
        <v>16</v>
      </c>
      <c r="AM185" s="497">
        <f>IF(('Comparison Calculator'!$E$11-AL185)&gt;=0,0,IFERROR(-PPMT($AQ$66/12,(AK185-60),($F$1-5)*12,$AQ$65),0))</f>
        <v>0</v>
      </c>
      <c r="AN185" s="497">
        <f>IF(('Comparison Calculator'!$E$11-AL185)&gt;=0,$C$1*$AQ$66/12,IFERROR(-IPMT($AQ$66/12,(AK185-60),($F$1-5)*12,$AQ$65,0),0))</f>
        <v>0</v>
      </c>
      <c r="AO185" s="497">
        <f t="shared" si="68"/>
        <v>0</v>
      </c>
      <c r="AP185" s="497">
        <f t="shared" si="81"/>
        <v>1800000</v>
      </c>
      <c r="AQ185" s="493"/>
      <c r="AR185" s="493"/>
      <c r="AT185" s="492">
        <v>181</v>
      </c>
      <c r="AU185" s="492">
        <v>16</v>
      </c>
      <c r="AV185" s="497">
        <f>IF(('Comparison Calculator'!$E$11-AU185)&gt;=0,0,IFERROR(-PPMT($AZ$66/12,(AT185-60),($F$1-5)*12,$AZ$65),0))</f>
        <v>0</v>
      </c>
      <c r="AW185" s="497">
        <f>IF(('Comparison Calculator'!$E$11-AU185)&gt;=0,$C$1*$AZ$66/12,IFERROR(-IPMT($AZ$66/12,(AT185-60),($F$1-5)*12,$AZ$65,0),0))</f>
        <v>0</v>
      </c>
      <c r="AX185" s="497">
        <f t="shared" si="69"/>
        <v>0</v>
      </c>
      <c r="AY185" s="497">
        <f t="shared" si="82"/>
        <v>1800000</v>
      </c>
      <c r="AZ185" s="493"/>
      <c r="BA185" s="493"/>
      <c r="BC185" s="492">
        <v>181</v>
      </c>
      <c r="BD185" s="492">
        <v>16</v>
      </c>
      <c r="BE185" s="497">
        <f>IF(('Comparison Calculator'!$E$11-BD185)&gt;=0,0,IFERROR(-PPMT($BI$66/12,(BC185-60),($F$1-5)*12,$BI$65),0))</f>
        <v>0</v>
      </c>
      <c r="BF185" s="497">
        <f>IF(('Comparison Calculator'!$E$11-BD185)&gt;=0,$C$1*$BI$66/12,IFERROR(-IPMT($BI$66/12,(BC185-60),($F$1-5)*12,$BI$65,0),0))</f>
        <v>0</v>
      </c>
      <c r="BG185" s="497">
        <f t="shared" si="70"/>
        <v>0</v>
      </c>
      <c r="BH185" s="497">
        <f t="shared" si="83"/>
        <v>1800000</v>
      </c>
      <c r="BI185" s="493"/>
      <c r="BJ185" s="493"/>
      <c r="BK185" s="492">
        <v>181</v>
      </c>
      <c r="BL185" s="492">
        <v>16</v>
      </c>
      <c r="BM185" s="497">
        <f>IF(('Comparison Calculator'!$E$11-BL185)&gt;=0,0,IFERROR(-PPMT($BQ$66/12,(BK185-60),($F$1-5)*12,$BQ$65),0))</f>
        <v>0</v>
      </c>
      <c r="BN185" s="497">
        <f>IF(('Comparison Calculator'!$E$11-BL185)&gt;=0,$C$1*$BQ$66/12,IFERROR(-IPMT($BQ$66/12,(BK185-60),($F$1-5)*12,$BQ$65,0),0))</f>
        <v>0</v>
      </c>
      <c r="BO185" s="497">
        <f t="shared" si="71"/>
        <v>0</v>
      </c>
      <c r="BP185" s="497">
        <f t="shared" si="84"/>
        <v>1800000</v>
      </c>
      <c r="BQ185" s="493"/>
      <c r="BR185" s="493"/>
      <c r="BT185" s="492">
        <v>181</v>
      </c>
      <c r="BU185" s="492">
        <v>16</v>
      </c>
      <c r="BV185" s="497">
        <f>IF(('Comparison Calculator'!$E$11-BU185)&gt;=0,0,IFERROR(-PPMT($BZ$66/12,(BT185-60),($F$1-5)*12,$BZ$65),0))</f>
        <v>0</v>
      </c>
      <c r="BW185" s="497">
        <f>IF(('Comparison Calculator'!$E$11-BU185)&gt;=0,$C$1*$BZ$66/12,IFERROR(-IPMT($BZ$66/12,(BT185-60),($F$1-5)*12,$BZ$65,0),0))</f>
        <v>0</v>
      </c>
      <c r="BX185" s="497">
        <f t="shared" si="72"/>
        <v>0</v>
      </c>
      <c r="BY185" s="497">
        <f t="shared" si="85"/>
        <v>1800000</v>
      </c>
      <c r="BZ185" s="493"/>
      <c r="CA185" s="493"/>
      <c r="CC185" s="492">
        <v>181</v>
      </c>
      <c r="CD185" s="492">
        <v>16</v>
      </c>
      <c r="CE185" s="497">
        <f>IF(('Comparison Calculator'!$E$11-CD185)&gt;=0,0,IFERROR(-PPMT($CI$66/12,(CC185-60),($F$1-5)*12,$CI$65),0))</f>
        <v>0</v>
      </c>
      <c r="CF185" s="497">
        <f>IF(('Comparison Calculator'!$E$11-CD185)&gt;=0,$C$1*$CI$66/12,IFERROR(-IPMT($CI$66/12,(CC185-60),($F$1-5)*12,$CI$65,0),0))</f>
        <v>0</v>
      </c>
      <c r="CG185" s="497">
        <f t="shared" si="73"/>
        <v>0</v>
      </c>
      <c r="CH185" s="497">
        <f t="shared" si="86"/>
        <v>1800000</v>
      </c>
      <c r="CI185" s="493"/>
      <c r="CJ185" s="493"/>
      <c r="CL185" s="492">
        <v>181</v>
      </c>
      <c r="CM185" s="492">
        <v>16</v>
      </c>
      <c r="CN185" s="497">
        <f>IF(('Comparison Calculator'!$E$11-CM185)&gt;=0,0,IFERROR(-PPMT($CR$66/12,(CL185-60),($F$1-5)*12,$CR$65),0))</f>
        <v>0</v>
      </c>
      <c r="CO185" s="497">
        <f>IF(('Comparison Calculator'!$E$11-CM185)&gt;=0,$C$1*$CI$66/12,IFERROR(-IPMT($CI$66/12,(CL185-60),($F$1-5)*12,$CI$65,0),0))</f>
        <v>0</v>
      </c>
      <c r="CP185" s="497">
        <f t="shared" si="74"/>
        <v>0</v>
      </c>
      <c r="CQ185" s="497">
        <f t="shared" si="87"/>
        <v>1800000</v>
      </c>
      <c r="CR185" s="493"/>
      <c r="CS185" s="493"/>
      <c r="CU185" s="492">
        <v>181</v>
      </c>
      <c r="CV185" s="492">
        <v>16</v>
      </c>
      <c r="CW185" s="497">
        <f>IF(('Comparison Calculator'!$E$11-CV185)&gt;=0,0,IFERROR(-PPMT($DA$66/12,(CU185-60),($F$1-5)*12,$DA$65),0))</f>
        <v>0</v>
      </c>
      <c r="CX185" s="497">
        <f>IF(('Comparison Calculator'!$E$11-CV185)&gt;=0,$C$1*$DA$66/12,IFERROR(-IPMT($DA$66/12,(CU185-60),($F$1-5)*12,$DA$65,0),0))</f>
        <v>0</v>
      </c>
      <c r="CY185" s="497">
        <f t="shared" si="75"/>
        <v>0</v>
      </c>
      <c r="CZ185" s="497">
        <f t="shared" si="88"/>
        <v>1800000</v>
      </c>
      <c r="DA185" s="493"/>
      <c r="DB185" s="493"/>
      <c r="DD185" s="492">
        <v>181</v>
      </c>
      <c r="DE185" s="492">
        <v>16</v>
      </c>
      <c r="DF185" s="497">
        <f>IF(('Comparison Calculator'!$E$11-DE185)&gt;=0,0,IFERROR(-PPMT($DJ$66/12,(DD185-60),($F$1-5)*12,$DJ$65),0))</f>
        <v>0</v>
      </c>
      <c r="DG185" s="497">
        <f>IF(('Comparison Calculator'!$E$11-DE185)&gt;=0,$C$1*$DJ$66/12,IFERROR(-IPMT($DJ$66/12,(DD185-60),($F$1-5)*12,$DJ$65,0),0))</f>
        <v>0</v>
      </c>
      <c r="DH185" s="497">
        <f t="shared" si="76"/>
        <v>0</v>
      </c>
      <c r="DI185" s="497">
        <f t="shared" si="89"/>
        <v>1800000</v>
      </c>
      <c r="DJ185" s="493"/>
      <c r="DK185" s="493"/>
    </row>
    <row r="186" spans="1:115">
      <c r="A186" s="492">
        <v>182</v>
      </c>
      <c r="B186" s="492">
        <v>16</v>
      </c>
      <c r="C186" s="497">
        <f>IF(('Comparison Calculator'!$E$11-B186)&gt;=0,0,IFERROR(-PPMT($G$66/12,(A186-60),($F$1-5)*12,$G$65),0))</f>
        <v>0</v>
      </c>
      <c r="D186" s="497">
        <f>IF(('Comparison Calculator'!$E$11-B186)&gt;=0,$C$1*$G$66/12,IFERROR(-IPMT($G$66/12,(A186-60),($F$1-5)*12,$G$65,0),0))</f>
        <v>0</v>
      </c>
      <c r="E186" s="497">
        <f t="shared" si="64"/>
        <v>0</v>
      </c>
      <c r="F186" s="497">
        <f t="shared" si="77"/>
        <v>1800000</v>
      </c>
      <c r="G186" s="493"/>
      <c r="H186" s="493"/>
      <c r="I186" s="489"/>
      <c r="J186" s="492">
        <v>182</v>
      </c>
      <c r="K186" s="492">
        <v>16</v>
      </c>
      <c r="L186" s="497">
        <f>IF(('Comparison Calculator'!$E$11-K186)&gt;=0,0,IFERROR(-PPMT($P$66/12,(J186-60),($F$1-5)*12,$P$65),0))</f>
        <v>0</v>
      </c>
      <c r="M186" s="497">
        <f>IF(('Comparison Calculator'!$E$11-K186)&gt;=0,$C$1*$P$66/12,IFERROR(-IPMT($P$66/12,(J186-60),($F$1-5)*12,$P$65,0),0))</f>
        <v>0</v>
      </c>
      <c r="N186" s="497">
        <f t="shared" si="65"/>
        <v>0</v>
      </c>
      <c r="O186" s="497">
        <f t="shared" si="78"/>
        <v>1800000</v>
      </c>
      <c r="P186" s="493"/>
      <c r="Q186" s="493"/>
      <c r="S186" s="492">
        <v>182</v>
      </c>
      <c r="T186" s="492">
        <v>16</v>
      </c>
      <c r="U186" s="497">
        <f>IF(('Comparison Calculator'!$E$11-T186)&gt;=0,0,IFERROR(-PPMT($Y$66/12,(S186-60),($F$1-5)*12,$Y$65),0))</f>
        <v>0</v>
      </c>
      <c r="V186" s="497">
        <f>IF(('Comparison Calculator'!$E$11-T186)&gt;=0,$C$1*$Y$66/12,IFERROR(-IPMT($Y$66/12,(S186-60),($F$1-5)*12,$Y$65,0),0))</f>
        <v>0</v>
      </c>
      <c r="W186" s="497">
        <f t="shared" si="66"/>
        <v>0</v>
      </c>
      <c r="X186" s="497">
        <f t="shared" si="79"/>
        <v>1800000</v>
      </c>
      <c r="Y186" s="493"/>
      <c r="Z186" s="493"/>
      <c r="AB186" s="492">
        <v>182</v>
      </c>
      <c r="AC186" s="492">
        <v>16</v>
      </c>
      <c r="AD186" s="497">
        <f>IF(('Comparison Calculator'!$E$11-AC186)&gt;=0,0,IFERROR(-PPMT($AH$66/12,(AB186-60),($F$1-5)*12,$AH$65),0))</f>
        <v>0</v>
      </c>
      <c r="AE186" s="497">
        <f>IF(('Comparison Calculator'!$E$11-AC186)&gt;=0,$C$1*$AH$66/12,IFERROR(-IPMT($AH$66/12,(AB186-60),($F$1-5)*12,$AH$65,0),0))</f>
        <v>0</v>
      </c>
      <c r="AF186" s="497">
        <f t="shared" si="67"/>
        <v>0</v>
      </c>
      <c r="AG186" s="497">
        <f t="shared" si="80"/>
        <v>1800000</v>
      </c>
      <c r="AH186" s="493"/>
      <c r="AI186" s="493"/>
      <c r="AK186" s="492">
        <v>182</v>
      </c>
      <c r="AL186" s="492">
        <v>16</v>
      </c>
      <c r="AM186" s="497">
        <f>IF(('Comparison Calculator'!$E$11-AL186)&gt;=0,0,IFERROR(-PPMT($AQ$66/12,(AK186-60),($F$1-5)*12,$AQ$65),0))</f>
        <v>0</v>
      </c>
      <c r="AN186" s="497">
        <f>IF(('Comparison Calculator'!$E$11-AL186)&gt;=0,$C$1*$AQ$66/12,IFERROR(-IPMT($AQ$66/12,(AK186-60),($F$1-5)*12,$AQ$65,0),0))</f>
        <v>0</v>
      </c>
      <c r="AO186" s="497">
        <f t="shared" si="68"/>
        <v>0</v>
      </c>
      <c r="AP186" s="497">
        <f t="shared" si="81"/>
        <v>1800000</v>
      </c>
      <c r="AQ186" s="493"/>
      <c r="AR186" s="493"/>
      <c r="AT186" s="492">
        <v>182</v>
      </c>
      <c r="AU186" s="492">
        <v>16</v>
      </c>
      <c r="AV186" s="497">
        <f>IF(('Comparison Calculator'!$E$11-AU186)&gt;=0,0,IFERROR(-PPMT($AZ$66/12,(AT186-60),($F$1-5)*12,$AZ$65),0))</f>
        <v>0</v>
      </c>
      <c r="AW186" s="497">
        <f>IF(('Comparison Calculator'!$E$11-AU186)&gt;=0,$C$1*$AZ$66/12,IFERROR(-IPMT($AZ$66/12,(AT186-60),($F$1-5)*12,$AZ$65,0),0))</f>
        <v>0</v>
      </c>
      <c r="AX186" s="497">
        <f t="shared" si="69"/>
        <v>0</v>
      </c>
      <c r="AY186" s="497">
        <f t="shared" si="82"/>
        <v>1800000</v>
      </c>
      <c r="AZ186" s="493"/>
      <c r="BA186" s="493"/>
      <c r="BC186" s="492">
        <v>182</v>
      </c>
      <c r="BD186" s="492">
        <v>16</v>
      </c>
      <c r="BE186" s="497">
        <f>IF(('Comparison Calculator'!$E$11-BD186)&gt;=0,0,IFERROR(-PPMT($BI$66/12,(BC186-60),($F$1-5)*12,$BI$65),0))</f>
        <v>0</v>
      </c>
      <c r="BF186" s="497">
        <f>IF(('Comparison Calculator'!$E$11-BD186)&gt;=0,$C$1*$BI$66/12,IFERROR(-IPMT($BI$66/12,(BC186-60),($F$1-5)*12,$BI$65,0),0))</f>
        <v>0</v>
      </c>
      <c r="BG186" s="497">
        <f t="shared" si="70"/>
        <v>0</v>
      </c>
      <c r="BH186" s="497">
        <f t="shared" si="83"/>
        <v>1800000</v>
      </c>
      <c r="BI186" s="493"/>
      <c r="BJ186" s="493"/>
      <c r="BK186" s="492">
        <v>182</v>
      </c>
      <c r="BL186" s="492">
        <v>16</v>
      </c>
      <c r="BM186" s="497">
        <f>IF(('Comparison Calculator'!$E$11-BL186)&gt;=0,0,IFERROR(-PPMT($BQ$66/12,(BK186-60),($F$1-5)*12,$BQ$65),0))</f>
        <v>0</v>
      </c>
      <c r="BN186" s="497">
        <f>IF(('Comparison Calculator'!$E$11-BL186)&gt;=0,$C$1*$BQ$66/12,IFERROR(-IPMT($BQ$66/12,(BK186-60),($F$1-5)*12,$BQ$65,0),0))</f>
        <v>0</v>
      </c>
      <c r="BO186" s="497">
        <f t="shared" si="71"/>
        <v>0</v>
      </c>
      <c r="BP186" s="497">
        <f t="shared" si="84"/>
        <v>1800000</v>
      </c>
      <c r="BQ186" s="493"/>
      <c r="BR186" s="493"/>
      <c r="BT186" s="492">
        <v>182</v>
      </c>
      <c r="BU186" s="492">
        <v>16</v>
      </c>
      <c r="BV186" s="497">
        <f>IF(('Comparison Calculator'!$E$11-BU186)&gt;=0,0,IFERROR(-PPMT($BZ$66/12,(BT186-60),($F$1-5)*12,$BZ$65),0))</f>
        <v>0</v>
      </c>
      <c r="BW186" s="497">
        <f>IF(('Comparison Calculator'!$E$11-BU186)&gt;=0,$C$1*$BZ$66/12,IFERROR(-IPMT($BZ$66/12,(BT186-60),($F$1-5)*12,$BZ$65,0),0))</f>
        <v>0</v>
      </c>
      <c r="BX186" s="497">
        <f t="shared" si="72"/>
        <v>0</v>
      </c>
      <c r="BY186" s="497">
        <f t="shared" si="85"/>
        <v>1800000</v>
      </c>
      <c r="BZ186" s="493"/>
      <c r="CA186" s="493"/>
      <c r="CC186" s="492">
        <v>182</v>
      </c>
      <c r="CD186" s="492">
        <v>16</v>
      </c>
      <c r="CE186" s="497">
        <f>IF(('Comparison Calculator'!$E$11-CD186)&gt;=0,0,IFERROR(-PPMT($CI$66/12,(CC186-60),($F$1-5)*12,$CI$65),0))</f>
        <v>0</v>
      </c>
      <c r="CF186" s="497">
        <f>IF(('Comparison Calculator'!$E$11-CD186)&gt;=0,$C$1*$CI$66/12,IFERROR(-IPMT($CI$66/12,(CC186-60),($F$1-5)*12,$CI$65,0),0))</f>
        <v>0</v>
      </c>
      <c r="CG186" s="497">
        <f t="shared" si="73"/>
        <v>0</v>
      </c>
      <c r="CH186" s="497">
        <f t="shared" si="86"/>
        <v>1800000</v>
      </c>
      <c r="CI186" s="493"/>
      <c r="CJ186" s="493"/>
      <c r="CL186" s="492">
        <v>182</v>
      </c>
      <c r="CM186" s="492">
        <v>16</v>
      </c>
      <c r="CN186" s="497">
        <f>IF(('Comparison Calculator'!$E$11-CM186)&gt;=0,0,IFERROR(-PPMT($CR$66/12,(CL186-60),($F$1-5)*12,$CR$65),0))</f>
        <v>0</v>
      </c>
      <c r="CO186" s="497">
        <f>IF(('Comparison Calculator'!$E$11-CM186)&gt;=0,$C$1*$CI$66/12,IFERROR(-IPMT($CI$66/12,(CL186-60),($F$1-5)*12,$CI$65,0),0))</f>
        <v>0</v>
      </c>
      <c r="CP186" s="497">
        <f t="shared" si="74"/>
        <v>0</v>
      </c>
      <c r="CQ186" s="497">
        <f t="shared" si="87"/>
        <v>1800000</v>
      </c>
      <c r="CR186" s="493"/>
      <c r="CS186" s="493"/>
      <c r="CU186" s="492">
        <v>182</v>
      </c>
      <c r="CV186" s="492">
        <v>16</v>
      </c>
      <c r="CW186" s="497">
        <f>IF(('Comparison Calculator'!$E$11-CV186)&gt;=0,0,IFERROR(-PPMT($DA$66/12,(CU186-60),($F$1-5)*12,$DA$65),0))</f>
        <v>0</v>
      </c>
      <c r="CX186" s="497">
        <f>IF(('Comparison Calculator'!$E$11-CV186)&gt;=0,$C$1*$DA$66/12,IFERROR(-IPMT($DA$66/12,(CU186-60),($F$1-5)*12,$DA$65,0),0))</f>
        <v>0</v>
      </c>
      <c r="CY186" s="497">
        <f t="shared" si="75"/>
        <v>0</v>
      </c>
      <c r="CZ186" s="497">
        <f t="shared" si="88"/>
        <v>1800000</v>
      </c>
      <c r="DA186" s="493"/>
      <c r="DB186" s="493"/>
      <c r="DD186" s="492">
        <v>182</v>
      </c>
      <c r="DE186" s="492">
        <v>16</v>
      </c>
      <c r="DF186" s="497">
        <f>IF(('Comparison Calculator'!$E$11-DE186)&gt;=0,0,IFERROR(-PPMT($DJ$66/12,(DD186-60),($F$1-5)*12,$DJ$65),0))</f>
        <v>0</v>
      </c>
      <c r="DG186" s="497">
        <f>IF(('Comparison Calculator'!$E$11-DE186)&gt;=0,$C$1*$DJ$66/12,IFERROR(-IPMT($DJ$66/12,(DD186-60),($F$1-5)*12,$DJ$65,0),0))</f>
        <v>0</v>
      </c>
      <c r="DH186" s="497">
        <f t="shared" si="76"/>
        <v>0</v>
      </c>
      <c r="DI186" s="497">
        <f t="shared" si="89"/>
        <v>1800000</v>
      </c>
      <c r="DJ186" s="493"/>
      <c r="DK186" s="493"/>
    </row>
    <row r="187" spans="1:115">
      <c r="A187" s="492">
        <v>183</v>
      </c>
      <c r="B187" s="492">
        <v>16</v>
      </c>
      <c r="C187" s="497">
        <f>IF(('Comparison Calculator'!$E$11-B187)&gt;=0,0,IFERROR(-PPMT($G$66/12,(A187-60),($F$1-5)*12,$G$65),0))</f>
        <v>0</v>
      </c>
      <c r="D187" s="497">
        <f>IF(('Comparison Calculator'!$E$11-B187)&gt;=0,$C$1*$G$66/12,IFERROR(-IPMT($G$66/12,(A187-60),($F$1-5)*12,$G$65,0),0))</f>
        <v>0</v>
      </c>
      <c r="E187" s="497">
        <f t="shared" si="64"/>
        <v>0</v>
      </c>
      <c r="F187" s="497">
        <f t="shared" si="77"/>
        <v>1800000</v>
      </c>
      <c r="G187" s="493"/>
      <c r="H187" s="493"/>
      <c r="I187" s="489"/>
      <c r="J187" s="492">
        <v>183</v>
      </c>
      <c r="K187" s="492">
        <v>16</v>
      </c>
      <c r="L187" s="497">
        <f>IF(('Comparison Calculator'!$E$11-K187)&gt;=0,0,IFERROR(-PPMT($P$66/12,(J187-60),($F$1-5)*12,$P$65),0))</f>
        <v>0</v>
      </c>
      <c r="M187" s="497">
        <f>IF(('Comparison Calculator'!$E$11-K187)&gt;=0,$C$1*$P$66/12,IFERROR(-IPMT($P$66/12,(J187-60),($F$1-5)*12,$P$65,0),0))</f>
        <v>0</v>
      </c>
      <c r="N187" s="497">
        <f t="shared" si="65"/>
        <v>0</v>
      </c>
      <c r="O187" s="497">
        <f t="shared" si="78"/>
        <v>1800000</v>
      </c>
      <c r="P187" s="493"/>
      <c r="Q187" s="493"/>
      <c r="S187" s="492">
        <v>183</v>
      </c>
      <c r="T187" s="492">
        <v>16</v>
      </c>
      <c r="U187" s="497">
        <f>IF(('Comparison Calculator'!$E$11-T187)&gt;=0,0,IFERROR(-PPMT($Y$66/12,(S187-60),($F$1-5)*12,$Y$65),0))</f>
        <v>0</v>
      </c>
      <c r="V187" s="497">
        <f>IF(('Comparison Calculator'!$E$11-T187)&gt;=0,$C$1*$Y$66/12,IFERROR(-IPMT($Y$66/12,(S187-60),($F$1-5)*12,$Y$65,0),0))</f>
        <v>0</v>
      </c>
      <c r="W187" s="497">
        <f t="shared" si="66"/>
        <v>0</v>
      </c>
      <c r="X187" s="497">
        <f t="shared" si="79"/>
        <v>1800000</v>
      </c>
      <c r="Y187" s="493"/>
      <c r="Z187" s="493"/>
      <c r="AB187" s="492">
        <v>183</v>
      </c>
      <c r="AC187" s="492">
        <v>16</v>
      </c>
      <c r="AD187" s="497">
        <f>IF(('Comparison Calculator'!$E$11-AC187)&gt;=0,0,IFERROR(-PPMT($AH$66/12,(AB187-60),($F$1-5)*12,$AH$65),0))</f>
        <v>0</v>
      </c>
      <c r="AE187" s="497">
        <f>IF(('Comparison Calculator'!$E$11-AC187)&gt;=0,$C$1*$AH$66/12,IFERROR(-IPMT($AH$66/12,(AB187-60),($F$1-5)*12,$AH$65,0),0))</f>
        <v>0</v>
      </c>
      <c r="AF187" s="497">
        <f t="shared" si="67"/>
        <v>0</v>
      </c>
      <c r="AG187" s="497">
        <f t="shared" si="80"/>
        <v>1800000</v>
      </c>
      <c r="AH187" s="493"/>
      <c r="AI187" s="493"/>
      <c r="AK187" s="492">
        <v>183</v>
      </c>
      <c r="AL187" s="492">
        <v>16</v>
      </c>
      <c r="AM187" s="497">
        <f>IF(('Comparison Calculator'!$E$11-AL187)&gt;=0,0,IFERROR(-PPMT($AQ$66/12,(AK187-60),($F$1-5)*12,$AQ$65),0))</f>
        <v>0</v>
      </c>
      <c r="AN187" s="497">
        <f>IF(('Comparison Calculator'!$E$11-AL187)&gt;=0,$C$1*$AQ$66/12,IFERROR(-IPMT($AQ$66/12,(AK187-60),($F$1-5)*12,$AQ$65,0),0))</f>
        <v>0</v>
      </c>
      <c r="AO187" s="497">
        <f t="shared" si="68"/>
        <v>0</v>
      </c>
      <c r="AP187" s="497">
        <f t="shared" si="81"/>
        <v>1800000</v>
      </c>
      <c r="AQ187" s="493"/>
      <c r="AR187" s="493"/>
      <c r="AT187" s="492">
        <v>183</v>
      </c>
      <c r="AU187" s="492">
        <v>16</v>
      </c>
      <c r="AV187" s="497">
        <f>IF(('Comparison Calculator'!$E$11-AU187)&gt;=0,0,IFERROR(-PPMT($AZ$66/12,(AT187-60),($F$1-5)*12,$AZ$65),0))</f>
        <v>0</v>
      </c>
      <c r="AW187" s="497">
        <f>IF(('Comparison Calculator'!$E$11-AU187)&gt;=0,$C$1*$AZ$66/12,IFERROR(-IPMT($AZ$66/12,(AT187-60),($F$1-5)*12,$AZ$65,0),0))</f>
        <v>0</v>
      </c>
      <c r="AX187" s="497">
        <f t="shared" si="69"/>
        <v>0</v>
      </c>
      <c r="AY187" s="497">
        <f t="shared" si="82"/>
        <v>1800000</v>
      </c>
      <c r="AZ187" s="493"/>
      <c r="BA187" s="493"/>
      <c r="BC187" s="492">
        <v>183</v>
      </c>
      <c r="BD187" s="492">
        <v>16</v>
      </c>
      <c r="BE187" s="497">
        <f>IF(('Comparison Calculator'!$E$11-BD187)&gt;=0,0,IFERROR(-PPMT($BI$66/12,(BC187-60),($F$1-5)*12,$BI$65),0))</f>
        <v>0</v>
      </c>
      <c r="BF187" s="497">
        <f>IF(('Comparison Calculator'!$E$11-BD187)&gt;=0,$C$1*$BI$66/12,IFERROR(-IPMT($BI$66/12,(BC187-60),($F$1-5)*12,$BI$65,0),0))</f>
        <v>0</v>
      </c>
      <c r="BG187" s="497">
        <f t="shared" si="70"/>
        <v>0</v>
      </c>
      <c r="BH187" s="497">
        <f t="shared" si="83"/>
        <v>1800000</v>
      </c>
      <c r="BI187" s="493"/>
      <c r="BJ187" s="493"/>
      <c r="BK187" s="492">
        <v>183</v>
      </c>
      <c r="BL187" s="492">
        <v>16</v>
      </c>
      <c r="BM187" s="497">
        <f>IF(('Comparison Calculator'!$E$11-BL187)&gt;=0,0,IFERROR(-PPMT($BQ$66/12,(BK187-60),($F$1-5)*12,$BQ$65),0))</f>
        <v>0</v>
      </c>
      <c r="BN187" s="497">
        <f>IF(('Comparison Calculator'!$E$11-BL187)&gt;=0,$C$1*$BQ$66/12,IFERROR(-IPMT($BQ$66/12,(BK187-60),($F$1-5)*12,$BQ$65,0),0))</f>
        <v>0</v>
      </c>
      <c r="BO187" s="497">
        <f t="shared" si="71"/>
        <v>0</v>
      </c>
      <c r="BP187" s="497">
        <f t="shared" si="84"/>
        <v>1800000</v>
      </c>
      <c r="BQ187" s="493"/>
      <c r="BR187" s="493"/>
      <c r="BT187" s="492">
        <v>183</v>
      </c>
      <c r="BU187" s="492">
        <v>16</v>
      </c>
      <c r="BV187" s="497">
        <f>IF(('Comparison Calculator'!$E$11-BU187)&gt;=0,0,IFERROR(-PPMT($BZ$66/12,(BT187-60),($F$1-5)*12,$BZ$65),0))</f>
        <v>0</v>
      </c>
      <c r="BW187" s="497">
        <f>IF(('Comparison Calculator'!$E$11-BU187)&gt;=0,$C$1*$BZ$66/12,IFERROR(-IPMT($BZ$66/12,(BT187-60),($F$1-5)*12,$BZ$65,0),0))</f>
        <v>0</v>
      </c>
      <c r="BX187" s="497">
        <f t="shared" si="72"/>
        <v>0</v>
      </c>
      <c r="BY187" s="497">
        <f t="shared" si="85"/>
        <v>1800000</v>
      </c>
      <c r="BZ187" s="493"/>
      <c r="CA187" s="493"/>
      <c r="CC187" s="492">
        <v>183</v>
      </c>
      <c r="CD187" s="492">
        <v>16</v>
      </c>
      <c r="CE187" s="497">
        <f>IF(('Comparison Calculator'!$E$11-CD187)&gt;=0,0,IFERROR(-PPMT($CI$66/12,(CC187-60),($F$1-5)*12,$CI$65),0))</f>
        <v>0</v>
      </c>
      <c r="CF187" s="497">
        <f>IF(('Comparison Calculator'!$E$11-CD187)&gt;=0,$C$1*$CI$66/12,IFERROR(-IPMT($CI$66/12,(CC187-60),($F$1-5)*12,$CI$65,0),0))</f>
        <v>0</v>
      </c>
      <c r="CG187" s="497">
        <f t="shared" si="73"/>
        <v>0</v>
      </c>
      <c r="CH187" s="497">
        <f t="shared" si="86"/>
        <v>1800000</v>
      </c>
      <c r="CI187" s="493"/>
      <c r="CJ187" s="493"/>
      <c r="CL187" s="492">
        <v>183</v>
      </c>
      <c r="CM187" s="492">
        <v>16</v>
      </c>
      <c r="CN187" s="497">
        <f>IF(('Comparison Calculator'!$E$11-CM187)&gt;=0,0,IFERROR(-PPMT($CR$66/12,(CL187-60),($F$1-5)*12,$CR$65),0))</f>
        <v>0</v>
      </c>
      <c r="CO187" s="497">
        <f>IF(('Comparison Calculator'!$E$11-CM187)&gt;=0,$C$1*$CI$66/12,IFERROR(-IPMT($CI$66/12,(CL187-60),($F$1-5)*12,$CI$65,0),0))</f>
        <v>0</v>
      </c>
      <c r="CP187" s="497">
        <f t="shared" si="74"/>
        <v>0</v>
      </c>
      <c r="CQ187" s="497">
        <f t="shared" si="87"/>
        <v>1800000</v>
      </c>
      <c r="CR187" s="493"/>
      <c r="CS187" s="493"/>
      <c r="CU187" s="492">
        <v>183</v>
      </c>
      <c r="CV187" s="492">
        <v>16</v>
      </c>
      <c r="CW187" s="497">
        <f>IF(('Comparison Calculator'!$E$11-CV187)&gt;=0,0,IFERROR(-PPMT($DA$66/12,(CU187-60),($F$1-5)*12,$DA$65),0))</f>
        <v>0</v>
      </c>
      <c r="CX187" s="497">
        <f>IF(('Comparison Calculator'!$E$11-CV187)&gt;=0,$C$1*$DA$66/12,IFERROR(-IPMT($DA$66/12,(CU187-60),($F$1-5)*12,$DA$65,0),0))</f>
        <v>0</v>
      </c>
      <c r="CY187" s="497">
        <f t="shared" si="75"/>
        <v>0</v>
      </c>
      <c r="CZ187" s="497">
        <f t="shared" si="88"/>
        <v>1800000</v>
      </c>
      <c r="DA187" s="493"/>
      <c r="DB187" s="493"/>
      <c r="DD187" s="492">
        <v>183</v>
      </c>
      <c r="DE187" s="492">
        <v>16</v>
      </c>
      <c r="DF187" s="497">
        <f>IF(('Comparison Calculator'!$E$11-DE187)&gt;=0,0,IFERROR(-PPMT($DJ$66/12,(DD187-60),($F$1-5)*12,$DJ$65),0))</f>
        <v>0</v>
      </c>
      <c r="DG187" s="497">
        <f>IF(('Comparison Calculator'!$E$11-DE187)&gt;=0,$C$1*$DJ$66/12,IFERROR(-IPMT($DJ$66/12,(DD187-60),($F$1-5)*12,$DJ$65,0),0))</f>
        <v>0</v>
      </c>
      <c r="DH187" s="497">
        <f t="shared" si="76"/>
        <v>0</v>
      </c>
      <c r="DI187" s="497">
        <f t="shared" si="89"/>
        <v>1800000</v>
      </c>
      <c r="DJ187" s="493"/>
      <c r="DK187" s="493"/>
    </row>
    <row r="188" spans="1:115">
      <c r="A188" s="492">
        <v>184</v>
      </c>
      <c r="B188" s="492">
        <v>16</v>
      </c>
      <c r="C188" s="497">
        <f>IF(('Comparison Calculator'!$E$11-B188)&gt;=0,0,IFERROR(-PPMT($G$66/12,(A188-60),($F$1-5)*12,$G$65),0))</f>
        <v>0</v>
      </c>
      <c r="D188" s="497">
        <f>IF(('Comparison Calculator'!$E$11-B188)&gt;=0,$C$1*$G$66/12,IFERROR(-IPMT($G$66/12,(A188-60),($F$1-5)*12,$G$65,0),0))</f>
        <v>0</v>
      </c>
      <c r="E188" s="497">
        <f t="shared" si="64"/>
        <v>0</v>
      </c>
      <c r="F188" s="497">
        <f t="shared" si="77"/>
        <v>1800000</v>
      </c>
      <c r="G188" s="493"/>
      <c r="H188" s="493"/>
      <c r="I188" s="489"/>
      <c r="J188" s="492">
        <v>184</v>
      </c>
      <c r="K188" s="492">
        <v>16</v>
      </c>
      <c r="L188" s="497">
        <f>IF(('Comparison Calculator'!$E$11-K188)&gt;=0,0,IFERROR(-PPMT($P$66/12,(J188-60),($F$1-5)*12,$P$65),0))</f>
        <v>0</v>
      </c>
      <c r="M188" s="497">
        <f>IF(('Comparison Calculator'!$E$11-K188)&gt;=0,$C$1*$P$66/12,IFERROR(-IPMT($P$66/12,(J188-60),($F$1-5)*12,$P$65,0),0))</f>
        <v>0</v>
      </c>
      <c r="N188" s="497">
        <f t="shared" si="65"/>
        <v>0</v>
      </c>
      <c r="O188" s="497">
        <f t="shared" si="78"/>
        <v>1800000</v>
      </c>
      <c r="P188" s="493"/>
      <c r="Q188" s="493"/>
      <c r="S188" s="492">
        <v>184</v>
      </c>
      <c r="T188" s="492">
        <v>16</v>
      </c>
      <c r="U188" s="497">
        <f>IF(('Comparison Calculator'!$E$11-T188)&gt;=0,0,IFERROR(-PPMT($Y$66/12,(S188-60),($F$1-5)*12,$Y$65),0))</f>
        <v>0</v>
      </c>
      <c r="V188" s="497">
        <f>IF(('Comparison Calculator'!$E$11-T188)&gt;=0,$C$1*$Y$66/12,IFERROR(-IPMT($Y$66/12,(S188-60),($F$1-5)*12,$Y$65,0),0))</f>
        <v>0</v>
      </c>
      <c r="W188" s="497">
        <f t="shared" si="66"/>
        <v>0</v>
      </c>
      <c r="X188" s="497">
        <f t="shared" si="79"/>
        <v>1800000</v>
      </c>
      <c r="Y188" s="493"/>
      <c r="Z188" s="493"/>
      <c r="AB188" s="492">
        <v>184</v>
      </c>
      <c r="AC188" s="492">
        <v>16</v>
      </c>
      <c r="AD188" s="497">
        <f>IF(('Comparison Calculator'!$E$11-AC188)&gt;=0,0,IFERROR(-PPMT($AH$66/12,(AB188-60),($F$1-5)*12,$AH$65),0))</f>
        <v>0</v>
      </c>
      <c r="AE188" s="497">
        <f>IF(('Comparison Calculator'!$E$11-AC188)&gt;=0,$C$1*$AH$66/12,IFERROR(-IPMT($AH$66/12,(AB188-60),($F$1-5)*12,$AH$65,0),0))</f>
        <v>0</v>
      </c>
      <c r="AF188" s="497">
        <f t="shared" si="67"/>
        <v>0</v>
      </c>
      <c r="AG188" s="497">
        <f t="shared" si="80"/>
        <v>1800000</v>
      </c>
      <c r="AH188" s="493"/>
      <c r="AI188" s="493"/>
      <c r="AK188" s="492">
        <v>184</v>
      </c>
      <c r="AL188" s="492">
        <v>16</v>
      </c>
      <c r="AM188" s="497">
        <f>IF(('Comparison Calculator'!$E$11-AL188)&gt;=0,0,IFERROR(-PPMT($AQ$66/12,(AK188-60),($F$1-5)*12,$AQ$65),0))</f>
        <v>0</v>
      </c>
      <c r="AN188" s="497">
        <f>IF(('Comparison Calculator'!$E$11-AL188)&gt;=0,$C$1*$AQ$66/12,IFERROR(-IPMT($AQ$66/12,(AK188-60),($F$1-5)*12,$AQ$65,0),0))</f>
        <v>0</v>
      </c>
      <c r="AO188" s="497">
        <f t="shared" si="68"/>
        <v>0</v>
      </c>
      <c r="AP188" s="497">
        <f t="shared" si="81"/>
        <v>1800000</v>
      </c>
      <c r="AQ188" s="493"/>
      <c r="AR188" s="493"/>
      <c r="AT188" s="492">
        <v>184</v>
      </c>
      <c r="AU188" s="492">
        <v>16</v>
      </c>
      <c r="AV188" s="497">
        <f>IF(('Comparison Calculator'!$E$11-AU188)&gt;=0,0,IFERROR(-PPMT($AZ$66/12,(AT188-60),($F$1-5)*12,$AZ$65),0))</f>
        <v>0</v>
      </c>
      <c r="AW188" s="497">
        <f>IF(('Comparison Calculator'!$E$11-AU188)&gt;=0,$C$1*$AZ$66/12,IFERROR(-IPMT($AZ$66/12,(AT188-60),($F$1-5)*12,$AZ$65,0),0))</f>
        <v>0</v>
      </c>
      <c r="AX188" s="497">
        <f t="shared" si="69"/>
        <v>0</v>
      </c>
      <c r="AY188" s="497">
        <f t="shared" si="82"/>
        <v>1800000</v>
      </c>
      <c r="AZ188" s="493"/>
      <c r="BA188" s="493"/>
      <c r="BC188" s="492">
        <v>184</v>
      </c>
      <c r="BD188" s="492">
        <v>16</v>
      </c>
      <c r="BE188" s="497">
        <f>IF(('Comparison Calculator'!$E$11-BD188)&gt;=0,0,IFERROR(-PPMT($BI$66/12,(BC188-60),($F$1-5)*12,$BI$65),0))</f>
        <v>0</v>
      </c>
      <c r="BF188" s="497">
        <f>IF(('Comparison Calculator'!$E$11-BD188)&gt;=0,$C$1*$BI$66/12,IFERROR(-IPMT($BI$66/12,(BC188-60),($F$1-5)*12,$BI$65,0),0))</f>
        <v>0</v>
      </c>
      <c r="BG188" s="497">
        <f t="shared" si="70"/>
        <v>0</v>
      </c>
      <c r="BH188" s="497">
        <f t="shared" si="83"/>
        <v>1800000</v>
      </c>
      <c r="BI188" s="493"/>
      <c r="BJ188" s="493"/>
      <c r="BK188" s="492">
        <v>184</v>
      </c>
      <c r="BL188" s="492">
        <v>16</v>
      </c>
      <c r="BM188" s="497">
        <f>IF(('Comparison Calculator'!$E$11-BL188)&gt;=0,0,IFERROR(-PPMT($BQ$66/12,(BK188-60),($F$1-5)*12,$BQ$65),0))</f>
        <v>0</v>
      </c>
      <c r="BN188" s="497">
        <f>IF(('Comparison Calculator'!$E$11-BL188)&gt;=0,$C$1*$BQ$66/12,IFERROR(-IPMT($BQ$66/12,(BK188-60),($F$1-5)*12,$BQ$65,0),0))</f>
        <v>0</v>
      </c>
      <c r="BO188" s="497">
        <f t="shared" si="71"/>
        <v>0</v>
      </c>
      <c r="BP188" s="497">
        <f t="shared" si="84"/>
        <v>1800000</v>
      </c>
      <c r="BQ188" s="493"/>
      <c r="BR188" s="493"/>
      <c r="BT188" s="492">
        <v>184</v>
      </c>
      <c r="BU188" s="492">
        <v>16</v>
      </c>
      <c r="BV188" s="497">
        <f>IF(('Comparison Calculator'!$E$11-BU188)&gt;=0,0,IFERROR(-PPMT($BZ$66/12,(BT188-60),($F$1-5)*12,$BZ$65),0))</f>
        <v>0</v>
      </c>
      <c r="BW188" s="497">
        <f>IF(('Comparison Calculator'!$E$11-BU188)&gt;=0,$C$1*$BZ$66/12,IFERROR(-IPMT($BZ$66/12,(BT188-60),($F$1-5)*12,$BZ$65,0),0))</f>
        <v>0</v>
      </c>
      <c r="BX188" s="497">
        <f t="shared" si="72"/>
        <v>0</v>
      </c>
      <c r="BY188" s="497">
        <f t="shared" si="85"/>
        <v>1800000</v>
      </c>
      <c r="BZ188" s="493"/>
      <c r="CA188" s="493"/>
      <c r="CC188" s="492">
        <v>184</v>
      </c>
      <c r="CD188" s="492">
        <v>16</v>
      </c>
      <c r="CE188" s="497">
        <f>IF(('Comparison Calculator'!$E$11-CD188)&gt;=0,0,IFERROR(-PPMT($CI$66/12,(CC188-60),($F$1-5)*12,$CI$65),0))</f>
        <v>0</v>
      </c>
      <c r="CF188" s="497">
        <f>IF(('Comparison Calculator'!$E$11-CD188)&gt;=0,$C$1*$CI$66/12,IFERROR(-IPMT($CI$66/12,(CC188-60),($F$1-5)*12,$CI$65,0),0))</f>
        <v>0</v>
      </c>
      <c r="CG188" s="497">
        <f t="shared" si="73"/>
        <v>0</v>
      </c>
      <c r="CH188" s="497">
        <f t="shared" si="86"/>
        <v>1800000</v>
      </c>
      <c r="CI188" s="493"/>
      <c r="CJ188" s="493"/>
      <c r="CL188" s="492">
        <v>184</v>
      </c>
      <c r="CM188" s="492">
        <v>16</v>
      </c>
      <c r="CN188" s="497">
        <f>IF(('Comparison Calculator'!$E$11-CM188)&gt;=0,0,IFERROR(-PPMT($CR$66/12,(CL188-60),($F$1-5)*12,$CR$65),0))</f>
        <v>0</v>
      </c>
      <c r="CO188" s="497">
        <f>IF(('Comparison Calculator'!$E$11-CM188)&gt;=0,$C$1*$CI$66/12,IFERROR(-IPMT($CI$66/12,(CL188-60),($F$1-5)*12,$CI$65,0),0))</f>
        <v>0</v>
      </c>
      <c r="CP188" s="497">
        <f t="shared" si="74"/>
        <v>0</v>
      </c>
      <c r="CQ188" s="497">
        <f t="shared" si="87"/>
        <v>1800000</v>
      </c>
      <c r="CR188" s="493"/>
      <c r="CS188" s="493"/>
      <c r="CU188" s="492">
        <v>184</v>
      </c>
      <c r="CV188" s="492">
        <v>16</v>
      </c>
      <c r="CW188" s="497">
        <f>IF(('Comparison Calculator'!$E$11-CV188)&gt;=0,0,IFERROR(-PPMT($DA$66/12,(CU188-60),($F$1-5)*12,$DA$65),0))</f>
        <v>0</v>
      </c>
      <c r="CX188" s="497">
        <f>IF(('Comparison Calculator'!$E$11-CV188)&gt;=0,$C$1*$DA$66/12,IFERROR(-IPMT($DA$66/12,(CU188-60),($F$1-5)*12,$DA$65,0),0))</f>
        <v>0</v>
      </c>
      <c r="CY188" s="497">
        <f t="shared" si="75"/>
        <v>0</v>
      </c>
      <c r="CZ188" s="497">
        <f t="shared" si="88"/>
        <v>1800000</v>
      </c>
      <c r="DA188" s="493"/>
      <c r="DB188" s="493"/>
      <c r="DD188" s="492">
        <v>184</v>
      </c>
      <c r="DE188" s="492">
        <v>16</v>
      </c>
      <c r="DF188" s="497">
        <f>IF(('Comparison Calculator'!$E$11-DE188)&gt;=0,0,IFERROR(-PPMT($DJ$66/12,(DD188-60),($F$1-5)*12,$DJ$65),0))</f>
        <v>0</v>
      </c>
      <c r="DG188" s="497">
        <f>IF(('Comparison Calculator'!$E$11-DE188)&gt;=0,$C$1*$DJ$66/12,IFERROR(-IPMT($DJ$66/12,(DD188-60),($F$1-5)*12,$DJ$65,0),0))</f>
        <v>0</v>
      </c>
      <c r="DH188" s="497">
        <f t="shared" si="76"/>
        <v>0</v>
      </c>
      <c r="DI188" s="497">
        <f t="shared" si="89"/>
        <v>1800000</v>
      </c>
      <c r="DJ188" s="493"/>
      <c r="DK188" s="493"/>
    </row>
    <row r="189" spans="1:115">
      <c r="A189" s="492">
        <v>185</v>
      </c>
      <c r="B189" s="492">
        <v>16</v>
      </c>
      <c r="C189" s="497">
        <f>IF(('Comparison Calculator'!$E$11-B189)&gt;=0,0,IFERROR(-PPMT($G$66/12,(A189-60),($F$1-5)*12,$G$65),0))</f>
        <v>0</v>
      </c>
      <c r="D189" s="497">
        <f>IF(('Comparison Calculator'!$E$11-B189)&gt;=0,$C$1*$G$66/12,IFERROR(-IPMT($G$66/12,(A189-60),($F$1-5)*12,$G$65,0),0))</f>
        <v>0</v>
      </c>
      <c r="E189" s="497">
        <f t="shared" si="64"/>
        <v>0</v>
      </c>
      <c r="F189" s="497">
        <f t="shared" si="77"/>
        <v>1800000</v>
      </c>
      <c r="G189" s="493"/>
      <c r="H189" s="493"/>
      <c r="I189" s="489"/>
      <c r="J189" s="492">
        <v>185</v>
      </c>
      <c r="K189" s="492">
        <v>16</v>
      </c>
      <c r="L189" s="497">
        <f>IF(('Comparison Calculator'!$E$11-K189)&gt;=0,0,IFERROR(-PPMT($P$66/12,(J189-60),($F$1-5)*12,$P$65),0))</f>
        <v>0</v>
      </c>
      <c r="M189" s="497">
        <f>IF(('Comparison Calculator'!$E$11-K189)&gt;=0,$C$1*$P$66/12,IFERROR(-IPMT($P$66/12,(J189-60),($F$1-5)*12,$P$65,0),0))</f>
        <v>0</v>
      </c>
      <c r="N189" s="497">
        <f t="shared" si="65"/>
        <v>0</v>
      </c>
      <c r="O189" s="497">
        <f t="shared" si="78"/>
        <v>1800000</v>
      </c>
      <c r="P189" s="493"/>
      <c r="Q189" s="493"/>
      <c r="S189" s="492">
        <v>185</v>
      </c>
      <c r="T189" s="492">
        <v>16</v>
      </c>
      <c r="U189" s="497">
        <f>IF(('Comparison Calculator'!$E$11-T189)&gt;=0,0,IFERROR(-PPMT($Y$66/12,(S189-60),($F$1-5)*12,$Y$65),0))</f>
        <v>0</v>
      </c>
      <c r="V189" s="497">
        <f>IF(('Comparison Calculator'!$E$11-T189)&gt;=0,$C$1*$Y$66/12,IFERROR(-IPMT($Y$66/12,(S189-60),($F$1-5)*12,$Y$65,0),0))</f>
        <v>0</v>
      </c>
      <c r="W189" s="497">
        <f t="shared" si="66"/>
        <v>0</v>
      </c>
      <c r="X189" s="497">
        <f t="shared" si="79"/>
        <v>1800000</v>
      </c>
      <c r="Y189" s="493"/>
      <c r="Z189" s="493"/>
      <c r="AB189" s="492">
        <v>185</v>
      </c>
      <c r="AC189" s="492">
        <v>16</v>
      </c>
      <c r="AD189" s="497">
        <f>IF(('Comparison Calculator'!$E$11-AC189)&gt;=0,0,IFERROR(-PPMT($AH$66/12,(AB189-60),($F$1-5)*12,$AH$65),0))</f>
        <v>0</v>
      </c>
      <c r="AE189" s="497">
        <f>IF(('Comparison Calculator'!$E$11-AC189)&gt;=0,$C$1*$AH$66/12,IFERROR(-IPMT($AH$66/12,(AB189-60),($F$1-5)*12,$AH$65,0),0))</f>
        <v>0</v>
      </c>
      <c r="AF189" s="497">
        <f t="shared" si="67"/>
        <v>0</v>
      </c>
      <c r="AG189" s="497">
        <f t="shared" si="80"/>
        <v>1800000</v>
      </c>
      <c r="AH189" s="493"/>
      <c r="AI189" s="493"/>
      <c r="AK189" s="492">
        <v>185</v>
      </c>
      <c r="AL189" s="492">
        <v>16</v>
      </c>
      <c r="AM189" s="497">
        <f>IF(('Comparison Calculator'!$E$11-AL189)&gt;=0,0,IFERROR(-PPMT($AQ$66/12,(AK189-60),($F$1-5)*12,$AQ$65),0))</f>
        <v>0</v>
      </c>
      <c r="AN189" s="497">
        <f>IF(('Comparison Calculator'!$E$11-AL189)&gt;=0,$C$1*$AQ$66/12,IFERROR(-IPMT($AQ$66/12,(AK189-60),($F$1-5)*12,$AQ$65,0),0))</f>
        <v>0</v>
      </c>
      <c r="AO189" s="497">
        <f t="shared" si="68"/>
        <v>0</v>
      </c>
      <c r="AP189" s="497">
        <f t="shared" si="81"/>
        <v>1800000</v>
      </c>
      <c r="AQ189" s="493"/>
      <c r="AR189" s="493"/>
      <c r="AT189" s="492">
        <v>185</v>
      </c>
      <c r="AU189" s="492">
        <v>16</v>
      </c>
      <c r="AV189" s="497">
        <f>IF(('Comparison Calculator'!$E$11-AU189)&gt;=0,0,IFERROR(-PPMT($AZ$66/12,(AT189-60),($F$1-5)*12,$AZ$65),0))</f>
        <v>0</v>
      </c>
      <c r="AW189" s="497">
        <f>IF(('Comparison Calculator'!$E$11-AU189)&gt;=0,$C$1*$AZ$66/12,IFERROR(-IPMT($AZ$66/12,(AT189-60),($F$1-5)*12,$AZ$65,0),0))</f>
        <v>0</v>
      </c>
      <c r="AX189" s="497">
        <f t="shared" si="69"/>
        <v>0</v>
      </c>
      <c r="AY189" s="497">
        <f t="shared" si="82"/>
        <v>1800000</v>
      </c>
      <c r="AZ189" s="493"/>
      <c r="BA189" s="493"/>
      <c r="BC189" s="492">
        <v>185</v>
      </c>
      <c r="BD189" s="492">
        <v>16</v>
      </c>
      <c r="BE189" s="497">
        <f>IF(('Comparison Calculator'!$E$11-BD189)&gt;=0,0,IFERROR(-PPMT($BI$66/12,(BC189-60),($F$1-5)*12,$BI$65),0))</f>
        <v>0</v>
      </c>
      <c r="BF189" s="497">
        <f>IF(('Comparison Calculator'!$E$11-BD189)&gt;=0,$C$1*$BI$66/12,IFERROR(-IPMT($BI$66/12,(BC189-60),($F$1-5)*12,$BI$65,0),0))</f>
        <v>0</v>
      </c>
      <c r="BG189" s="497">
        <f t="shared" si="70"/>
        <v>0</v>
      </c>
      <c r="BH189" s="497">
        <f t="shared" si="83"/>
        <v>1800000</v>
      </c>
      <c r="BI189" s="493"/>
      <c r="BJ189" s="493"/>
      <c r="BK189" s="492">
        <v>185</v>
      </c>
      <c r="BL189" s="492">
        <v>16</v>
      </c>
      <c r="BM189" s="497">
        <f>IF(('Comparison Calculator'!$E$11-BL189)&gt;=0,0,IFERROR(-PPMT($BQ$66/12,(BK189-60),($F$1-5)*12,$BQ$65),0))</f>
        <v>0</v>
      </c>
      <c r="BN189" s="497">
        <f>IF(('Comparison Calculator'!$E$11-BL189)&gt;=0,$C$1*$BQ$66/12,IFERROR(-IPMT($BQ$66/12,(BK189-60),($F$1-5)*12,$BQ$65,0),0))</f>
        <v>0</v>
      </c>
      <c r="BO189" s="497">
        <f t="shared" si="71"/>
        <v>0</v>
      </c>
      <c r="BP189" s="497">
        <f t="shared" si="84"/>
        <v>1800000</v>
      </c>
      <c r="BQ189" s="493"/>
      <c r="BR189" s="493"/>
      <c r="BT189" s="492">
        <v>185</v>
      </c>
      <c r="BU189" s="492">
        <v>16</v>
      </c>
      <c r="BV189" s="497">
        <f>IF(('Comparison Calculator'!$E$11-BU189)&gt;=0,0,IFERROR(-PPMT($BZ$66/12,(BT189-60),($F$1-5)*12,$BZ$65),0))</f>
        <v>0</v>
      </c>
      <c r="BW189" s="497">
        <f>IF(('Comparison Calculator'!$E$11-BU189)&gt;=0,$C$1*$BZ$66/12,IFERROR(-IPMT($BZ$66/12,(BT189-60),($F$1-5)*12,$BZ$65,0),0))</f>
        <v>0</v>
      </c>
      <c r="BX189" s="497">
        <f t="shared" si="72"/>
        <v>0</v>
      </c>
      <c r="BY189" s="497">
        <f t="shared" si="85"/>
        <v>1800000</v>
      </c>
      <c r="BZ189" s="493"/>
      <c r="CA189" s="493"/>
      <c r="CC189" s="492">
        <v>185</v>
      </c>
      <c r="CD189" s="492">
        <v>16</v>
      </c>
      <c r="CE189" s="497">
        <f>IF(('Comparison Calculator'!$E$11-CD189)&gt;=0,0,IFERROR(-PPMT($CI$66/12,(CC189-60),($F$1-5)*12,$CI$65),0))</f>
        <v>0</v>
      </c>
      <c r="CF189" s="497">
        <f>IF(('Comparison Calculator'!$E$11-CD189)&gt;=0,$C$1*$CI$66/12,IFERROR(-IPMT($CI$66/12,(CC189-60),($F$1-5)*12,$CI$65,0),0))</f>
        <v>0</v>
      </c>
      <c r="CG189" s="497">
        <f t="shared" si="73"/>
        <v>0</v>
      </c>
      <c r="CH189" s="497">
        <f t="shared" si="86"/>
        <v>1800000</v>
      </c>
      <c r="CI189" s="493"/>
      <c r="CJ189" s="493"/>
      <c r="CL189" s="492">
        <v>185</v>
      </c>
      <c r="CM189" s="492">
        <v>16</v>
      </c>
      <c r="CN189" s="497">
        <f>IF(('Comparison Calculator'!$E$11-CM189)&gt;=0,0,IFERROR(-PPMT($CR$66/12,(CL189-60),($F$1-5)*12,$CR$65),0))</f>
        <v>0</v>
      </c>
      <c r="CO189" s="497">
        <f>IF(('Comparison Calculator'!$E$11-CM189)&gt;=0,$C$1*$CI$66/12,IFERROR(-IPMT($CI$66/12,(CL189-60),($F$1-5)*12,$CI$65,0),0))</f>
        <v>0</v>
      </c>
      <c r="CP189" s="497">
        <f t="shared" si="74"/>
        <v>0</v>
      </c>
      <c r="CQ189" s="497">
        <f t="shared" si="87"/>
        <v>1800000</v>
      </c>
      <c r="CR189" s="493"/>
      <c r="CS189" s="493"/>
      <c r="CU189" s="492">
        <v>185</v>
      </c>
      <c r="CV189" s="492">
        <v>16</v>
      </c>
      <c r="CW189" s="497">
        <f>IF(('Comparison Calculator'!$E$11-CV189)&gt;=0,0,IFERROR(-PPMT($DA$66/12,(CU189-60),($F$1-5)*12,$DA$65),0))</f>
        <v>0</v>
      </c>
      <c r="CX189" s="497">
        <f>IF(('Comparison Calculator'!$E$11-CV189)&gt;=0,$C$1*$DA$66/12,IFERROR(-IPMT($DA$66/12,(CU189-60),($F$1-5)*12,$DA$65,0),0))</f>
        <v>0</v>
      </c>
      <c r="CY189" s="497">
        <f t="shared" si="75"/>
        <v>0</v>
      </c>
      <c r="CZ189" s="497">
        <f t="shared" si="88"/>
        <v>1800000</v>
      </c>
      <c r="DA189" s="493"/>
      <c r="DB189" s="493"/>
      <c r="DD189" s="492">
        <v>185</v>
      </c>
      <c r="DE189" s="492">
        <v>16</v>
      </c>
      <c r="DF189" s="497">
        <f>IF(('Comparison Calculator'!$E$11-DE189)&gt;=0,0,IFERROR(-PPMT($DJ$66/12,(DD189-60),($F$1-5)*12,$DJ$65),0))</f>
        <v>0</v>
      </c>
      <c r="DG189" s="497">
        <f>IF(('Comparison Calculator'!$E$11-DE189)&gt;=0,$C$1*$DJ$66/12,IFERROR(-IPMT($DJ$66/12,(DD189-60),($F$1-5)*12,$DJ$65,0),0))</f>
        <v>0</v>
      </c>
      <c r="DH189" s="497">
        <f t="shared" si="76"/>
        <v>0</v>
      </c>
      <c r="DI189" s="497">
        <f t="shared" si="89"/>
        <v>1800000</v>
      </c>
      <c r="DJ189" s="493"/>
      <c r="DK189" s="493"/>
    </row>
    <row r="190" spans="1:115">
      <c r="A190" s="492">
        <v>186</v>
      </c>
      <c r="B190" s="492">
        <v>16</v>
      </c>
      <c r="C190" s="497">
        <f>IF(('Comparison Calculator'!$E$11-B190)&gt;=0,0,IFERROR(-PPMT($G$66/12,(A190-60),($F$1-5)*12,$G$65),0))</f>
        <v>0</v>
      </c>
      <c r="D190" s="497">
        <f>IF(('Comparison Calculator'!$E$11-B190)&gt;=0,$C$1*$G$66/12,IFERROR(-IPMT($G$66/12,(A190-60),($F$1-5)*12,$G$65,0),0))</f>
        <v>0</v>
      </c>
      <c r="E190" s="497">
        <f t="shared" si="64"/>
        <v>0</v>
      </c>
      <c r="F190" s="497">
        <f t="shared" si="77"/>
        <v>1800000</v>
      </c>
      <c r="G190" s="493"/>
      <c r="H190" s="493"/>
      <c r="I190" s="489"/>
      <c r="J190" s="492">
        <v>186</v>
      </c>
      <c r="K190" s="492">
        <v>16</v>
      </c>
      <c r="L190" s="497">
        <f>IF(('Comparison Calculator'!$E$11-K190)&gt;=0,0,IFERROR(-PPMT($P$66/12,(J190-60),($F$1-5)*12,$P$65),0))</f>
        <v>0</v>
      </c>
      <c r="M190" s="497">
        <f>IF(('Comparison Calculator'!$E$11-K190)&gt;=0,$C$1*$P$66/12,IFERROR(-IPMT($P$66/12,(J190-60),($F$1-5)*12,$P$65,0),0))</f>
        <v>0</v>
      </c>
      <c r="N190" s="497">
        <f t="shared" si="65"/>
        <v>0</v>
      </c>
      <c r="O190" s="497">
        <f t="shared" si="78"/>
        <v>1800000</v>
      </c>
      <c r="P190" s="493"/>
      <c r="Q190" s="493"/>
      <c r="S190" s="492">
        <v>186</v>
      </c>
      <c r="T190" s="492">
        <v>16</v>
      </c>
      <c r="U190" s="497">
        <f>IF(('Comparison Calculator'!$E$11-T190)&gt;=0,0,IFERROR(-PPMT($Y$66/12,(S190-60),($F$1-5)*12,$Y$65),0))</f>
        <v>0</v>
      </c>
      <c r="V190" s="497">
        <f>IF(('Comparison Calculator'!$E$11-T190)&gt;=0,$C$1*$Y$66/12,IFERROR(-IPMT($Y$66/12,(S190-60),($F$1-5)*12,$Y$65,0),0))</f>
        <v>0</v>
      </c>
      <c r="W190" s="497">
        <f t="shared" si="66"/>
        <v>0</v>
      </c>
      <c r="X190" s="497">
        <f t="shared" si="79"/>
        <v>1800000</v>
      </c>
      <c r="Y190" s="493"/>
      <c r="Z190" s="493"/>
      <c r="AB190" s="492">
        <v>186</v>
      </c>
      <c r="AC190" s="492">
        <v>16</v>
      </c>
      <c r="AD190" s="497">
        <f>IF(('Comparison Calculator'!$E$11-AC190)&gt;=0,0,IFERROR(-PPMT($AH$66/12,(AB190-60),($F$1-5)*12,$AH$65),0))</f>
        <v>0</v>
      </c>
      <c r="AE190" s="497">
        <f>IF(('Comparison Calculator'!$E$11-AC190)&gt;=0,$C$1*$AH$66/12,IFERROR(-IPMT($AH$66/12,(AB190-60),($F$1-5)*12,$AH$65,0),0))</f>
        <v>0</v>
      </c>
      <c r="AF190" s="497">
        <f t="shared" si="67"/>
        <v>0</v>
      </c>
      <c r="AG190" s="497">
        <f t="shared" si="80"/>
        <v>1800000</v>
      </c>
      <c r="AH190" s="493"/>
      <c r="AI190" s="493"/>
      <c r="AK190" s="492">
        <v>186</v>
      </c>
      <c r="AL190" s="492">
        <v>16</v>
      </c>
      <c r="AM190" s="497">
        <f>IF(('Comparison Calculator'!$E$11-AL190)&gt;=0,0,IFERROR(-PPMT($AQ$66/12,(AK190-60),($F$1-5)*12,$AQ$65),0))</f>
        <v>0</v>
      </c>
      <c r="AN190" s="497">
        <f>IF(('Comparison Calculator'!$E$11-AL190)&gt;=0,$C$1*$AQ$66/12,IFERROR(-IPMT($AQ$66/12,(AK190-60),($F$1-5)*12,$AQ$65,0),0))</f>
        <v>0</v>
      </c>
      <c r="AO190" s="497">
        <f t="shared" si="68"/>
        <v>0</v>
      </c>
      <c r="AP190" s="497">
        <f t="shared" si="81"/>
        <v>1800000</v>
      </c>
      <c r="AQ190" s="493"/>
      <c r="AR190" s="493"/>
      <c r="AT190" s="492">
        <v>186</v>
      </c>
      <c r="AU190" s="492">
        <v>16</v>
      </c>
      <c r="AV190" s="497">
        <f>IF(('Comparison Calculator'!$E$11-AU190)&gt;=0,0,IFERROR(-PPMT($AZ$66/12,(AT190-60),($F$1-5)*12,$AZ$65),0))</f>
        <v>0</v>
      </c>
      <c r="AW190" s="497">
        <f>IF(('Comparison Calculator'!$E$11-AU190)&gt;=0,$C$1*$AZ$66/12,IFERROR(-IPMT($AZ$66/12,(AT190-60),($F$1-5)*12,$AZ$65,0),0))</f>
        <v>0</v>
      </c>
      <c r="AX190" s="497">
        <f t="shared" si="69"/>
        <v>0</v>
      </c>
      <c r="AY190" s="497">
        <f t="shared" si="82"/>
        <v>1800000</v>
      </c>
      <c r="AZ190" s="493"/>
      <c r="BA190" s="493"/>
      <c r="BC190" s="492">
        <v>186</v>
      </c>
      <c r="BD190" s="492">
        <v>16</v>
      </c>
      <c r="BE190" s="497">
        <f>IF(('Comparison Calculator'!$E$11-BD190)&gt;=0,0,IFERROR(-PPMT($BI$66/12,(BC190-60),($F$1-5)*12,$BI$65),0))</f>
        <v>0</v>
      </c>
      <c r="BF190" s="497">
        <f>IF(('Comparison Calculator'!$E$11-BD190)&gt;=0,$C$1*$BI$66/12,IFERROR(-IPMT($BI$66/12,(BC190-60),($F$1-5)*12,$BI$65,0),0))</f>
        <v>0</v>
      </c>
      <c r="BG190" s="497">
        <f t="shared" si="70"/>
        <v>0</v>
      </c>
      <c r="BH190" s="497">
        <f t="shared" si="83"/>
        <v>1800000</v>
      </c>
      <c r="BI190" s="493"/>
      <c r="BJ190" s="493"/>
      <c r="BK190" s="492">
        <v>186</v>
      </c>
      <c r="BL190" s="492">
        <v>16</v>
      </c>
      <c r="BM190" s="497">
        <f>IF(('Comparison Calculator'!$E$11-BL190)&gt;=0,0,IFERROR(-PPMT($BQ$66/12,(BK190-60),($F$1-5)*12,$BQ$65),0))</f>
        <v>0</v>
      </c>
      <c r="BN190" s="497">
        <f>IF(('Comparison Calculator'!$E$11-BL190)&gt;=0,$C$1*$BQ$66/12,IFERROR(-IPMT($BQ$66/12,(BK190-60),($F$1-5)*12,$BQ$65,0),0))</f>
        <v>0</v>
      </c>
      <c r="BO190" s="497">
        <f t="shared" si="71"/>
        <v>0</v>
      </c>
      <c r="BP190" s="497">
        <f t="shared" si="84"/>
        <v>1800000</v>
      </c>
      <c r="BQ190" s="493"/>
      <c r="BR190" s="493"/>
      <c r="BT190" s="492">
        <v>186</v>
      </c>
      <c r="BU190" s="492">
        <v>16</v>
      </c>
      <c r="BV190" s="497">
        <f>IF(('Comparison Calculator'!$E$11-BU190)&gt;=0,0,IFERROR(-PPMT($BZ$66/12,(BT190-60),($F$1-5)*12,$BZ$65),0))</f>
        <v>0</v>
      </c>
      <c r="BW190" s="497">
        <f>IF(('Comparison Calculator'!$E$11-BU190)&gt;=0,$C$1*$BZ$66/12,IFERROR(-IPMT($BZ$66/12,(BT190-60),($F$1-5)*12,$BZ$65,0),0))</f>
        <v>0</v>
      </c>
      <c r="BX190" s="497">
        <f t="shared" si="72"/>
        <v>0</v>
      </c>
      <c r="BY190" s="497">
        <f t="shared" si="85"/>
        <v>1800000</v>
      </c>
      <c r="BZ190" s="493"/>
      <c r="CA190" s="493"/>
      <c r="CC190" s="492">
        <v>186</v>
      </c>
      <c r="CD190" s="492">
        <v>16</v>
      </c>
      <c r="CE190" s="497">
        <f>IF(('Comparison Calculator'!$E$11-CD190)&gt;=0,0,IFERROR(-PPMT($CI$66/12,(CC190-60),($F$1-5)*12,$CI$65),0))</f>
        <v>0</v>
      </c>
      <c r="CF190" s="497">
        <f>IF(('Comparison Calculator'!$E$11-CD190)&gt;=0,$C$1*$CI$66/12,IFERROR(-IPMT($CI$66/12,(CC190-60),($F$1-5)*12,$CI$65,0),0))</f>
        <v>0</v>
      </c>
      <c r="CG190" s="497">
        <f t="shared" si="73"/>
        <v>0</v>
      </c>
      <c r="CH190" s="497">
        <f t="shared" si="86"/>
        <v>1800000</v>
      </c>
      <c r="CI190" s="493"/>
      <c r="CJ190" s="493"/>
      <c r="CL190" s="492">
        <v>186</v>
      </c>
      <c r="CM190" s="492">
        <v>16</v>
      </c>
      <c r="CN190" s="497">
        <f>IF(('Comparison Calculator'!$E$11-CM190)&gt;=0,0,IFERROR(-PPMT($CR$66/12,(CL190-60),($F$1-5)*12,$CR$65),0))</f>
        <v>0</v>
      </c>
      <c r="CO190" s="497">
        <f>IF(('Comparison Calculator'!$E$11-CM190)&gt;=0,$C$1*$CI$66/12,IFERROR(-IPMT($CI$66/12,(CL190-60),($F$1-5)*12,$CI$65,0),0))</f>
        <v>0</v>
      </c>
      <c r="CP190" s="497">
        <f t="shared" si="74"/>
        <v>0</v>
      </c>
      <c r="CQ190" s="497">
        <f t="shared" si="87"/>
        <v>1800000</v>
      </c>
      <c r="CR190" s="493"/>
      <c r="CS190" s="493"/>
      <c r="CU190" s="492">
        <v>186</v>
      </c>
      <c r="CV190" s="492">
        <v>16</v>
      </c>
      <c r="CW190" s="497">
        <f>IF(('Comparison Calculator'!$E$11-CV190)&gt;=0,0,IFERROR(-PPMT($DA$66/12,(CU190-60),($F$1-5)*12,$DA$65),0))</f>
        <v>0</v>
      </c>
      <c r="CX190" s="497">
        <f>IF(('Comparison Calculator'!$E$11-CV190)&gt;=0,$C$1*$DA$66/12,IFERROR(-IPMT($DA$66/12,(CU190-60),($F$1-5)*12,$DA$65,0),0))</f>
        <v>0</v>
      </c>
      <c r="CY190" s="497">
        <f t="shared" si="75"/>
        <v>0</v>
      </c>
      <c r="CZ190" s="497">
        <f t="shared" si="88"/>
        <v>1800000</v>
      </c>
      <c r="DA190" s="493"/>
      <c r="DB190" s="493"/>
      <c r="DD190" s="492">
        <v>186</v>
      </c>
      <c r="DE190" s="492">
        <v>16</v>
      </c>
      <c r="DF190" s="497">
        <f>IF(('Comparison Calculator'!$E$11-DE190)&gt;=0,0,IFERROR(-PPMT($DJ$66/12,(DD190-60),($F$1-5)*12,$DJ$65),0))</f>
        <v>0</v>
      </c>
      <c r="DG190" s="497">
        <f>IF(('Comparison Calculator'!$E$11-DE190)&gt;=0,$C$1*$DJ$66/12,IFERROR(-IPMT($DJ$66/12,(DD190-60),($F$1-5)*12,$DJ$65,0),0))</f>
        <v>0</v>
      </c>
      <c r="DH190" s="497">
        <f t="shared" si="76"/>
        <v>0</v>
      </c>
      <c r="DI190" s="497">
        <f t="shared" si="89"/>
        <v>1800000</v>
      </c>
      <c r="DJ190" s="493"/>
      <c r="DK190" s="493"/>
    </row>
    <row r="191" spans="1:115">
      <c r="A191" s="492">
        <v>187</v>
      </c>
      <c r="B191" s="492">
        <v>16</v>
      </c>
      <c r="C191" s="497">
        <f>IF(('Comparison Calculator'!$E$11-B191)&gt;=0,0,IFERROR(-PPMT($G$66/12,(A191-60),($F$1-5)*12,$G$65),0))</f>
        <v>0</v>
      </c>
      <c r="D191" s="497">
        <f>IF(('Comparison Calculator'!$E$11-B191)&gt;=0,$C$1*$G$66/12,IFERROR(-IPMT($G$66/12,(A191-60),($F$1-5)*12,$G$65,0),0))</f>
        <v>0</v>
      </c>
      <c r="E191" s="497">
        <f t="shared" si="64"/>
        <v>0</v>
      </c>
      <c r="F191" s="497">
        <f t="shared" si="77"/>
        <v>1800000</v>
      </c>
      <c r="G191" s="493"/>
      <c r="H191" s="493"/>
      <c r="I191" s="489"/>
      <c r="J191" s="492">
        <v>187</v>
      </c>
      <c r="K191" s="492">
        <v>16</v>
      </c>
      <c r="L191" s="497">
        <f>IF(('Comparison Calculator'!$E$11-K191)&gt;=0,0,IFERROR(-PPMT($P$66/12,(J191-60),($F$1-5)*12,$P$65),0))</f>
        <v>0</v>
      </c>
      <c r="M191" s="497">
        <f>IF(('Comparison Calculator'!$E$11-K191)&gt;=0,$C$1*$P$66/12,IFERROR(-IPMT($P$66/12,(J191-60),($F$1-5)*12,$P$65,0),0))</f>
        <v>0</v>
      </c>
      <c r="N191" s="497">
        <f t="shared" si="65"/>
        <v>0</v>
      </c>
      <c r="O191" s="497">
        <f t="shared" si="78"/>
        <v>1800000</v>
      </c>
      <c r="P191" s="493"/>
      <c r="Q191" s="493"/>
      <c r="S191" s="492">
        <v>187</v>
      </c>
      <c r="T191" s="492">
        <v>16</v>
      </c>
      <c r="U191" s="497">
        <f>IF(('Comparison Calculator'!$E$11-T191)&gt;=0,0,IFERROR(-PPMT($Y$66/12,(S191-60),($F$1-5)*12,$Y$65),0))</f>
        <v>0</v>
      </c>
      <c r="V191" s="497">
        <f>IF(('Comparison Calculator'!$E$11-T191)&gt;=0,$C$1*$Y$66/12,IFERROR(-IPMT($Y$66/12,(S191-60),($F$1-5)*12,$Y$65,0),0))</f>
        <v>0</v>
      </c>
      <c r="W191" s="497">
        <f t="shared" si="66"/>
        <v>0</v>
      </c>
      <c r="X191" s="497">
        <f t="shared" si="79"/>
        <v>1800000</v>
      </c>
      <c r="Y191" s="493"/>
      <c r="Z191" s="493"/>
      <c r="AB191" s="492">
        <v>187</v>
      </c>
      <c r="AC191" s="492">
        <v>16</v>
      </c>
      <c r="AD191" s="497">
        <f>IF(('Comparison Calculator'!$E$11-AC191)&gt;=0,0,IFERROR(-PPMT($AH$66/12,(AB191-60),($F$1-5)*12,$AH$65),0))</f>
        <v>0</v>
      </c>
      <c r="AE191" s="497">
        <f>IF(('Comparison Calculator'!$E$11-AC191)&gt;=0,$C$1*$AH$66/12,IFERROR(-IPMT($AH$66/12,(AB191-60),($F$1-5)*12,$AH$65,0),0))</f>
        <v>0</v>
      </c>
      <c r="AF191" s="497">
        <f t="shared" si="67"/>
        <v>0</v>
      </c>
      <c r="AG191" s="497">
        <f t="shared" si="80"/>
        <v>1800000</v>
      </c>
      <c r="AH191" s="493"/>
      <c r="AI191" s="493"/>
      <c r="AK191" s="492">
        <v>187</v>
      </c>
      <c r="AL191" s="492">
        <v>16</v>
      </c>
      <c r="AM191" s="497">
        <f>IF(('Comparison Calculator'!$E$11-AL191)&gt;=0,0,IFERROR(-PPMT($AQ$66/12,(AK191-60),($F$1-5)*12,$AQ$65),0))</f>
        <v>0</v>
      </c>
      <c r="AN191" s="497">
        <f>IF(('Comparison Calculator'!$E$11-AL191)&gt;=0,$C$1*$AQ$66/12,IFERROR(-IPMT($AQ$66/12,(AK191-60),($F$1-5)*12,$AQ$65,0),0))</f>
        <v>0</v>
      </c>
      <c r="AO191" s="497">
        <f t="shared" si="68"/>
        <v>0</v>
      </c>
      <c r="AP191" s="497">
        <f t="shared" si="81"/>
        <v>1800000</v>
      </c>
      <c r="AQ191" s="493"/>
      <c r="AR191" s="493"/>
      <c r="AT191" s="492">
        <v>187</v>
      </c>
      <c r="AU191" s="492">
        <v>16</v>
      </c>
      <c r="AV191" s="497">
        <f>IF(('Comparison Calculator'!$E$11-AU191)&gt;=0,0,IFERROR(-PPMT($AZ$66/12,(AT191-60),($F$1-5)*12,$AZ$65),0))</f>
        <v>0</v>
      </c>
      <c r="AW191" s="497">
        <f>IF(('Comparison Calculator'!$E$11-AU191)&gt;=0,$C$1*$AZ$66/12,IFERROR(-IPMT($AZ$66/12,(AT191-60),($F$1-5)*12,$AZ$65,0),0))</f>
        <v>0</v>
      </c>
      <c r="AX191" s="497">
        <f t="shared" si="69"/>
        <v>0</v>
      </c>
      <c r="AY191" s="497">
        <f t="shared" si="82"/>
        <v>1800000</v>
      </c>
      <c r="AZ191" s="493"/>
      <c r="BA191" s="493"/>
      <c r="BC191" s="492">
        <v>187</v>
      </c>
      <c r="BD191" s="492">
        <v>16</v>
      </c>
      <c r="BE191" s="497">
        <f>IF(('Comparison Calculator'!$E$11-BD191)&gt;=0,0,IFERROR(-PPMT($BI$66/12,(BC191-60),($F$1-5)*12,$BI$65),0))</f>
        <v>0</v>
      </c>
      <c r="BF191" s="497">
        <f>IF(('Comparison Calculator'!$E$11-BD191)&gt;=0,$C$1*$BI$66/12,IFERROR(-IPMT($BI$66/12,(BC191-60),($F$1-5)*12,$BI$65,0),0))</f>
        <v>0</v>
      </c>
      <c r="BG191" s="497">
        <f t="shared" si="70"/>
        <v>0</v>
      </c>
      <c r="BH191" s="497">
        <f t="shared" si="83"/>
        <v>1800000</v>
      </c>
      <c r="BI191" s="493"/>
      <c r="BJ191" s="493"/>
      <c r="BK191" s="492">
        <v>187</v>
      </c>
      <c r="BL191" s="492">
        <v>16</v>
      </c>
      <c r="BM191" s="497">
        <f>IF(('Comparison Calculator'!$E$11-BL191)&gt;=0,0,IFERROR(-PPMT($BQ$66/12,(BK191-60),($F$1-5)*12,$BQ$65),0))</f>
        <v>0</v>
      </c>
      <c r="BN191" s="497">
        <f>IF(('Comparison Calculator'!$E$11-BL191)&gt;=0,$C$1*$BQ$66/12,IFERROR(-IPMT($BQ$66/12,(BK191-60),($F$1-5)*12,$BQ$65,0),0))</f>
        <v>0</v>
      </c>
      <c r="BO191" s="497">
        <f t="shared" si="71"/>
        <v>0</v>
      </c>
      <c r="BP191" s="497">
        <f t="shared" si="84"/>
        <v>1800000</v>
      </c>
      <c r="BQ191" s="493"/>
      <c r="BR191" s="493"/>
      <c r="BT191" s="492">
        <v>187</v>
      </c>
      <c r="BU191" s="492">
        <v>16</v>
      </c>
      <c r="BV191" s="497">
        <f>IF(('Comparison Calculator'!$E$11-BU191)&gt;=0,0,IFERROR(-PPMT($BZ$66/12,(BT191-60),($F$1-5)*12,$BZ$65),0))</f>
        <v>0</v>
      </c>
      <c r="BW191" s="497">
        <f>IF(('Comparison Calculator'!$E$11-BU191)&gt;=0,$C$1*$BZ$66/12,IFERROR(-IPMT($BZ$66/12,(BT191-60),($F$1-5)*12,$BZ$65,0),0))</f>
        <v>0</v>
      </c>
      <c r="BX191" s="497">
        <f t="shared" si="72"/>
        <v>0</v>
      </c>
      <c r="BY191" s="497">
        <f t="shared" si="85"/>
        <v>1800000</v>
      </c>
      <c r="BZ191" s="493"/>
      <c r="CA191" s="493"/>
      <c r="CC191" s="492">
        <v>187</v>
      </c>
      <c r="CD191" s="492">
        <v>16</v>
      </c>
      <c r="CE191" s="497">
        <f>IF(('Comparison Calculator'!$E$11-CD191)&gt;=0,0,IFERROR(-PPMT($CI$66/12,(CC191-60),($F$1-5)*12,$CI$65),0))</f>
        <v>0</v>
      </c>
      <c r="CF191" s="497">
        <f>IF(('Comparison Calculator'!$E$11-CD191)&gt;=0,$C$1*$CI$66/12,IFERROR(-IPMT($CI$66/12,(CC191-60),($F$1-5)*12,$CI$65,0),0))</f>
        <v>0</v>
      </c>
      <c r="CG191" s="497">
        <f t="shared" si="73"/>
        <v>0</v>
      </c>
      <c r="CH191" s="497">
        <f t="shared" si="86"/>
        <v>1800000</v>
      </c>
      <c r="CI191" s="493"/>
      <c r="CJ191" s="493"/>
      <c r="CL191" s="492">
        <v>187</v>
      </c>
      <c r="CM191" s="492">
        <v>16</v>
      </c>
      <c r="CN191" s="497">
        <f>IF(('Comparison Calculator'!$E$11-CM191)&gt;=0,0,IFERROR(-PPMT($CR$66/12,(CL191-60),($F$1-5)*12,$CR$65),0))</f>
        <v>0</v>
      </c>
      <c r="CO191" s="497">
        <f>IF(('Comparison Calculator'!$E$11-CM191)&gt;=0,$C$1*$CI$66/12,IFERROR(-IPMT($CI$66/12,(CL191-60),($F$1-5)*12,$CI$65,0),0))</f>
        <v>0</v>
      </c>
      <c r="CP191" s="497">
        <f t="shared" si="74"/>
        <v>0</v>
      </c>
      <c r="CQ191" s="497">
        <f t="shared" si="87"/>
        <v>1800000</v>
      </c>
      <c r="CR191" s="493"/>
      <c r="CS191" s="493"/>
      <c r="CU191" s="492">
        <v>187</v>
      </c>
      <c r="CV191" s="492">
        <v>16</v>
      </c>
      <c r="CW191" s="497">
        <f>IF(('Comparison Calculator'!$E$11-CV191)&gt;=0,0,IFERROR(-PPMT($DA$66/12,(CU191-60),($F$1-5)*12,$DA$65),0))</f>
        <v>0</v>
      </c>
      <c r="CX191" s="497">
        <f>IF(('Comparison Calculator'!$E$11-CV191)&gt;=0,$C$1*$DA$66/12,IFERROR(-IPMT($DA$66/12,(CU191-60),($F$1-5)*12,$DA$65,0),0))</f>
        <v>0</v>
      </c>
      <c r="CY191" s="497">
        <f t="shared" si="75"/>
        <v>0</v>
      </c>
      <c r="CZ191" s="497">
        <f t="shared" si="88"/>
        <v>1800000</v>
      </c>
      <c r="DA191" s="493"/>
      <c r="DB191" s="493"/>
      <c r="DD191" s="492">
        <v>187</v>
      </c>
      <c r="DE191" s="492">
        <v>16</v>
      </c>
      <c r="DF191" s="497">
        <f>IF(('Comparison Calculator'!$E$11-DE191)&gt;=0,0,IFERROR(-PPMT($DJ$66/12,(DD191-60),($F$1-5)*12,$DJ$65),0))</f>
        <v>0</v>
      </c>
      <c r="DG191" s="497">
        <f>IF(('Comparison Calculator'!$E$11-DE191)&gt;=0,$C$1*$DJ$66/12,IFERROR(-IPMT($DJ$66/12,(DD191-60),($F$1-5)*12,$DJ$65,0),0))</f>
        <v>0</v>
      </c>
      <c r="DH191" s="497">
        <f t="shared" si="76"/>
        <v>0</v>
      </c>
      <c r="DI191" s="497">
        <f t="shared" si="89"/>
        <v>1800000</v>
      </c>
      <c r="DJ191" s="493"/>
      <c r="DK191" s="493"/>
    </row>
    <row r="192" spans="1:115">
      <c r="A192" s="492">
        <v>188</v>
      </c>
      <c r="B192" s="492">
        <v>16</v>
      </c>
      <c r="C192" s="497">
        <f>IF(('Comparison Calculator'!$E$11-B192)&gt;=0,0,IFERROR(-PPMT($G$66/12,(A192-60),($F$1-5)*12,$G$65),0))</f>
        <v>0</v>
      </c>
      <c r="D192" s="497">
        <f>IF(('Comparison Calculator'!$E$11-B192)&gt;=0,$C$1*$G$66/12,IFERROR(-IPMT($G$66/12,(A192-60),($F$1-5)*12,$G$65,0),0))</f>
        <v>0</v>
      </c>
      <c r="E192" s="497">
        <f t="shared" si="64"/>
        <v>0</v>
      </c>
      <c r="F192" s="497">
        <f t="shared" si="77"/>
        <v>1800000</v>
      </c>
      <c r="G192" s="493"/>
      <c r="H192" s="493"/>
      <c r="I192" s="489"/>
      <c r="J192" s="492">
        <v>188</v>
      </c>
      <c r="K192" s="492">
        <v>16</v>
      </c>
      <c r="L192" s="497">
        <f>IF(('Comparison Calculator'!$E$11-K192)&gt;=0,0,IFERROR(-PPMT($P$66/12,(J192-60),($F$1-5)*12,$P$65),0))</f>
        <v>0</v>
      </c>
      <c r="M192" s="497">
        <f>IF(('Comparison Calculator'!$E$11-K192)&gt;=0,$C$1*$P$66/12,IFERROR(-IPMT($P$66/12,(J192-60),($F$1-5)*12,$P$65,0),0))</f>
        <v>0</v>
      </c>
      <c r="N192" s="497">
        <f t="shared" si="65"/>
        <v>0</v>
      </c>
      <c r="O192" s="497">
        <f t="shared" si="78"/>
        <v>1800000</v>
      </c>
      <c r="P192" s="493"/>
      <c r="Q192" s="493"/>
      <c r="S192" s="492">
        <v>188</v>
      </c>
      <c r="T192" s="492">
        <v>16</v>
      </c>
      <c r="U192" s="497">
        <f>IF(('Comparison Calculator'!$E$11-T192)&gt;=0,0,IFERROR(-PPMT($Y$66/12,(S192-60),($F$1-5)*12,$Y$65),0))</f>
        <v>0</v>
      </c>
      <c r="V192" s="497">
        <f>IF(('Comparison Calculator'!$E$11-T192)&gt;=0,$C$1*$Y$66/12,IFERROR(-IPMT($Y$66/12,(S192-60),($F$1-5)*12,$Y$65,0),0))</f>
        <v>0</v>
      </c>
      <c r="W192" s="497">
        <f t="shared" si="66"/>
        <v>0</v>
      </c>
      <c r="X192" s="497">
        <f t="shared" si="79"/>
        <v>1800000</v>
      </c>
      <c r="Y192" s="493"/>
      <c r="Z192" s="493"/>
      <c r="AB192" s="492">
        <v>188</v>
      </c>
      <c r="AC192" s="492">
        <v>16</v>
      </c>
      <c r="AD192" s="497">
        <f>IF(('Comparison Calculator'!$E$11-AC192)&gt;=0,0,IFERROR(-PPMT($AH$66/12,(AB192-60),($F$1-5)*12,$AH$65),0))</f>
        <v>0</v>
      </c>
      <c r="AE192" s="497">
        <f>IF(('Comparison Calculator'!$E$11-AC192)&gt;=0,$C$1*$AH$66/12,IFERROR(-IPMT($AH$66/12,(AB192-60),($F$1-5)*12,$AH$65,0),0))</f>
        <v>0</v>
      </c>
      <c r="AF192" s="497">
        <f t="shared" si="67"/>
        <v>0</v>
      </c>
      <c r="AG192" s="497">
        <f t="shared" si="80"/>
        <v>1800000</v>
      </c>
      <c r="AH192" s="493"/>
      <c r="AI192" s="493"/>
      <c r="AK192" s="492">
        <v>188</v>
      </c>
      <c r="AL192" s="492">
        <v>16</v>
      </c>
      <c r="AM192" s="497">
        <f>IF(('Comparison Calculator'!$E$11-AL192)&gt;=0,0,IFERROR(-PPMT($AQ$66/12,(AK192-60),($F$1-5)*12,$AQ$65),0))</f>
        <v>0</v>
      </c>
      <c r="AN192" s="497">
        <f>IF(('Comparison Calculator'!$E$11-AL192)&gt;=0,$C$1*$AQ$66/12,IFERROR(-IPMT($AQ$66/12,(AK192-60),($F$1-5)*12,$AQ$65,0),0))</f>
        <v>0</v>
      </c>
      <c r="AO192" s="497">
        <f t="shared" si="68"/>
        <v>0</v>
      </c>
      <c r="AP192" s="497">
        <f t="shared" si="81"/>
        <v>1800000</v>
      </c>
      <c r="AQ192" s="493"/>
      <c r="AR192" s="493"/>
      <c r="AT192" s="492">
        <v>188</v>
      </c>
      <c r="AU192" s="492">
        <v>16</v>
      </c>
      <c r="AV192" s="497">
        <f>IF(('Comparison Calculator'!$E$11-AU192)&gt;=0,0,IFERROR(-PPMT($AZ$66/12,(AT192-60),($F$1-5)*12,$AZ$65),0))</f>
        <v>0</v>
      </c>
      <c r="AW192" s="497">
        <f>IF(('Comparison Calculator'!$E$11-AU192)&gt;=0,$C$1*$AZ$66/12,IFERROR(-IPMT($AZ$66/12,(AT192-60),($F$1-5)*12,$AZ$65,0),0))</f>
        <v>0</v>
      </c>
      <c r="AX192" s="497">
        <f t="shared" si="69"/>
        <v>0</v>
      </c>
      <c r="AY192" s="497">
        <f t="shared" si="82"/>
        <v>1800000</v>
      </c>
      <c r="AZ192" s="493"/>
      <c r="BA192" s="493"/>
      <c r="BC192" s="492">
        <v>188</v>
      </c>
      <c r="BD192" s="492">
        <v>16</v>
      </c>
      <c r="BE192" s="497">
        <f>IF(('Comparison Calculator'!$E$11-BD192)&gt;=0,0,IFERROR(-PPMT($BI$66/12,(BC192-60),($F$1-5)*12,$BI$65),0))</f>
        <v>0</v>
      </c>
      <c r="BF192" s="497">
        <f>IF(('Comparison Calculator'!$E$11-BD192)&gt;=0,$C$1*$BI$66/12,IFERROR(-IPMT($BI$66/12,(BC192-60),($F$1-5)*12,$BI$65,0),0))</f>
        <v>0</v>
      </c>
      <c r="BG192" s="497">
        <f t="shared" si="70"/>
        <v>0</v>
      </c>
      <c r="BH192" s="497">
        <f t="shared" si="83"/>
        <v>1800000</v>
      </c>
      <c r="BI192" s="493"/>
      <c r="BJ192" s="493"/>
      <c r="BK192" s="492">
        <v>188</v>
      </c>
      <c r="BL192" s="492">
        <v>16</v>
      </c>
      <c r="BM192" s="497">
        <f>IF(('Comparison Calculator'!$E$11-BL192)&gt;=0,0,IFERROR(-PPMT($BQ$66/12,(BK192-60),($F$1-5)*12,$BQ$65),0))</f>
        <v>0</v>
      </c>
      <c r="BN192" s="497">
        <f>IF(('Comparison Calculator'!$E$11-BL192)&gt;=0,$C$1*$BQ$66/12,IFERROR(-IPMT($BQ$66/12,(BK192-60),($F$1-5)*12,$BQ$65,0),0))</f>
        <v>0</v>
      </c>
      <c r="BO192" s="497">
        <f t="shared" si="71"/>
        <v>0</v>
      </c>
      <c r="BP192" s="497">
        <f t="shared" si="84"/>
        <v>1800000</v>
      </c>
      <c r="BQ192" s="493"/>
      <c r="BR192" s="493"/>
      <c r="BT192" s="492">
        <v>188</v>
      </c>
      <c r="BU192" s="492">
        <v>16</v>
      </c>
      <c r="BV192" s="497">
        <f>IF(('Comparison Calculator'!$E$11-BU192)&gt;=0,0,IFERROR(-PPMT($BZ$66/12,(BT192-60),($F$1-5)*12,$BZ$65),0))</f>
        <v>0</v>
      </c>
      <c r="BW192" s="497">
        <f>IF(('Comparison Calculator'!$E$11-BU192)&gt;=0,$C$1*$BZ$66/12,IFERROR(-IPMT($BZ$66/12,(BT192-60),($F$1-5)*12,$BZ$65,0),0))</f>
        <v>0</v>
      </c>
      <c r="BX192" s="497">
        <f t="shared" si="72"/>
        <v>0</v>
      </c>
      <c r="BY192" s="497">
        <f t="shared" si="85"/>
        <v>1800000</v>
      </c>
      <c r="BZ192" s="493"/>
      <c r="CA192" s="493"/>
      <c r="CC192" s="492">
        <v>188</v>
      </c>
      <c r="CD192" s="492">
        <v>16</v>
      </c>
      <c r="CE192" s="497">
        <f>IF(('Comparison Calculator'!$E$11-CD192)&gt;=0,0,IFERROR(-PPMT($CI$66/12,(CC192-60),($F$1-5)*12,$CI$65),0))</f>
        <v>0</v>
      </c>
      <c r="CF192" s="497">
        <f>IF(('Comparison Calculator'!$E$11-CD192)&gt;=0,$C$1*$CI$66/12,IFERROR(-IPMT($CI$66/12,(CC192-60),($F$1-5)*12,$CI$65,0),0))</f>
        <v>0</v>
      </c>
      <c r="CG192" s="497">
        <f t="shared" si="73"/>
        <v>0</v>
      </c>
      <c r="CH192" s="497">
        <f t="shared" si="86"/>
        <v>1800000</v>
      </c>
      <c r="CI192" s="493"/>
      <c r="CJ192" s="493"/>
      <c r="CL192" s="492">
        <v>188</v>
      </c>
      <c r="CM192" s="492">
        <v>16</v>
      </c>
      <c r="CN192" s="497">
        <f>IF(('Comparison Calculator'!$E$11-CM192)&gt;=0,0,IFERROR(-PPMT($CR$66/12,(CL192-60),($F$1-5)*12,$CR$65),0))</f>
        <v>0</v>
      </c>
      <c r="CO192" s="497">
        <f>IF(('Comparison Calculator'!$E$11-CM192)&gt;=0,$C$1*$CI$66/12,IFERROR(-IPMT($CI$66/12,(CL192-60),($F$1-5)*12,$CI$65,0),0))</f>
        <v>0</v>
      </c>
      <c r="CP192" s="497">
        <f t="shared" si="74"/>
        <v>0</v>
      </c>
      <c r="CQ192" s="497">
        <f t="shared" si="87"/>
        <v>1800000</v>
      </c>
      <c r="CR192" s="493"/>
      <c r="CS192" s="493"/>
      <c r="CU192" s="492">
        <v>188</v>
      </c>
      <c r="CV192" s="492">
        <v>16</v>
      </c>
      <c r="CW192" s="497">
        <f>IF(('Comparison Calculator'!$E$11-CV192)&gt;=0,0,IFERROR(-PPMT($DA$66/12,(CU192-60),($F$1-5)*12,$DA$65),0))</f>
        <v>0</v>
      </c>
      <c r="CX192" s="497">
        <f>IF(('Comparison Calculator'!$E$11-CV192)&gt;=0,$C$1*$DA$66/12,IFERROR(-IPMT($DA$66/12,(CU192-60),($F$1-5)*12,$DA$65,0),0))</f>
        <v>0</v>
      </c>
      <c r="CY192" s="497">
        <f t="shared" si="75"/>
        <v>0</v>
      </c>
      <c r="CZ192" s="497">
        <f t="shared" si="88"/>
        <v>1800000</v>
      </c>
      <c r="DA192" s="493"/>
      <c r="DB192" s="493"/>
      <c r="DD192" s="492">
        <v>188</v>
      </c>
      <c r="DE192" s="492">
        <v>16</v>
      </c>
      <c r="DF192" s="497">
        <f>IF(('Comparison Calculator'!$E$11-DE192)&gt;=0,0,IFERROR(-PPMT($DJ$66/12,(DD192-60),($F$1-5)*12,$DJ$65),0))</f>
        <v>0</v>
      </c>
      <c r="DG192" s="497">
        <f>IF(('Comparison Calculator'!$E$11-DE192)&gt;=0,$C$1*$DJ$66/12,IFERROR(-IPMT($DJ$66/12,(DD192-60),($F$1-5)*12,$DJ$65,0),0))</f>
        <v>0</v>
      </c>
      <c r="DH192" s="497">
        <f t="shared" si="76"/>
        <v>0</v>
      </c>
      <c r="DI192" s="497">
        <f t="shared" si="89"/>
        <v>1800000</v>
      </c>
      <c r="DJ192" s="493"/>
      <c r="DK192" s="493"/>
    </row>
    <row r="193" spans="1:115">
      <c r="A193" s="492">
        <v>189</v>
      </c>
      <c r="B193" s="492">
        <v>16</v>
      </c>
      <c r="C193" s="497">
        <f>IF(('Comparison Calculator'!$E$11-B193)&gt;=0,0,IFERROR(-PPMT($G$66/12,(A193-60),($F$1-5)*12,$G$65),0))</f>
        <v>0</v>
      </c>
      <c r="D193" s="497">
        <f>IF(('Comparison Calculator'!$E$11-B193)&gt;=0,$C$1*$G$66/12,IFERROR(-IPMT($G$66/12,(A193-60),($F$1-5)*12,$G$65,0),0))</f>
        <v>0</v>
      </c>
      <c r="E193" s="497">
        <f t="shared" si="64"/>
        <v>0</v>
      </c>
      <c r="F193" s="497">
        <f t="shared" si="77"/>
        <v>1800000</v>
      </c>
      <c r="G193" s="493"/>
      <c r="H193" s="493"/>
      <c r="I193" s="489"/>
      <c r="J193" s="492">
        <v>189</v>
      </c>
      <c r="K193" s="492">
        <v>16</v>
      </c>
      <c r="L193" s="497">
        <f>IF(('Comparison Calculator'!$E$11-K193)&gt;=0,0,IFERROR(-PPMT($P$66/12,(J193-60),($F$1-5)*12,$P$65),0))</f>
        <v>0</v>
      </c>
      <c r="M193" s="497">
        <f>IF(('Comparison Calculator'!$E$11-K193)&gt;=0,$C$1*$P$66/12,IFERROR(-IPMT($P$66/12,(J193-60),($F$1-5)*12,$P$65,0),0))</f>
        <v>0</v>
      </c>
      <c r="N193" s="497">
        <f t="shared" si="65"/>
        <v>0</v>
      </c>
      <c r="O193" s="497">
        <f t="shared" si="78"/>
        <v>1800000</v>
      </c>
      <c r="P193" s="493"/>
      <c r="Q193" s="493"/>
      <c r="S193" s="492">
        <v>189</v>
      </c>
      <c r="T193" s="492">
        <v>16</v>
      </c>
      <c r="U193" s="497">
        <f>IF(('Comparison Calculator'!$E$11-T193)&gt;=0,0,IFERROR(-PPMT($Y$66/12,(S193-60),($F$1-5)*12,$Y$65),0))</f>
        <v>0</v>
      </c>
      <c r="V193" s="497">
        <f>IF(('Comparison Calculator'!$E$11-T193)&gt;=0,$C$1*$Y$66/12,IFERROR(-IPMT($Y$66/12,(S193-60),($F$1-5)*12,$Y$65,0),0))</f>
        <v>0</v>
      </c>
      <c r="W193" s="497">
        <f t="shared" si="66"/>
        <v>0</v>
      </c>
      <c r="X193" s="497">
        <f t="shared" si="79"/>
        <v>1800000</v>
      </c>
      <c r="Y193" s="493"/>
      <c r="Z193" s="493"/>
      <c r="AB193" s="492">
        <v>189</v>
      </c>
      <c r="AC193" s="492">
        <v>16</v>
      </c>
      <c r="AD193" s="497">
        <f>IF(('Comparison Calculator'!$E$11-AC193)&gt;=0,0,IFERROR(-PPMT($AH$66/12,(AB193-60),($F$1-5)*12,$AH$65),0))</f>
        <v>0</v>
      </c>
      <c r="AE193" s="497">
        <f>IF(('Comparison Calculator'!$E$11-AC193)&gt;=0,$C$1*$AH$66/12,IFERROR(-IPMT($AH$66/12,(AB193-60),($F$1-5)*12,$AH$65,0),0))</f>
        <v>0</v>
      </c>
      <c r="AF193" s="497">
        <f t="shared" si="67"/>
        <v>0</v>
      </c>
      <c r="AG193" s="497">
        <f t="shared" si="80"/>
        <v>1800000</v>
      </c>
      <c r="AH193" s="493"/>
      <c r="AI193" s="493"/>
      <c r="AK193" s="492">
        <v>189</v>
      </c>
      <c r="AL193" s="492">
        <v>16</v>
      </c>
      <c r="AM193" s="497">
        <f>IF(('Comparison Calculator'!$E$11-AL193)&gt;=0,0,IFERROR(-PPMT($AQ$66/12,(AK193-60),($F$1-5)*12,$AQ$65),0))</f>
        <v>0</v>
      </c>
      <c r="AN193" s="497">
        <f>IF(('Comparison Calculator'!$E$11-AL193)&gt;=0,$C$1*$AQ$66/12,IFERROR(-IPMT($AQ$66/12,(AK193-60),($F$1-5)*12,$AQ$65,0),0))</f>
        <v>0</v>
      </c>
      <c r="AO193" s="497">
        <f t="shared" si="68"/>
        <v>0</v>
      </c>
      <c r="AP193" s="497">
        <f t="shared" si="81"/>
        <v>1800000</v>
      </c>
      <c r="AQ193" s="493"/>
      <c r="AR193" s="493"/>
      <c r="AT193" s="492">
        <v>189</v>
      </c>
      <c r="AU193" s="492">
        <v>16</v>
      </c>
      <c r="AV193" s="497">
        <f>IF(('Comparison Calculator'!$E$11-AU193)&gt;=0,0,IFERROR(-PPMT($AZ$66/12,(AT193-60),($F$1-5)*12,$AZ$65),0))</f>
        <v>0</v>
      </c>
      <c r="AW193" s="497">
        <f>IF(('Comparison Calculator'!$E$11-AU193)&gt;=0,$C$1*$AZ$66/12,IFERROR(-IPMT($AZ$66/12,(AT193-60),($F$1-5)*12,$AZ$65,0),0))</f>
        <v>0</v>
      </c>
      <c r="AX193" s="497">
        <f t="shared" si="69"/>
        <v>0</v>
      </c>
      <c r="AY193" s="497">
        <f t="shared" si="82"/>
        <v>1800000</v>
      </c>
      <c r="AZ193" s="493"/>
      <c r="BA193" s="493"/>
      <c r="BC193" s="492">
        <v>189</v>
      </c>
      <c r="BD193" s="492">
        <v>16</v>
      </c>
      <c r="BE193" s="497">
        <f>IF(('Comparison Calculator'!$E$11-BD193)&gt;=0,0,IFERROR(-PPMT($BI$66/12,(BC193-60),($F$1-5)*12,$BI$65),0))</f>
        <v>0</v>
      </c>
      <c r="BF193" s="497">
        <f>IF(('Comparison Calculator'!$E$11-BD193)&gt;=0,$C$1*$BI$66/12,IFERROR(-IPMT($BI$66/12,(BC193-60),($F$1-5)*12,$BI$65,0),0))</f>
        <v>0</v>
      </c>
      <c r="BG193" s="497">
        <f t="shared" si="70"/>
        <v>0</v>
      </c>
      <c r="BH193" s="497">
        <f t="shared" si="83"/>
        <v>1800000</v>
      </c>
      <c r="BI193" s="493"/>
      <c r="BJ193" s="493"/>
      <c r="BK193" s="492">
        <v>189</v>
      </c>
      <c r="BL193" s="492">
        <v>16</v>
      </c>
      <c r="BM193" s="497">
        <f>IF(('Comparison Calculator'!$E$11-BL193)&gt;=0,0,IFERROR(-PPMT($BQ$66/12,(BK193-60),($F$1-5)*12,$BQ$65),0))</f>
        <v>0</v>
      </c>
      <c r="BN193" s="497">
        <f>IF(('Comparison Calculator'!$E$11-BL193)&gt;=0,$C$1*$BQ$66/12,IFERROR(-IPMT($BQ$66/12,(BK193-60),($F$1-5)*12,$BQ$65,0),0))</f>
        <v>0</v>
      </c>
      <c r="BO193" s="497">
        <f t="shared" si="71"/>
        <v>0</v>
      </c>
      <c r="BP193" s="497">
        <f t="shared" si="84"/>
        <v>1800000</v>
      </c>
      <c r="BQ193" s="493"/>
      <c r="BR193" s="493"/>
      <c r="BT193" s="492">
        <v>189</v>
      </c>
      <c r="BU193" s="492">
        <v>16</v>
      </c>
      <c r="BV193" s="497">
        <f>IF(('Comparison Calculator'!$E$11-BU193)&gt;=0,0,IFERROR(-PPMT($BZ$66/12,(BT193-60),($F$1-5)*12,$BZ$65),0))</f>
        <v>0</v>
      </c>
      <c r="BW193" s="497">
        <f>IF(('Comparison Calculator'!$E$11-BU193)&gt;=0,$C$1*$BZ$66/12,IFERROR(-IPMT($BZ$66/12,(BT193-60),($F$1-5)*12,$BZ$65,0),0))</f>
        <v>0</v>
      </c>
      <c r="BX193" s="497">
        <f t="shared" si="72"/>
        <v>0</v>
      </c>
      <c r="BY193" s="497">
        <f t="shared" si="85"/>
        <v>1800000</v>
      </c>
      <c r="BZ193" s="493"/>
      <c r="CA193" s="493"/>
      <c r="CC193" s="492">
        <v>189</v>
      </c>
      <c r="CD193" s="492">
        <v>16</v>
      </c>
      <c r="CE193" s="497">
        <f>IF(('Comparison Calculator'!$E$11-CD193)&gt;=0,0,IFERROR(-PPMT($CI$66/12,(CC193-60),($F$1-5)*12,$CI$65),0))</f>
        <v>0</v>
      </c>
      <c r="CF193" s="497">
        <f>IF(('Comparison Calculator'!$E$11-CD193)&gt;=0,$C$1*$CI$66/12,IFERROR(-IPMT($CI$66/12,(CC193-60),($F$1-5)*12,$CI$65,0),0))</f>
        <v>0</v>
      </c>
      <c r="CG193" s="497">
        <f t="shared" si="73"/>
        <v>0</v>
      </c>
      <c r="CH193" s="497">
        <f t="shared" si="86"/>
        <v>1800000</v>
      </c>
      <c r="CI193" s="493"/>
      <c r="CJ193" s="493"/>
      <c r="CL193" s="492">
        <v>189</v>
      </c>
      <c r="CM193" s="492">
        <v>16</v>
      </c>
      <c r="CN193" s="497">
        <f>IF(('Comparison Calculator'!$E$11-CM193)&gt;=0,0,IFERROR(-PPMT($CR$66/12,(CL193-60),($F$1-5)*12,$CR$65),0))</f>
        <v>0</v>
      </c>
      <c r="CO193" s="497">
        <f>IF(('Comparison Calculator'!$E$11-CM193)&gt;=0,$C$1*$CI$66/12,IFERROR(-IPMT($CI$66/12,(CL193-60),($F$1-5)*12,$CI$65,0),0))</f>
        <v>0</v>
      </c>
      <c r="CP193" s="497">
        <f t="shared" si="74"/>
        <v>0</v>
      </c>
      <c r="CQ193" s="497">
        <f t="shared" si="87"/>
        <v>1800000</v>
      </c>
      <c r="CR193" s="493"/>
      <c r="CS193" s="493"/>
      <c r="CU193" s="492">
        <v>189</v>
      </c>
      <c r="CV193" s="492">
        <v>16</v>
      </c>
      <c r="CW193" s="497">
        <f>IF(('Comparison Calculator'!$E$11-CV193)&gt;=0,0,IFERROR(-PPMT($DA$66/12,(CU193-60),($F$1-5)*12,$DA$65),0))</f>
        <v>0</v>
      </c>
      <c r="CX193" s="497">
        <f>IF(('Comparison Calculator'!$E$11-CV193)&gt;=0,$C$1*$DA$66/12,IFERROR(-IPMT($DA$66/12,(CU193-60),($F$1-5)*12,$DA$65,0),0))</f>
        <v>0</v>
      </c>
      <c r="CY193" s="497">
        <f t="shared" si="75"/>
        <v>0</v>
      </c>
      <c r="CZ193" s="497">
        <f t="shared" si="88"/>
        <v>1800000</v>
      </c>
      <c r="DA193" s="493"/>
      <c r="DB193" s="493"/>
      <c r="DD193" s="492">
        <v>189</v>
      </c>
      <c r="DE193" s="492">
        <v>16</v>
      </c>
      <c r="DF193" s="497">
        <f>IF(('Comparison Calculator'!$E$11-DE193)&gt;=0,0,IFERROR(-PPMT($DJ$66/12,(DD193-60),($F$1-5)*12,$DJ$65),0))</f>
        <v>0</v>
      </c>
      <c r="DG193" s="497">
        <f>IF(('Comparison Calculator'!$E$11-DE193)&gt;=0,$C$1*$DJ$66/12,IFERROR(-IPMT($DJ$66/12,(DD193-60),($F$1-5)*12,$DJ$65,0),0))</f>
        <v>0</v>
      </c>
      <c r="DH193" s="497">
        <f t="shared" si="76"/>
        <v>0</v>
      </c>
      <c r="DI193" s="497">
        <f t="shared" si="89"/>
        <v>1800000</v>
      </c>
      <c r="DJ193" s="493"/>
      <c r="DK193" s="493"/>
    </row>
    <row r="194" spans="1:115">
      <c r="A194" s="492">
        <v>190</v>
      </c>
      <c r="B194" s="492">
        <v>16</v>
      </c>
      <c r="C194" s="497">
        <f>IF(('Comparison Calculator'!$E$11-B194)&gt;=0,0,IFERROR(-PPMT($G$66/12,(A194-60),($F$1-5)*12,$G$65),0))</f>
        <v>0</v>
      </c>
      <c r="D194" s="497">
        <f>IF(('Comparison Calculator'!$E$11-B194)&gt;=0,$C$1*$G$66/12,IFERROR(-IPMT($G$66/12,(A194-60),($F$1-5)*12,$G$65,0),0))</f>
        <v>0</v>
      </c>
      <c r="E194" s="497">
        <f t="shared" si="64"/>
        <v>0</v>
      </c>
      <c r="F194" s="497">
        <f t="shared" si="77"/>
        <v>1800000</v>
      </c>
      <c r="G194" s="493"/>
      <c r="H194" s="493"/>
      <c r="I194" s="489"/>
      <c r="J194" s="492">
        <v>190</v>
      </c>
      <c r="K194" s="492">
        <v>16</v>
      </c>
      <c r="L194" s="497">
        <f>IF(('Comparison Calculator'!$E$11-K194)&gt;=0,0,IFERROR(-PPMT($P$66/12,(J194-60),($F$1-5)*12,$P$65),0))</f>
        <v>0</v>
      </c>
      <c r="M194" s="497">
        <f>IF(('Comparison Calculator'!$E$11-K194)&gt;=0,$C$1*$P$66/12,IFERROR(-IPMT($P$66/12,(J194-60),($F$1-5)*12,$P$65,0),0))</f>
        <v>0</v>
      </c>
      <c r="N194" s="497">
        <f t="shared" si="65"/>
        <v>0</v>
      </c>
      <c r="O194" s="497">
        <f t="shared" si="78"/>
        <v>1800000</v>
      </c>
      <c r="P194" s="493"/>
      <c r="Q194" s="493"/>
      <c r="S194" s="492">
        <v>190</v>
      </c>
      <c r="T194" s="492">
        <v>16</v>
      </c>
      <c r="U194" s="497">
        <f>IF(('Comparison Calculator'!$E$11-T194)&gt;=0,0,IFERROR(-PPMT($Y$66/12,(S194-60),($F$1-5)*12,$Y$65),0))</f>
        <v>0</v>
      </c>
      <c r="V194" s="497">
        <f>IF(('Comparison Calculator'!$E$11-T194)&gt;=0,$C$1*$Y$66/12,IFERROR(-IPMT($Y$66/12,(S194-60),($F$1-5)*12,$Y$65,0),0))</f>
        <v>0</v>
      </c>
      <c r="W194" s="497">
        <f t="shared" si="66"/>
        <v>0</v>
      </c>
      <c r="X194" s="497">
        <f t="shared" si="79"/>
        <v>1800000</v>
      </c>
      <c r="Y194" s="493"/>
      <c r="Z194" s="493"/>
      <c r="AB194" s="492">
        <v>190</v>
      </c>
      <c r="AC194" s="492">
        <v>16</v>
      </c>
      <c r="AD194" s="497">
        <f>IF(('Comparison Calculator'!$E$11-AC194)&gt;=0,0,IFERROR(-PPMT($AH$66/12,(AB194-60),($F$1-5)*12,$AH$65),0))</f>
        <v>0</v>
      </c>
      <c r="AE194" s="497">
        <f>IF(('Comparison Calculator'!$E$11-AC194)&gt;=0,$C$1*$AH$66/12,IFERROR(-IPMT($AH$66/12,(AB194-60),($F$1-5)*12,$AH$65,0),0))</f>
        <v>0</v>
      </c>
      <c r="AF194" s="497">
        <f t="shared" si="67"/>
        <v>0</v>
      </c>
      <c r="AG194" s="497">
        <f t="shared" si="80"/>
        <v>1800000</v>
      </c>
      <c r="AH194" s="493"/>
      <c r="AI194" s="493"/>
      <c r="AK194" s="492">
        <v>190</v>
      </c>
      <c r="AL194" s="492">
        <v>16</v>
      </c>
      <c r="AM194" s="497">
        <f>IF(('Comparison Calculator'!$E$11-AL194)&gt;=0,0,IFERROR(-PPMT($AQ$66/12,(AK194-60),($F$1-5)*12,$AQ$65),0))</f>
        <v>0</v>
      </c>
      <c r="AN194" s="497">
        <f>IF(('Comparison Calculator'!$E$11-AL194)&gt;=0,$C$1*$AQ$66/12,IFERROR(-IPMT($AQ$66/12,(AK194-60),($F$1-5)*12,$AQ$65,0),0))</f>
        <v>0</v>
      </c>
      <c r="AO194" s="497">
        <f t="shared" si="68"/>
        <v>0</v>
      </c>
      <c r="AP194" s="497">
        <f t="shared" si="81"/>
        <v>1800000</v>
      </c>
      <c r="AQ194" s="493"/>
      <c r="AR194" s="493"/>
      <c r="AT194" s="492">
        <v>190</v>
      </c>
      <c r="AU194" s="492">
        <v>16</v>
      </c>
      <c r="AV194" s="497">
        <f>IF(('Comparison Calculator'!$E$11-AU194)&gt;=0,0,IFERROR(-PPMT($AZ$66/12,(AT194-60),($F$1-5)*12,$AZ$65),0))</f>
        <v>0</v>
      </c>
      <c r="AW194" s="497">
        <f>IF(('Comparison Calculator'!$E$11-AU194)&gt;=0,$C$1*$AZ$66/12,IFERROR(-IPMT($AZ$66/12,(AT194-60),($F$1-5)*12,$AZ$65,0),0))</f>
        <v>0</v>
      </c>
      <c r="AX194" s="497">
        <f t="shared" si="69"/>
        <v>0</v>
      </c>
      <c r="AY194" s="497">
        <f t="shared" si="82"/>
        <v>1800000</v>
      </c>
      <c r="AZ194" s="493"/>
      <c r="BA194" s="493"/>
      <c r="BC194" s="492">
        <v>190</v>
      </c>
      <c r="BD194" s="492">
        <v>16</v>
      </c>
      <c r="BE194" s="497">
        <f>IF(('Comparison Calculator'!$E$11-BD194)&gt;=0,0,IFERROR(-PPMT($BI$66/12,(BC194-60),($F$1-5)*12,$BI$65),0))</f>
        <v>0</v>
      </c>
      <c r="BF194" s="497">
        <f>IF(('Comparison Calculator'!$E$11-BD194)&gt;=0,$C$1*$BI$66/12,IFERROR(-IPMT($BI$66/12,(BC194-60),($F$1-5)*12,$BI$65,0),0))</f>
        <v>0</v>
      </c>
      <c r="BG194" s="497">
        <f t="shared" si="70"/>
        <v>0</v>
      </c>
      <c r="BH194" s="497">
        <f t="shared" si="83"/>
        <v>1800000</v>
      </c>
      <c r="BI194" s="493"/>
      <c r="BJ194" s="493"/>
      <c r="BK194" s="492">
        <v>190</v>
      </c>
      <c r="BL194" s="492">
        <v>16</v>
      </c>
      <c r="BM194" s="497">
        <f>IF(('Comparison Calculator'!$E$11-BL194)&gt;=0,0,IFERROR(-PPMT($BQ$66/12,(BK194-60),($F$1-5)*12,$BQ$65),0))</f>
        <v>0</v>
      </c>
      <c r="BN194" s="497">
        <f>IF(('Comparison Calculator'!$E$11-BL194)&gt;=0,$C$1*$BQ$66/12,IFERROR(-IPMT($BQ$66/12,(BK194-60),($F$1-5)*12,$BQ$65,0),0))</f>
        <v>0</v>
      </c>
      <c r="BO194" s="497">
        <f t="shared" si="71"/>
        <v>0</v>
      </c>
      <c r="BP194" s="497">
        <f t="shared" si="84"/>
        <v>1800000</v>
      </c>
      <c r="BQ194" s="493"/>
      <c r="BR194" s="493"/>
      <c r="BT194" s="492">
        <v>190</v>
      </c>
      <c r="BU194" s="492">
        <v>16</v>
      </c>
      <c r="BV194" s="497">
        <f>IF(('Comparison Calculator'!$E$11-BU194)&gt;=0,0,IFERROR(-PPMT($BZ$66/12,(BT194-60),($F$1-5)*12,$BZ$65),0))</f>
        <v>0</v>
      </c>
      <c r="BW194" s="497">
        <f>IF(('Comparison Calculator'!$E$11-BU194)&gt;=0,$C$1*$BZ$66/12,IFERROR(-IPMT($BZ$66/12,(BT194-60),($F$1-5)*12,$BZ$65,0),0))</f>
        <v>0</v>
      </c>
      <c r="BX194" s="497">
        <f t="shared" si="72"/>
        <v>0</v>
      </c>
      <c r="BY194" s="497">
        <f t="shared" si="85"/>
        <v>1800000</v>
      </c>
      <c r="BZ194" s="493"/>
      <c r="CA194" s="493"/>
      <c r="CC194" s="492">
        <v>190</v>
      </c>
      <c r="CD194" s="492">
        <v>16</v>
      </c>
      <c r="CE194" s="497">
        <f>IF(('Comparison Calculator'!$E$11-CD194)&gt;=0,0,IFERROR(-PPMT($CI$66/12,(CC194-60),($F$1-5)*12,$CI$65),0))</f>
        <v>0</v>
      </c>
      <c r="CF194" s="497">
        <f>IF(('Comparison Calculator'!$E$11-CD194)&gt;=0,$C$1*$CI$66/12,IFERROR(-IPMT($CI$66/12,(CC194-60),($F$1-5)*12,$CI$65,0),0))</f>
        <v>0</v>
      </c>
      <c r="CG194" s="497">
        <f t="shared" si="73"/>
        <v>0</v>
      </c>
      <c r="CH194" s="497">
        <f t="shared" si="86"/>
        <v>1800000</v>
      </c>
      <c r="CI194" s="493"/>
      <c r="CJ194" s="493"/>
      <c r="CL194" s="492">
        <v>190</v>
      </c>
      <c r="CM194" s="492">
        <v>16</v>
      </c>
      <c r="CN194" s="497">
        <f>IF(('Comparison Calculator'!$E$11-CM194)&gt;=0,0,IFERROR(-PPMT($CR$66/12,(CL194-60),($F$1-5)*12,$CR$65),0))</f>
        <v>0</v>
      </c>
      <c r="CO194" s="497">
        <f>IF(('Comparison Calculator'!$E$11-CM194)&gt;=0,$C$1*$CI$66/12,IFERROR(-IPMT($CI$66/12,(CL194-60),($F$1-5)*12,$CI$65,0),0))</f>
        <v>0</v>
      </c>
      <c r="CP194" s="497">
        <f t="shared" si="74"/>
        <v>0</v>
      </c>
      <c r="CQ194" s="497">
        <f t="shared" si="87"/>
        <v>1800000</v>
      </c>
      <c r="CR194" s="493"/>
      <c r="CS194" s="493"/>
      <c r="CU194" s="492">
        <v>190</v>
      </c>
      <c r="CV194" s="492">
        <v>16</v>
      </c>
      <c r="CW194" s="497">
        <f>IF(('Comparison Calculator'!$E$11-CV194)&gt;=0,0,IFERROR(-PPMT($DA$66/12,(CU194-60),($F$1-5)*12,$DA$65),0))</f>
        <v>0</v>
      </c>
      <c r="CX194" s="497">
        <f>IF(('Comparison Calculator'!$E$11-CV194)&gt;=0,$C$1*$DA$66/12,IFERROR(-IPMT($DA$66/12,(CU194-60),($F$1-5)*12,$DA$65,0),0))</f>
        <v>0</v>
      </c>
      <c r="CY194" s="497">
        <f t="shared" si="75"/>
        <v>0</v>
      </c>
      <c r="CZ194" s="497">
        <f t="shared" si="88"/>
        <v>1800000</v>
      </c>
      <c r="DA194" s="493"/>
      <c r="DB194" s="493"/>
      <c r="DD194" s="492">
        <v>190</v>
      </c>
      <c r="DE194" s="492">
        <v>16</v>
      </c>
      <c r="DF194" s="497">
        <f>IF(('Comparison Calculator'!$E$11-DE194)&gt;=0,0,IFERROR(-PPMT($DJ$66/12,(DD194-60),($F$1-5)*12,$DJ$65),0))</f>
        <v>0</v>
      </c>
      <c r="DG194" s="497">
        <f>IF(('Comparison Calculator'!$E$11-DE194)&gt;=0,$C$1*$DJ$66/12,IFERROR(-IPMT($DJ$66/12,(DD194-60),($F$1-5)*12,$DJ$65,0),0))</f>
        <v>0</v>
      </c>
      <c r="DH194" s="497">
        <f t="shared" si="76"/>
        <v>0</v>
      </c>
      <c r="DI194" s="497">
        <f t="shared" si="89"/>
        <v>1800000</v>
      </c>
      <c r="DJ194" s="493"/>
      <c r="DK194" s="493"/>
    </row>
    <row r="195" spans="1:115">
      <c r="A195" s="492">
        <v>191</v>
      </c>
      <c r="B195" s="492">
        <v>16</v>
      </c>
      <c r="C195" s="497">
        <f>IF(('Comparison Calculator'!$E$11-B195)&gt;=0,0,IFERROR(-PPMT($G$66/12,(A195-60),($F$1-5)*12,$G$65),0))</f>
        <v>0</v>
      </c>
      <c r="D195" s="497">
        <f>IF(('Comparison Calculator'!$E$11-B195)&gt;=0,$C$1*$G$66/12,IFERROR(-IPMT($G$66/12,(A195-60),($F$1-5)*12,$G$65,0),0))</f>
        <v>0</v>
      </c>
      <c r="E195" s="497">
        <f t="shared" si="64"/>
        <v>0</v>
      </c>
      <c r="F195" s="497">
        <f t="shared" si="77"/>
        <v>1800000</v>
      </c>
      <c r="G195" s="493"/>
      <c r="H195" s="493"/>
      <c r="I195" s="489"/>
      <c r="J195" s="492">
        <v>191</v>
      </c>
      <c r="K195" s="492">
        <v>16</v>
      </c>
      <c r="L195" s="497">
        <f>IF(('Comparison Calculator'!$E$11-K195)&gt;=0,0,IFERROR(-PPMT($P$66/12,(J195-60),($F$1-5)*12,$P$65),0))</f>
        <v>0</v>
      </c>
      <c r="M195" s="497">
        <f>IF(('Comparison Calculator'!$E$11-K195)&gt;=0,$C$1*$P$66/12,IFERROR(-IPMT($P$66/12,(J195-60),($F$1-5)*12,$P$65,0),0))</f>
        <v>0</v>
      </c>
      <c r="N195" s="497">
        <f t="shared" si="65"/>
        <v>0</v>
      </c>
      <c r="O195" s="497">
        <f t="shared" si="78"/>
        <v>1800000</v>
      </c>
      <c r="P195" s="493"/>
      <c r="Q195" s="493"/>
      <c r="S195" s="492">
        <v>191</v>
      </c>
      <c r="T195" s="492">
        <v>16</v>
      </c>
      <c r="U195" s="497">
        <f>IF(('Comparison Calculator'!$E$11-T195)&gt;=0,0,IFERROR(-PPMT($Y$66/12,(S195-60),($F$1-5)*12,$Y$65),0))</f>
        <v>0</v>
      </c>
      <c r="V195" s="497">
        <f>IF(('Comparison Calculator'!$E$11-T195)&gt;=0,$C$1*$Y$66/12,IFERROR(-IPMT($Y$66/12,(S195-60),($F$1-5)*12,$Y$65,0),0))</f>
        <v>0</v>
      </c>
      <c r="W195" s="497">
        <f t="shared" si="66"/>
        <v>0</v>
      </c>
      <c r="X195" s="497">
        <f t="shared" si="79"/>
        <v>1800000</v>
      </c>
      <c r="Y195" s="493"/>
      <c r="Z195" s="493"/>
      <c r="AB195" s="492">
        <v>191</v>
      </c>
      <c r="AC195" s="492">
        <v>16</v>
      </c>
      <c r="AD195" s="497">
        <f>IF(('Comparison Calculator'!$E$11-AC195)&gt;=0,0,IFERROR(-PPMT($AH$66/12,(AB195-60),($F$1-5)*12,$AH$65),0))</f>
        <v>0</v>
      </c>
      <c r="AE195" s="497">
        <f>IF(('Comparison Calculator'!$E$11-AC195)&gt;=0,$C$1*$AH$66/12,IFERROR(-IPMT($AH$66/12,(AB195-60),($F$1-5)*12,$AH$65,0),0))</f>
        <v>0</v>
      </c>
      <c r="AF195" s="497">
        <f t="shared" si="67"/>
        <v>0</v>
      </c>
      <c r="AG195" s="497">
        <f t="shared" si="80"/>
        <v>1800000</v>
      </c>
      <c r="AH195" s="493"/>
      <c r="AI195" s="493"/>
      <c r="AK195" s="492">
        <v>191</v>
      </c>
      <c r="AL195" s="492">
        <v>16</v>
      </c>
      <c r="AM195" s="497">
        <f>IF(('Comparison Calculator'!$E$11-AL195)&gt;=0,0,IFERROR(-PPMT($AQ$66/12,(AK195-60),($F$1-5)*12,$AQ$65),0))</f>
        <v>0</v>
      </c>
      <c r="AN195" s="497">
        <f>IF(('Comparison Calculator'!$E$11-AL195)&gt;=0,$C$1*$AQ$66/12,IFERROR(-IPMT($AQ$66/12,(AK195-60),($F$1-5)*12,$AQ$65,0),0))</f>
        <v>0</v>
      </c>
      <c r="AO195" s="497">
        <f t="shared" si="68"/>
        <v>0</v>
      </c>
      <c r="AP195" s="497">
        <f t="shared" si="81"/>
        <v>1800000</v>
      </c>
      <c r="AQ195" s="493"/>
      <c r="AR195" s="493"/>
      <c r="AT195" s="492">
        <v>191</v>
      </c>
      <c r="AU195" s="492">
        <v>16</v>
      </c>
      <c r="AV195" s="497">
        <f>IF(('Comparison Calculator'!$E$11-AU195)&gt;=0,0,IFERROR(-PPMT($AZ$66/12,(AT195-60),($F$1-5)*12,$AZ$65),0))</f>
        <v>0</v>
      </c>
      <c r="AW195" s="497">
        <f>IF(('Comparison Calculator'!$E$11-AU195)&gt;=0,$C$1*$AZ$66/12,IFERROR(-IPMT($AZ$66/12,(AT195-60),($F$1-5)*12,$AZ$65,0),0))</f>
        <v>0</v>
      </c>
      <c r="AX195" s="497">
        <f t="shared" si="69"/>
        <v>0</v>
      </c>
      <c r="AY195" s="497">
        <f t="shared" si="82"/>
        <v>1800000</v>
      </c>
      <c r="AZ195" s="493"/>
      <c r="BA195" s="493"/>
      <c r="BC195" s="492">
        <v>191</v>
      </c>
      <c r="BD195" s="492">
        <v>16</v>
      </c>
      <c r="BE195" s="497">
        <f>IF(('Comparison Calculator'!$E$11-BD195)&gt;=0,0,IFERROR(-PPMT($BI$66/12,(BC195-60),($F$1-5)*12,$BI$65),0))</f>
        <v>0</v>
      </c>
      <c r="BF195" s="497">
        <f>IF(('Comparison Calculator'!$E$11-BD195)&gt;=0,$C$1*$BI$66/12,IFERROR(-IPMT($BI$66/12,(BC195-60),($F$1-5)*12,$BI$65,0),0))</f>
        <v>0</v>
      </c>
      <c r="BG195" s="497">
        <f t="shared" si="70"/>
        <v>0</v>
      </c>
      <c r="BH195" s="497">
        <f t="shared" si="83"/>
        <v>1800000</v>
      </c>
      <c r="BI195" s="493"/>
      <c r="BJ195" s="493"/>
      <c r="BK195" s="492">
        <v>191</v>
      </c>
      <c r="BL195" s="492">
        <v>16</v>
      </c>
      <c r="BM195" s="497">
        <f>IF(('Comparison Calculator'!$E$11-BL195)&gt;=0,0,IFERROR(-PPMT($BQ$66/12,(BK195-60),($F$1-5)*12,$BQ$65),0))</f>
        <v>0</v>
      </c>
      <c r="BN195" s="497">
        <f>IF(('Comparison Calculator'!$E$11-BL195)&gt;=0,$C$1*$BQ$66/12,IFERROR(-IPMT($BQ$66/12,(BK195-60),($F$1-5)*12,$BQ$65,0),0))</f>
        <v>0</v>
      </c>
      <c r="BO195" s="497">
        <f t="shared" si="71"/>
        <v>0</v>
      </c>
      <c r="BP195" s="497">
        <f t="shared" si="84"/>
        <v>1800000</v>
      </c>
      <c r="BQ195" s="493"/>
      <c r="BR195" s="493"/>
      <c r="BT195" s="492">
        <v>191</v>
      </c>
      <c r="BU195" s="492">
        <v>16</v>
      </c>
      <c r="BV195" s="497">
        <f>IF(('Comparison Calculator'!$E$11-BU195)&gt;=0,0,IFERROR(-PPMT($BZ$66/12,(BT195-60),($F$1-5)*12,$BZ$65),0))</f>
        <v>0</v>
      </c>
      <c r="BW195" s="497">
        <f>IF(('Comparison Calculator'!$E$11-BU195)&gt;=0,$C$1*$BZ$66/12,IFERROR(-IPMT($BZ$66/12,(BT195-60),($F$1-5)*12,$BZ$65,0),0))</f>
        <v>0</v>
      </c>
      <c r="BX195" s="497">
        <f t="shared" si="72"/>
        <v>0</v>
      </c>
      <c r="BY195" s="497">
        <f t="shared" si="85"/>
        <v>1800000</v>
      </c>
      <c r="BZ195" s="493"/>
      <c r="CA195" s="493"/>
      <c r="CC195" s="492">
        <v>191</v>
      </c>
      <c r="CD195" s="492">
        <v>16</v>
      </c>
      <c r="CE195" s="497">
        <f>IF(('Comparison Calculator'!$E$11-CD195)&gt;=0,0,IFERROR(-PPMT($CI$66/12,(CC195-60),($F$1-5)*12,$CI$65),0))</f>
        <v>0</v>
      </c>
      <c r="CF195" s="497">
        <f>IF(('Comparison Calculator'!$E$11-CD195)&gt;=0,$C$1*$CI$66/12,IFERROR(-IPMT($CI$66/12,(CC195-60),($F$1-5)*12,$CI$65,0),0))</f>
        <v>0</v>
      </c>
      <c r="CG195" s="497">
        <f t="shared" si="73"/>
        <v>0</v>
      </c>
      <c r="CH195" s="497">
        <f t="shared" si="86"/>
        <v>1800000</v>
      </c>
      <c r="CI195" s="493"/>
      <c r="CJ195" s="493"/>
      <c r="CL195" s="492">
        <v>191</v>
      </c>
      <c r="CM195" s="492">
        <v>16</v>
      </c>
      <c r="CN195" s="497">
        <f>IF(('Comparison Calculator'!$E$11-CM195)&gt;=0,0,IFERROR(-PPMT($CR$66/12,(CL195-60),($F$1-5)*12,$CR$65),0))</f>
        <v>0</v>
      </c>
      <c r="CO195" s="497">
        <f>IF(('Comparison Calculator'!$E$11-CM195)&gt;=0,$C$1*$CI$66/12,IFERROR(-IPMT($CI$66/12,(CL195-60),($F$1-5)*12,$CI$65,0),0))</f>
        <v>0</v>
      </c>
      <c r="CP195" s="497">
        <f t="shared" si="74"/>
        <v>0</v>
      </c>
      <c r="CQ195" s="497">
        <f t="shared" si="87"/>
        <v>1800000</v>
      </c>
      <c r="CR195" s="493"/>
      <c r="CS195" s="493"/>
      <c r="CU195" s="492">
        <v>191</v>
      </c>
      <c r="CV195" s="492">
        <v>16</v>
      </c>
      <c r="CW195" s="497">
        <f>IF(('Comparison Calculator'!$E$11-CV195)&gt;=0,0,IFERROR(-PPMT($DA$66/12,(CU195-60),($F$1-5)*12,$DA$65),0))</f>
        <v>0</v>
      </c>
      <c r="CX195" s="497">
        <f>IF(('Comparison Calculator'!$E$11-CV195)&gt;=0,$C$1*$DA$66/12,IFERROR(-IPMT($DA$66/12,(CU195-60),($F$1-5)*12,$DA$65,0),0))</f>
        <v>0</v>
      </c>
      <c r="CY195" s="497">
        <f t="shared" si="75"/>
        <v>0</v>
      </c>
      <c r="CZ195" s="497">
        <f t="shared" si="88"/>
        <v>1800000</v>
      </c>
      <c r="DA195" s="493"/>
      <c r="DB195" s="493"/>
      <c r="DD195" s="492">
        <v>191</v>
      </c>
      <c r="DE195" s="492">
        <v>16</v>
      </c>
      <c r="DF195" s="497">
        <f>IF(('Comparison Calculator'!$E$11-DE195)&gt;=0,0,IFERROR(-PPMT($DJ$66/12,(DD195-60),($F$1-5)*12,$DJ$65),0))</f>
        <v>0</v>
      </c>
      <c r="DG195" s="497">
        <f>IF(('Comparison Calculator'!$E$11-DE195)&gt;=0,$C$1*$DJ$66/12,IFERROR(-IPMT($DJ$66/12,(DD195-60),($F$1-5)*12,$DJ$65,0),0))</f>
        <v>0</v>
      </c>
      <c r="DH195" s="497">
        <f t="shared" si="76"/>
        <v>0</v>
      </c>
      <c r="DI195" s="497">
        <f t="shared" si="89"/>
        <v>1800000</v>
      </c>
      <c r="DJ195" s="493"/>
      <c r="DK195" s="493"/>
    </row>
    <row r="196" spans="1:115">
      <c r="A196" s="492">
        <v>192</v>
      </c>
      <c r="B196" s="492">
        <v>16</v>
      </c>
      <c r="C196" s="497">
        <f>IF(('Comparison Calculator'!$E$11-B196)&gt;=0,0,IFERROR(-PPMT($G$66/12,(A196-60),($F$1-5)*12,$G$65),0))</f>
        <v>0</v>
      </c>
      <c r="D196" s="497">
        <f>IF(('Comparison Calculator'!$E$11-B196)&gt;=0,$C$1*$G$66/12,IFERROR(-IPMT($G$66/12,(A196-60),($F$1-5)*12,$G$65,0),0))</f>
        <v>0</v>
      </c>
      <c r="E196" s="497">
        <f t="shared" si="64"/>
        <v>0</v>
      </c>
      <c r="F196" s="497">
        <f t="shared" si="77"/>
        <v>1800000</v>
      </c>
      <c r="G196" s="493"/>
      <c r="H196" s="493"/>
      <c r="I196" s="489"/>
      <c r="J196" s="492">
        <v>192</v>
      </c>
      <c r="K196" s="492">
        <v>16</v>
      </c>
      <c r="L196" s="497">
        <f>IF(('Comparison Calculator'!$E$11-K196)&gt;=0,0,IFERROR(-PPMT($P$66/12,(J196-60),($F$1-5)*12,$P$65),0))</f>
        <v>0</v>
      </c>
      <c r="M196" s="497">
        <f>IF(('Comparison Calculator'!$E$11-K196)&gt;=0,$C$1*$P$66/12,IFERROR(-IPMT($P$66/12,(J196-60),($F$1-5)*12,$P$65,0),0))</f>
        <v>0</v>
      </c>
      <c r="N196" s="497">
        <f t="shared" si="65"/>
        <v>0</v>
      </c>
      <c r="O196" s="497">
        <f t="shared" si="78"/>
        <v>1800000</v>
      </c>
      <c r="P196" s="493"/>
      <c r="Q196" s="493"/>
      <c r="S196" s="492">
        <v>192</v>
      </c>
      <c r="T196" s="492">
        <v>16</v>
      </c>
      <c r="U196" s="497">
        <f>IF(('Comparison Calculator'!$E$11-T196)&gt;=0,0,IFERROR(-PPMT($Y$66/12,(S196-60),($F$1-5)*12,$Y$65),0))</f>
        <v>0</v>
      </c>
      <c r="V196" s="497">
        <f>IF(('Comparison Calculator'!$E$11-T196)&gt;=0,$C$1*$Y$66/12,IFERROR(-IPMT($Y$66/12,(S196-60),($F$1-5)*12,$Y$65,0),0))</f>
        <v>0</v>
      </c>
      <c r="W196" s="497">
        <f t="shared" si="66"/>
        <v>0</v>
      </c>
      <c r="X196" s="497">
        <f t="shared" si="79"/>
        <v>1800000</v>
      </c>
      <c r="Y196" s="493"/>
      <c r="Z196" s="493"/>
      <c r="AB196" s="492">
        <v>192</v>
      </c>
      <c r="AC196" s="492">
        <v>16</v>
      </c>
      <c r="AD196" s="497">
        <f>IF(('Comparison Calculator'!$E$11-AC196)&gt;=0,0,IFERROR(-PPMT($AH$66/12,(AB196-60),($F$1-5)*12,$AH$65),0))</f>
        <v>0</v>
      </c>
      <c r="AE196" s="497">
        <f>IF(('Comparison Calculator'!$E$11-AC196)&gt;=0,$C$1*$AH$66/12,IFERROR(-IPMT($AH$66/12,(AB196-60),($F$1-5)*12,$AH$65,0),0))</f>
        <v>0</v>
      </c>
      <c r="AF196" s="497">
        <f t="shared" si="67"/>
        <v>0</v>
      </c>
      <c r="AG196" s="497">
        <f t="shared" si="80"/>
        <v>1800000</v>
      </c>
      <c r="AH196" s="493"/>
      <c r="AI196" s="493"/>
      <c r="AK196" s="492">
        <v>192</v>
      </c>
      <c r="AL196" s="492">
        <v>16</v>
      </c>
      <c r="AM196" s="497">
        <f>IF(('Comparison Calculator'!$E$11-AL196)&gt;=0,0,IFERROR(-PPMT($AQ$66/12,(AK196-60),($F$1-5)*12,$AQ$65),0))</f>
        <v>0</v>
      </c>
      <c r="AN196" s="497">
        <f>IF(('Comparison Calculator'!$E$11-AL196)&gt;=0,$C$1*$AQ$66/12,IFERROR(-IPMT($AQ$66/12,(AK196-60),($F$1-5)*12,$AQ$65,0),0))</f>
        <v>0</v>
      </c>
      <c r="AO196" s="497">
        <f t="shared" si="68"/>
        <v>0</v>
      </c>
      <c r="AP196" s="497">
        <f t="shared" si="81"/>
        <v>1800000</v>
      </c>
      <c r="AQ196" s="493"/>
      <c r="AR196" s="493"/>
      <c r="AT196" s="492">
        <v>192</v>
      </c>
      <c r="AU196" s="492">
        <v>16</v>
      </c>
      <c r="AV196" s="497">
        <f>IF(('Comparison Calculator'!$E$11-AU196)&gt;=0,0,IFERROR(-PPMT($AZ$66/12,(AT196-60),($F$1-5)*12,$AZ$65),0))</f>
        <v>0</v>
      </c>
      <c r="AW196" s="497">
        <f>IF(('Comparison Calculator'!$E$11-AU196)&gt;=0,$C$1*$AZ$66/12,IFERROR(-IPMT($AZ$66/12,(AT196-60),($F$1-5)*12,$AZ$65,0),0))</f>
        <v>0</v>
      </c>
      <c r="AX196" s="497">
        <f t="shared" si="69"/>
        <v>0</v>
      </c>
      <c r="AY196" s="497">
        <f t="shared" si="82"/>
        <v>1800000</v>
      </c>
      <c r="AZ196" s="493"/>
      <c r="BA196" s="493"/>
      <c r="BC196" s="492">
        <v>192</v>
      </c>
      <c r="BD196" s="492">
        <v>16</v>
      </c>
      <c r="BE196" s="497">
        <f>IF(('Comparison Calculator'!$E$11-BD196)&gt;=0,0,IFERROR(-PPMT($BI$66/12,(BC196-60),($F$1-5)*12,$BI$65),0))</f>
        <v>0</v>
      </c>
      <c r="BF196" s="497">
        <f>IF(('Comparison Calculator'!$E$11-BD196)&gt;=0,$C$1*$BI$66/12,IFERROR(-IPMT($BI$66/12,(BC196-60),($F$1-5)*12,$BI$65,0),0))</f>
        <v>0</v>
      </c>
      <c r="BG196" s="497">
        <f t="shared" si="70"/>
        <v>0</v>
      </c>
      <c r="BH196" s="497">
        <f t="shared" si="83"/>
        <v>1800000</v>
      </c>
      <c r="BI196" s="493"/>
      <c r="BJ196" s="493"/>
      <c r="BK196" s="492">
        <v>192</v>
      </c>
      <c r="BL196" s="492">
        <v>16</v>
      </c>
      <c r="BM196" s="497">
        <f>IF(('Comparison Calculator'!$E$11-BL196)&gt;=0,0,IFERROR(-PPMT($BQ$66/12,(BK196-60),($F$1-5)*12,$BQ$65),0))</f>
        <v>0</v>
      </c>
      <c r="BN196" s="497">
        <f>IF(('Comparison Calculator'!$E$11-BL196)&gt;=0,$C$1*$BQ$66/12,IFERROR(-IPMT($BQ$66/12,(BK196-60),($F$1-5)*12,$BQ$65,0),0))</f>
        <v>0</v>
      </c>
      <c r="BO196" s="497">
        <f t="shared" si="71"/>
        <v>0</v>
      </c>
      <c r="BP196" s="497">
        <f t="shared" si="84"/>
        <v>1800000</v>
      </c>
      <c r="BQ196" s="493"/>
      <c r="BR196" s="493"/>
      <c r="BT196" s="492">
        <v>192</v>
      </c>
      <c r="BU196" s="492">
        <v>16</v>
      </c>
      <c r="BV196" s="497">
        <f>IF(('Comparison Calculator'!$E$11-BU196)&gt;=0,0,IFERROR(-PPMT($BZ$66/12,(BT196-60),($F$1-5)*12,$BZ$65),0))</f>
        <v>0</v>
      </c>
      <c r="BW196" s="497">
        <f>IF(('Comparison Calculator'!$E$11-BU196)&gt;=0,$C$1*$BZ$66/12,IFERROR(-IPMT($BZ$66/12,(BT196-60),($F$1-5)*12,$BZ$65,0),0))</f>
        <v>0</v>
      </c>
      <c r="BX196" s="497">
        <f t="shared" si="72"/>
        <v>0</v>
      </c>
      <c r="BY196" s="497">
        <f t="shared" si="85"/>
        <v>1800000</v>
      </c>
      <c r="BZ196" s="493"/>
      <c r="CA196" s="493"/>
      <c r="CC196" s="492">
        <v>192</v>
      </c>
      <c r="CD196" s="492">
        <v>16</v>
      </c>
      <c r="CE196" s="497">
        <f>IF(('Comparison Calculator'!$E$11-CD196)&gt;=0,0,IFERROR(-PPMT($CI$66/12,(CC196-60),($F$1-5)*12,$CI$65),0))</f>
        <v>0</v>
      </c>
      <c r="CF196" s="497">
        <f>IF(('Comparison Calculator'!$E$11-CD196)&gt;=0,$C$1*$CI$66/12,IFERROR(-IPMT($CI$66/12,(CC196-60),($F$1-5)*12,$CI$65,0),0))</f>
        <v>0</v>
      </c>
      <c r="CG196" s="497">
        <f t="shared" si="73"/>
        <v>0</v>
      </c>
      <c r="CH196" s="497">
        <f t="shared" si="86"/>
        <v>1800000</v>
      </c>
      <c r="CI196" s="493"/>
      <c r="CJ196" s="493"/>
      <c r="CL196" s="492">
        <v>192</v>
      </c>
      <c r="CM196" s="492">
        <v>16</v>
      </c>
      <c r="CN196" s="497">
        <f>IF(('Comparison Calculator'!$E$11-CM196)&gt;=0,0,IFERROR(-PPMT($CR$66/12,(CL196-60),($F$1-5)*12,$CR$65),0))</f>
        <v>0</v>
      </c>
      <c r="CO196" s="497">
        <f>IF(('Comparison Calculator'!$E$11-CM196)&gt;=0,$C$1*$CI$66/12,IFERROR(-IPMT($CI$66/12,(CL196-60),($F$1-5)*12,$CI$65,0),0))</f>
        <v>0</v>
      </c>
      <c r="CP196" s="497">
        <f t="shared" si="74"/>
        <v>0</v>
      </c>
      <c r="CQ196" s="497">
        <f t="shared" si="87"/>
        <v>1800000</v>
      </c>
      <c r="CR196" s="493"/>
      <c r="CS196" s="493"/>
      <c r="CU196" s="492">
        <v>192</v>
      </c>
      <c r="CV196" s="492">
        <v>16</v>
      </c>
      <c r="CW196" s="497">
        <f>IF(('Comparison Calculator'!$E$11-CV196)&gt;=0,0,IFERROR(-PPMT($DA$66/12,(CU196-60),($F$1-5)*12,$DA$65),0))</f>
        <v>0</v>
      </c>
      <c r="CX196" s="497">
        <f>IF(('Comparison Calculator'!$E$11-CV196)&gt;=0,$C$1*$DA$66/12,IFERROR(-IPMT($DA$66/12,(CU196-60),($F$1-5)*12,$DA$65,0),0))</f>
        <v>0</v>
      </c>
      <c r="CY196" s="497">
        <f t="shared" si="75"/>
        <v>0</v>
      </c>
      <c r="CZ196" s="497">
        <f t="shared" si="88"/>
        <v>1800000</v>
      </c>
      <c r="DA196" s="493"/>
      <c r="DB196" s="493"/>
      <c r="DD196" s="492">
        <v>192</v>
      </c>
      <c r="DE196" s="492">
        <v>16</v>
      </c>
      <c r="DF196" s="497">
        <f>IF(('Comparison Calculator'!$E$11-DE196)&gt;=0,0,IFERROR(-PPMT($DJ$66/12,(DD196-60),($F$1-5)*12,$DJ$65),0))</f>
        <v>0</v>
      </c>
      <c r="DG196" s="497">
        <f>IF(('Comparison Calculator'!$E$11-DE196)&gt;=0,$C$1*$DJ$66/12,IFERROR(-IPMT($DJ$66/12,(DD196-60),($F$1-5)*12,$DJ$65,0),0))</f>
        <v>0</v>
      </c>
      <c r="DH196" s="497">
        <f t="shared" si="76"/>
        <v>0</v>
      </c>
      <c r="DI196" s="497">
        <f t="shared" si="89"/>
        <v>1800000</v>
      </c>
      <c r="DJ196" s="493"/>
      <c r="DK196" s="493"/>
    </row>
    <row r="197" spans="1:115">
      <c r="A197" s="492">
        <v>193</v>
      </c>
      <c r="B197" s="492">
        <v>17</v>
      </c>
      <c r="C197" s="497">
        <f>IF(('Comparison Calculator'!$E$11-B197)&gt;=0,0,IFERROR(-PPMT($G$66/12,(A197-60),($F$1-5)*12,$G$65),0))</f>
        <v>0</v>
      </c>
      <c r="D197" s="497">
        <f>IF(('Comparison Calculator'!$E$11-B197)&gt;=0,$C$1*$G$66/12,IFERROR(-IPMT($G$66/12,(A197-60),($F$1-5)*12,$G$65,0),0))</f>
        <v>0</v>
      </c>
      <c r="E197" s="497">
        <f t="shared" si="64"/>
        <v>0</v>
      </c>
      <c r="F197" s="497">
        <f t="shared" si="77"/>
        <v>1800000</v>
      </c>
      <c r="G197" s="493"/>
      <c r="H197" s="493"/>
      <c r="I197" s="489"/>
      <c r="J197" s="492">
        <v>193</v>
      </c>
      <c r="K197" s="492">
        <v>17</v>
      </c>
      <c r="L197" s="497">
        <f>IF(('Comparison Calculator'!$E$11-K197)&gt;=0,0,IFERROR(-PPMT($P$66/12,(J197-60),($F$1-5)*12,$P$65),0))</f>
        <v>0</v>
      </c>
      <c r="M197" s="497">
        <f>IF(('Comparison Calculator'!$E$11-K197)&gt;=0,$C$1*$P$66/12,IFERROR(-IPMT($P$66/12,(J197-60),($F$1-5)*12,$P$65,0),0))</f>
        <v>0</v>
      </c>
      <c r="N197" s="497">
        <f t="shared" si="65"/>
        <v>0</v>
      </c>
      <c r="O197" s="497">
        <f t="shared" si="78"/>
        <v>1800000</v>
      </c>
      <c r="P197" s="493"/>
      <c r="Q197" s="493"/>
      <c r="S197" s="492">
        <v>193</v>
      </c>
      <c r="T197" s="492">
        <v>17</v>
      </c>
      <c r="U197" s="497">
        <f>IF(('Comparison Calculator'!$E$11-T197)&gt;=0,0,IFERROR(-PPMT($Y$66/12,(S197-60),($F$1-5)*12,$Y$65),0))</f>
        <v>0</v>
      </c>
      <c r="V197" s="497">
        <f>IF(('Comparison Calculator'!$E$11-T197)&gt;=0,$C$1*$Y$66/12,IFERROR(-IPMT($Y$66/12,(S197-60),($F$1-5)*12,$Y$65,0),0))</f>
        <v>0</v>
      </c>
      <c r="W197" s="497">
        <f t="shared" si="66"/>
        <v>0</v>
      </c>
      <c r="X197" s="497">
        <f t="shared" si="79"/>
        <v>1800000</v>
      </c>
      <c r="Y197" s="493"/>
      <c r="Z197" s="493"/>
      <c r="AB197" s="492">
        <v>193</v>
      </c>
      <c r="AC197" s="492">
        <v>17</v>
      </c>
      <c r="AD197" s="497">
        <f>IF(('Comparison Calculator'!$E$11-AC197)&gt;=0,0,IFERROR(-PPMT($AH$66/12,(AB197-60),($F$1-5)*12,$AH$65),0))</f>
        <v>0</v>
      </c>
      <c r="AE197" s="497">
        <f>IF(('Comparison Calculator'!$E$11-AC197)&gt;=0,$C$1*$AH$66/12,IFERROR(-IPMT($AH$66/12,(AB197-60),($F$1-5)*12,$AH$65,0),0))</f>
        <v>0</v>
      </c>
      <c r="AF197" s="497">
        <f t="shared" si="67"/>
        <v>0</v>
      </c>
      <c r="AG197" s="497">
        <f t="shared" si="80"/>
        <v>1800000</v>
      </c>
      <c r="AH197" s="493"/>
      <c r="AI197" s="493"/>
      <c r="AK197" s="492">
        <v>193</v>
      </c>
      <c r="AL197" s="492">
        <v>17</v>
      </c>
      <c r="AM197" s="497">
        <f>IF(('Comparison Calculator'!$E$11-AL197)&gt;=0,0,IFERROR(-PPMT($AQ$66/12,(AK197-60),($F$1-5)*12,$AQ$65),0))</f>
        <v>0</v>
      </c>
      <c r="AN197" s="497">
        <f>IF(('Comparison Calculator'!$E$11-AL197)&gt;=0,$C$1*$AQ$66/12,IFERROR(-IPMT($AQ$66/12,(AK197-60),($F$1-5)*12,$AQ$65,0),0))</f>
        <v>0</v>
      </c>
      <c r="AO197" s="497">
        <f t="shared" si="68"/>
        <v>0</v>
      </c>
      <c r="AP197" s="497">
        <f t="shared" si="81"/>
        <v>1800000</v>
      </c>
      <c r="AQ197" s="493"/>
      <c r="AR197" s="493"/>
      <c r="AT197" s="492">
        <v>193</v>
      </c>
      <c r="AU197" s="492">
        <v>17</v>
      </c>
      <c r="AV197" s="497">
        <f>IF(('Comparison Calculator'!$E$11-AU197)&gt;=0,0,IFERROR(-PPMT($AZ$66/12,(AT197-60),($F$1-5)*12,$AZ$65),0))</f>
        <v>0</v>
      </c>
      <c r="AW197" s="497">
        <f>IF(('Comparison Calculator'!$E$11-AU197)&gt;=0,$C$1*$AZ$66/12,IFERROR(-IPMT($AZ$66/12,(AT197-60),($F$1-5)*12,$AZ$65,0),0))</f>
        <v>0</v>
      </c>
      <c r="AX197" s="497">
        <f t="shared" si="69"/>
        <v>0</v>
      </c>
      <c r="AY197" s="497">
        <f t="shared" si="82"/>
        <v>1800000</v>
      </c>
      <c r="AZ197" s="493"/>
      <c r="BA197" s="493"/>
      <c r="BC197" s="492">
        <v>193</v>
      </c>
      <c r="BD197" s="492">
        <v>17</v>
      </c>
      <c r="BE197" s="497">
        <f>IF(('Comparison Calculator'!$E$11-BD197)&gt;=0,0,IFERROR(-PPMT($BI$66/12,(BC197-60),($F$1-5)*12,$BI$65),0))</f>
        <v>0</v>
      </c>
      <c r="BF197" s="497">
        <f>IF(('Comparison Calculator'!$E$11-BD197)&gt;=0,$C$1*$BI$66/12,IFERROR(-IPMT($BI$66/12,(BC197-60),($F$1-5)*12,$BI$65,0),0))</f>
        <v>0</v>
      </c>
      <c r="BG197" s="497">
        <f t="shared" si="70"/>
        <v>0</v>
      </c>
      <c r="BH197" s="497">
        <f t="shared" si="83"/>
        <v>1800000</v>
      </c>
      <c r="BI197" s="493"/>
      <c r="BJ197" s="493"/>
      <c r="BK197" s="492">
        <v>193</v>
      </c>
      <c r="BL197" s="492">
        <v>17</v>
      </c>
      <c r="BM197" s="497">
        <f>IF(('Comparison Calculator'!$E$11-BL197)&gt;=0,0,IFERROR(-PPMT($BQ$66/12,(BK197-60),($F$1-5)*12,$BQ$65),0))</f>
        <v>0</v>
      </c>
      <c r="BN197" s="497">
        <f>IF(('Comparison Calculator'!$E$11-BL197)&gt;=0,$C$1*$BQ$66/12,IFERROR(-IPMT($BQ$66/12,(BK197-60),($F$1-5)*12,$BQ$65,0),0))</f>
        <v>0</v>
      </c>
      <c r="BO197" s="497">
        <f t="shared" si="71"/>
        <v>0</v>
      </c>
      <c r="BP197" s="497">
        <f t="shared" si="84"/>
        <v>1800000</v>
      </c>
      <c r="BQ197" s="493"/>
      <c r="BR197" s="493"/>
      <c r="BT197" s="492">
        <v>193</v>
      </c>
      <c r="BU197" s="492">
        <v>17</v>
      </c>
      <c r="BV197" s="497">
        <f>IF(('Comparison Calculator'!$E$11-BU197)&gt;=0,0,IFERROR(-PPMT($BZ$66/12,(BT197-60),($F$1-5)*12,$BZ$65),0))</f>
        <v>0</v>
      </c>
      <c r="BW197" s="497">
        <f>IF(('Comparison Calculator'!$E$11-BU197)&gt;=0,$C$1*$BZ$66/12,IFERROR(-IPMT($BZ$66/12,(BT197-60),($F$1-5)*12,$BZ$65,0),0))</f>
        <v>0</v>
      </c>
      <c r="BX197" s="497">
        <f t="shared" si="72"/>
        <v>0</v>
      </c>
      <c r="BY197" s="497">
        <f t="shared" si="85"/>
        <v>1800000</v>
      </c>
      <c r="BZ197" s="493"/>
      <c r="CA197" s="493"/>
      <c r="CC197" s="492">
        <v>193</v>
      </c>
      <c r="CD197" s="492">
        <v>17</v>
      </c>
      <c r="CE197" s="497">
        <f>IF(('Comparison Calculator'!$E$11-CD197)&gt;=0,0,IFERROR(-PPMT($CI$66/12,(CC197-60),($F$1-5)*12,$CI$65),0))</f>
        <v>0</v>
      </c>
      <c r="CF197" s="497">
        <f>IF(('Comparison Calculator'!$E$11-CD197)&gt;=0,$C$1*$CI$66/12,IFERROR(-IPMT($CI$66/12,(CC197-60),($F$1-5)*12,$CI$65,0),0))</f>
        <v>0</v>
      </c>
      <c r="CG197" s="497">
        <f t="shared" si="73"/>
        <v>0</v>
      </c>
      <c r="CH197" s="497">
        <f t="shared" si="86"/>
        <v>1800000</v>
      </c>
      <c r="CI197" s="493"/>
      <c r="CJ197" s="493"/>
      <c r="CL197" s="492">
        <v>193</v>
      </c>
      <c r="CM197" s="492">
        <v>17</v>
      </c>
      <c r="CN197" s="497">
        <f>IF(('Comparison Calculator'!$E$11-CM197)&gt;=0,0,IFERROR(-PPMT($CR$66/12,(CL197-60),($F$1-5)*12,$CR$65),0))</f>
        <v>0</v>
      </c>
      <c r="CO197" s="497">
        <f>IF(('Comparison Calculator'!$E$11-CM197)&gt;=0,$C$1*$CI$66/12,IFERROR(-IPMT($CI$66/12,(CL197-60),($F$1-5)*12,$CI$65,0),0))</f>
        <v>0</v>
      </c>
      <c r="CP197" s="497">
        <f t="shared" si="74"/>
        <v>0</v>
      </c>
      <c r="CQ197" s="497">
        <f t="shared" si="87"/>
        <v>1800000</v>
      </c>
      <c r="CR197" s="493"/>
      <c r="CS197" s="493"/>
      <c r="CU197" s="492">
        <v>193</v>
      </c>
      <c r="CV197" s="492">
        <v>17</v>
      </c>
      <c r="CW197" s="497">
        <f>IF(('Comparison Calculator'!$E$11-CV197)&gt;=0,0,IFERROR(-PPMT($DA$66/12,(CU197-60),($F$1-5)*12,$DA$65),0))</f>
        <v>0</v>
      </c>
      <c r="CX197" s="497">
        <f>IF(('Comparison Calculator'!$E$11-CV197)&gt;=0,$C$1*$DA$66/12,IFERROR(-IPMT($DA$66/12,(CU197-60),($F$1-5)*12,$DA$65,0),0))</f>
        <v>0</v>
      </c>
      <c r="CY197" s="497">
        <f t="shared" si="75"/>
        <v>0</v>
      </c>
      <c r="CZ197" s="497">
        <f t="shared" si="88"/>
        <v>1800000</v>
      </c>
      <c r="DA197" s="493"/>
      <c r="DB197" s="493"/>
      <c r="DD197" s="492">
        <v>193</v>
      </c>
      <c r="DE197" s="492">
        <v>17</v>
      </c>
      <c r="DF197" s="497">
        <f>IF(('Comparison Calculator'!$E$11-DE197)&gt;=0,0,IFERROR(-PPMT($DJ$66/12,(DD197-60),($F$1-5)*12,$DJ$65),0))</f>
        <v>0</v>
      </c>
      <c r="DG197" s="497">
        <f>IF(('Comparison Calculator'!$E$11-DE197)&gt;=0,$C$1*$DJ$66/12,IFERROR(-IPMT($DJ$66/12,(DD197-60),($F$1-5)*12,$DJ$65,0),0))</f>
        <v>0</v>
      </c>
      <c r="DH197" s="497">
        <f t="shared" si="76"/>
        <v>0</v>
      </c>
      <c r="DI197" s="497">
        <f t="shared" si="89"/>
        <v>1800000</v>
      </c>
      <c r="DJ197" s="493"/>
      <c r="DK197" s="493"/>
    </row>
    <row r="198" spans="1:115">
      <c r="A198" s="492">
        <v>194</v>
      </c>
      <c r="B198" s="492">
        <v>17</v>
      </c>
      <c r="C198" s="497">
        <f>IF(('Comparison Calculator'!$E$11-B198)&gt;=0,0,IFERROR(-PPMT($G$66/12,(A198-60),($F$1-5)*12,$G$65),0))</f>
        <v>0</v>
      </c>
      <c r="D198" s="497">
        <f>IF(('Comparison Calculator'!$E$11-B198)&gt;=0,$C$1*$G$66/12,IFERROR(-IPMT($G$66/12,(A198-60),($F$1-5)*12,$G$65,0),0))</f>
        <v>0</v>
      </c>
      <c r="E198" s="497">
        <f t="shared" ref="E198:E261" si="90">C198+D198</f>
        <v>0</v>
      </c>
      <c r="F198" s="497">
        <f t="shared" si="77"/>
        <v>1800000</v>
      </c>
      <c r="G198" s="493"/>
      <c r="H198" s="493"/>
      <c r="I198" s="489"/>
      <c r="J198" s="492">
        <v>194</v>
      </c>
      <c r="K198" s="492">
        <v>17</v>
      </c>
      <c r="L198" s="497">
        <f>IF(('Comparison Calculator'!$E$11-K198)&gt;=0,0,IFERROR(-PPMT($P$66/12,(J198-60),($F$1-5)*12,$P$65),0))</f>
        <v>0</v>
      </c>
      <c r="M198" s="497">
        <f>IF(('Comparison Calculator'!$E$11-K198)&gt;=0,$C$1*$P$66/12,IFERROR(-IPMT($P$66/12,(J198-60),($F$1-5)*12,$P$65,0),0))</f>
        <v>0</v>
      </c>
      <c r="N198" s="497">
        <f t="shared" ref="N198:N261" si="91">L198+M198</f>
        <v>0</v>
      </c>
      <c r="O198" s="497">
        <f t="shared" si="78"/>
        <v>1800000</v>
      </c>
      <c r="P198" s="493"/>
      <c r="Q198" s="493"/>
      <c r="S198" s="492">
        <v>194</v>
      </c>
      <c r="T198" s="492">
        <v>17</v>
      </c>
      <c r="U198" s="497">
        <f>IF(('Comparison Calculator'!$E$11-T198)&gt;=0,0,IFERROR(-PPMT($Y$66/12,(S198-60),($F$1-5)*12,$Y$65),0))</f>
        <v>0</v>
      </c>
      <c r="V198" s="497">
        <f>IF(('Comparison Calculator'!$E$11-T198)&gt;=0,$C$1*$Y$66/12,IFERROR(-IPMT($Y$66/12,(S198-60),($F$1-5)*12,$Y$65,0),0))</f>
        <v>0</v>
      </c>
      <c r="W198" s="497">
        <f t="shared" ref="W198:W261" si="92">U198+V198</f>
        <v>0</v>
      </c>
      <c r="X198" s="497">
        <f t="shared" si="79"/>
        <v>1800000</v>
      </c>
      <c r="Y198" s="493"/>
      <c r="Z198" s="493"/>
      <c r="AB198" s="492">
        <v>194</v>
      </c>
      <c r="AC198" s="492">
        <v>17</v>
      </c>
      <c r="AD198" s="497">
        <f>IF(('Comparison Calculator'!$E$11-AC198)&gt;=0,0,IFERROR(-PPMT($AH$66/12,(AB198-60),($F$1-5)*12,$AH$65),0))</f>
        <v>0</v>
      </c>
      <c r="AE198" s="497">
        <f>IF(('Comparison Calculator'!$E$11-AC198)&gt;=0,$C$1*$AH$66/12,IFERROR(-IPMT($AH$66/12,(AB198-60),($F$1-5)*12,$AH$65,0),0))</f>
        <v>0</v>
      </c>
      <c r="AF198" s="497">
        <f t="shared" ref="AF198:AF261" si="93">AD198+AE198</f>
        <v>0</v>
      </c>
      <c r="AG198" s="497">
        <f t="shared" si="80"/>
        <v>1800000</v>
      </c>
      <c r="AH198" s="493"/>
      <c r="AI198" s="493"/>
      <c r="AK198" s="492">
        <v>194</v>
      </c>
      <c r="AL198" s="492">
        <v>17</v>
      </c>
      <c r="AM198" s="497">
        <f>IF(('Comparison Calculator'!$E$11-AL198)&gt;=0,0,IFERROR(-PPMT($AQ$66/12,(AK198-60),($F$1-5)*12,$AQ$65),0))</f>
        <v>0</v>
      </c>
      <c r="AN198" s="497">
        <f>IF(('Comparison Calculator'!$E$11-AL198)&gt;=0,$C$1*$AQ$66/12,IFERROR(-IPMT($AQ$66/12,(AK198-60),($F$1-5)*12,$AQ$65,0),0))</f>
        <v>0</v>
      </c>
      <c r="AO198" s="497">
        <f t="shared" ref="AO198:AO261" si="94">AM198+AN198</f>
        <v>0</v>
      </c>
      <c r="AP198" s="497">
        <f t="shared" si="81"/>
        <v>1800000</v>
      </c>
      <c r="AQ198" s="493"/>
      <c r="AR198" s="493"/>
      <c r="AT198" s="492">
        <v>194</v>
      </c>
      <c r="AU198" s="492">
        <v>17</v>
      </c>
      <c r="AV198" s="497">
        <f>IF(('Comparison Calculator'!$E$11-AU198)&gt;=0,0,IFERROR(-PPMT($AZ$66/12,(AT198-60),($F$1-5)*12,$AZ$65),0))</f>
        <v>0</v>
      </c>
      <c r="AW198" s="497">
        <f>IF(('Comparison Calculator'!$E$11-AU198)&gt;=0,$C$1*$AZ$66/12,IFERROR(-IPMT($AZ$66/12,(AT198-60),($F$1-5)*12,$AZ$65,0),0))</f>
        <v>0</v>
      </c>
      <c r="AX198" s="497">
        <f t="shared" ref="AX198:AX261" si="95">AV198+AW198</f>
        <v>0</v>
      </c>
      <c r="AY198" s="497">
        <f t="shared" si="82"/>
        <v>1800000</v>
      </c>
      <c r="AZ198" s="493"/>
      <c r="BA198" s="493"/>
      <c r="BC198" s="492">
        <v>194</v>
      </c>
      <c r="BD198" s="492">
        <v>17</v>
      </c>
      <c r="BE198" s="497">
        <f>IF(('Comparison Calculator'!$E$11-BD198)&gt;=0,0,IFERROR(-PPMT($BI$66/12,(BC198-60),($F$1-5)*12,$BI$65),0))</f>
        <v>0</v>
      </c>
      <c r="BF198" s="497">
        <f>IF(('Comparison Calculator'!$E$11-BD198)&gt;=0,$C$1*$BI$66/12,IFERROR(-IPMT($BI$66/12,(BC198-60),($F$1-5)*12,$BI$65,0),0))</f>
        <v>0</v>
      </c>
      <c r="BG198" s="497">
        <f t="shared" ref="BG198:BG261" si="96">BE198+BF198</f>
        <v>0</v>
      </c>
      <c r="BH198" s="497">
        <f t="shared" si="83"/>
        <v>1800000</v>
      </c>
      <c r="BI198" s="493"/>
      <c r="BJ198" s="493"/>
      <c r="BK198" s="492">
        <v>194</v>
      </c>
      <c r="BL198" s="492">
        <v>17</v>
      </c>
      <c r="BM198" s="497">
        <f>IF(('Comparison Calculator'!$E$11-BL198)&gt;=0,0,IFERROR(-PPMT($BQ$66/12,(BK198-60),($F$1-5)*12,$BQ$65),0))</f>
        <v>0</v>
      </c>
      <c r="BN198" s="497">
        <f>IF(('Comparison Calculator'!$E$11-BL198)&gt;=0,$C$1*$BQ$66/12,IFERROR(-IPMT($BQ$66/12,(BK198-60),($F$1-5)*12,$BQ$65,0),0))</f>
        <v>0</v>
      </c>
      <c r="BO198" s="497">
        <f t="shared" ref="BO198:BO261" si="97">BM198+BN198</f>
        <v>0</v>
      </c>
      <c r="BP198" s="497">
        <f t="shared" si="84"/>
        <v>1800000</v>
      </c>
      <c r="BQ198" s="493"/>
      <c r="BR198" s="493"/>
      <c r="BT198" s="492">
        <v>194</v>
      </c>
      <c r="BU198" s="492">
        <v>17</v>
      </c>
      <c r="BV198" s="497">
        <f>IF(('Comparison Calculator'!$E$11-BU198)&gt;=0,0,IFERROR(-PPMT($BZ$66/12,(BT198-60),($F$1-5)*12,$BZ$65),0))</f>
        <v>0</v>
      </c>
      <c r="BW198" s="497">
        <f>IF(('Comparison Calculator'!$E$11-BU198)&gt;=0,$C$1*$BZ$66/12,IFERROR(-IPMT($BZ$66/12,(BT198-60),($F$1-5)*12,$BZ$65,0),0))</f>
        <v>0</v>
      </c>
      <c r="BX198" s="497">
        <f t="shared" ref="BX198:BX261" si="98">BV198+BW198</f>
        <v>0</v>
      </c>
      <c r="BY198" s="497">
        <f t="shared" si="85"/>
        <v>1800000</v>
      </c>
      <c r="BZ198" s="493"/>
      <c r="CA198" s="493"/>
      <c r="CC198" s="492">
        <v>194</v>
      </c>
      <c r="CD198" s="492">
        <v>17</v>
      </c>
      <c r="CE198" s="497">
        <f>IF(('Comparison Calculator'!$E$11-CD198)&gt;=0,0,IFERROR(-PPMT($CI$66/12,(CC198-60),($F$1-5)*12,$CI$65),0))</f>
        <v>0</v>
      </c>
      <c r="CF198" s="497">
        <f>IF(('Comparison Calculator'!$E$11-CD198)&gt;=0,$C$1*$CI$66/12,IFERROR(-IPMT($CI$66/12,(CC198-60),($F$1-5)*12,$CI$65,0),0))</f>
        <v>0</v>
      </c>
      <c r="CG198" s="497">
        <f t="shared" ref="CG198:CG261" si="99">CE198+CF198</f>
        <v>0</v>
      </c>
      <c r="CH198" s="497">
        <f t="shared" si="86"/>
        <v>1800000</v>
      </c>
      <c r="CI198" s="493"/>
      <c r="CJ198" s="493"/>
      <c r="CL198" s="492">
        <v>194</v>
      </c>
      <c r="CM198" s="492">
        <v>17</v>
      </c>
      <c r="CN198" s="497">
        <f>IF(('Comparison Calculator'!$E$11-CM198)&gt;=0,0,IFERROR(-PPMT($CR$66/12,(CL198-60),($F$1-5)*12,$CR$65),0))</f>
        <v>0</v>
      </c>
      <c r="CO198" s="497">
        <f>IF(('Comparison Calculator'!$E$11-CM198)&gt;=0,$C$1*$CI$66/12,IFERROR(-IPMT($CI$66/12,(CL198-60),($F$1-5)*12,$CI$65,0),0))</f>
        <v>0</v>
      </c>
      <c r="CP198" s="497">
        <f t="shared" ref="CP198:CP261" si="100">CN198+CO198</f>
        <v>0</v>
      </c>
      <c r="CQ198" s="497">
        <f t="shared" si="87"/>
        <v>1800000</v>
      </c>
      <c r="CR198" s="493"/>
      <c r="CS198" s="493"/>
      <c r="CU198" s="492">
        <v>194</v>
      </c>
      <c r="CV198" s="492">
        <v>17</v>
      </c>
      <c r="CW198" s="497">
        <f>IF(('Comparison Calculator'!$E$11-CV198)&gt;=0,0,IFERROR(-PPMT($DA$66/12,(CU198-60),($F$1-5)*12,$DA$65),0))</f>
        <v>0</v>
      </c>
      <c r="CX198" s="497">
        <f>IF(('Comparison Calculator'!$E$11-CV198)&gt;=0,$C$1*$DA$66/12,IFERROR(-IPMT($DA$66/12,(CU198-60),($F$1-5)*12,$DA$65,0),0))</f>
        <v>0</v>
      </c>
      <c r="CY198" s="497">
        <f t="shared" ref="CY198:CY261" si="101">CW198+CX198</f>
        <v>0</v>
      </c>
      <c r="CZ198" s="497">
        <f t="shared" si="88"/>
        <v>1800000</v>
      </c>
      <c r="DA198" s="493"/>
      <c r="DB198" s="493"/>
      <c r="DD198" s="492">
        <v>194</v>
      </c>
      <c r="DE198" s="492">
        <v>17</v>
      </c>
      <c r="DF198" s="497">
        <f>IF(('Comparison Calculator'!$E$11-DE198)&gt;=0,0,IFERROR(-PPMT($DJ$66/12,(DD198-60),($F$1-5)*12,$DJ$65),0))</f>
        <v>0</v>
      </c>
      <c r="DG198" s="497">
        <f>IF(('Comparison Calculator'!$E$11-DE198)&gt;=0,$C$1*$DJ$66/12,IFERROR(-IPMT($DJ$66/12,(DD198-60),($F$1-5)*12,$DJ$65,0),0))</f>
        <v>0</v>
      </c>
      <c r="DH198" s="497">
        <f t="shared" ref="DH198:DH261" si="102">DF198+DG198</f>
        <v>0</v>
      </c>
      <c r="DI198" s="497">
        <f t="shared" si="89"/>
        <v>1800000</v>
      </c>
      <c r="DJ198" s="493"/>
      <c r="DK198" s="493"/>
    </row>
    <row r="199" spans="1:115">
      <c r="A199" s="492">
        <v>195</v>
      </c>
      <c r="B199" s="492">
        <v>17</v>
      </c>
      <c r="C199" s="497">
        <f>IF(('Comparison Calculator'!$E$11-B199)&gt;=0,0,IFERROR(-PPMT($G$66/12,(A199-60),($F$1-5)*12,$G$65),0))</f>
        <v>0</v>
      </c>
      <c r="D199" s="497">
        <f>IF(('Comparison Calculator'!$E$11-B199)&gt;=0,$C$1*$G$66/12,IFERROR(-IPMT($G$66/12,(A199-60),($F$1-5)*12,$G$65,0),0))</f>
        <v>0</v>
      </c>
      <c r="E199" s="497">
        <f t="shared" si="90"/>
        <v>0</v>
      </c>
      <c r="F199" s="497">
        <f t="shared" ref="F199:F262" si="103">F198-C199</f>
        <v>1800000</v>
      </c>
      <c r="G199" s="493"/>
      <c r="H199" s="493"/>
      <c r="I199" s="489"/>
      <c r="J199" s="492">
        <v>195</v>
      </c>
      <c r="K199" s="492">
        <v>17</v>
      </c>
      <c r="L199" s="497">
        <f>IF(('Comparison Calculator'!$E$11-K199)&gt;=0,0,IFERROR(-PPMT($P$66/12,(J199-60),($F$1-5)*12,$P$65),0))</f>
        <v>0</v>
      </c>
      <c r="M199" s="497">
        <f>IF(('Comparison Calculator'!$E$11-K199)&gt;=0,$C$1*$P$66/12,IFERROR(-IPMT($P$66/12,(J199-60),($F$1-5)*12,$P$65,0),0))</f>
        <v>0</v>
      </c>
      <c r="N199" s="497">
        <f t="shared" si="91"/>
        <v>0</v>
      </c>
      <c r="O199" s="497">
        <f t="shared" si="78"/>
        <v>1800000</v>
      </c>
      <c r="P199" s="493"/>
      <c r="Q199" s="493"/>
      <c r="S199" s="492">
        <v>195</v>
      </c>
      <c r="T199" s="492">
        <v>17</v>
      </c>
      <c r="U199" s="497">
        <f>IF(('Comparison Calculator'!$E$11-T199)&gt;=0,0,IFERROR(-PPMT($Y$66/12,(S199-60),($F$1-5)*12,$Y$65),0))</f>
        <v>0</v>
      </c>
      <c r="V199" s="497">
        <f>IF(('Comparison Calculator'!$E$11-T199)&gt;=0,$C$1*$Y$66/12,IFERROR(-IPMT($Y$66/12,(S199-60),($F$1-5)*12,$Y$65,0),0))</f>
        <v>0</v>
      </c>
      <c r="W199" s="497">
        <f t="shared" si="92"/>
        <v>0</v>
      </c>
      <c r="X199" s="497">
        <f t="shared" si="79"/>
        <v>1800000</v>
      </c>
      <c r="Y199" s="493"/>
      <c r="Z199" s="493"/>
      <c r="AB199" s="492">
        <v>195</v>
      </c>
      <c r="AC199" s="492">
        <v>17</v>
      </c>
      <c r="AD199" s="497">
        <f>IF(('Comparison Calculator'!$E$11-AC199)&gt;=0,0,IFERROR(-PPMT($AH$66/12,(AB199-60),($F$1-5)*12,$AH$65),0))</f>
        <v>0</v>
      </c>
      <c r="AE199" s="497">
        <f>IF(('Comparison Calculator'!$E$11-AC199)&gt;=0,$C$1*$AH$66/12,IFERROR(-IPMT($AH$66/12,(AB199-60),($F$1-5)*12,$AH$65,0),0))</f>
        <v>0</v>
      </c>
      <c r="AF199" s="497">
        <f t="shared" si="93"/>
        <v>0</v>
      </c>
      <c r="AG199" s="497">
        <f t="shared" si="80"/>
        <v>1800000</v>
      </c>
      <c r="AH199" s="493"/>
      <c r="AI199" s="493"/>
      <c r="AK199" s="492">
        <v>195</v>
      </c>
      <c r="AL199" s="492">
        <v>17</v>
      </c>
      <c r="AM199" s="497">
        <f>IF(('Comparison Calculator'!$E$11-AL199)&gt;=0,0,IFERROR(-PPMT($AQ$66/12,(AK199-60),($F$1-5)*12,$AQ$65),0))</f>
        <v>0</v>
      </c>
      <c r="AN199" s="497">
        <f>IF(('Comparison Calculator'!$E$11-AL199)&gt;=0,$C$1*$AQ$66/12,IFERROR(-IPMT($AQ$66/12,(AK199-60),($F$1-5)*12,$AQ$65,0),0))</f>
        <v>0</v>
      </c>
      <c r="AO199" s="497">
        <f t="shared" si="94"/>
        <v>0</v>
      </c>
      <c r="AP199" s="497">
        <f t="shared" si="81"/>
        <v>1800000</v>
      </c>
      <c r="AQ199" s="493"/>
      <c r="AR199" s="493"/>
      <c r="AT199" s="492">
        <v>195</v>
      </c>
      <c r="AU199" s="492">
        <v>17</v>
      </c>
      <c r="AV199" s="497">
        <f>IF(('Comparison Calculator'!$E$11-AU199)&gt;=0,0,IFERROR(-PPMT($AZ$66/12,(AT199-60),($F$1-5)*12,$AZ$65),0))</f>
        <v>0</v>
      </c>
      <c r="AW199" s="497">
        <f>IF(('Comparison Calculator'!$E$11-AU199)&gt;=0,$C$1*$AZ$66/12,IFERROR(-IPMT($AZ$66/12,(AT199-60),($F$1-5)*12,$AZ$65,0),0))</f>
        <v>0</v>
      </c>
      <c r="AX199" s="497">
        <f t="shared" si="95"/>
        <v>0</v>
      </c>
      <c r="AY199" s="497">
        <f t="shared" si="82"/>
        <v>1800000</v>
      </c>
      <c r="AZ199" s="493"/>
      <c r="BA199" s="493"/>
      <c r="BC199" s="492">
        <v>195</v>
      </c>
      <c r="BD199" s="492">
        <v>17</v>
      </c>
      <c r="BE199" s="497">
        <f>IF(('Comparison Calculator'!$E$11-BD199)&gt;=0,0,IFERROR(-PPMT($BI$66/12,(BC199-60),($F$1-5)*12,$BI$65),0))</f>
        <v>0</v>
      </c>
      <c r="BF199" s="497">
        <f>IF(('Comparison Calculator'!$E$11-BD199)&gt;=0,$C$1*$BI$66/12,IFERROR(-IPMT($BI$66/12,(BC199-60),($F$1-5)*12,$BI$65,0),0))</f>
        <v>0</v>
      </c>
      <c r="BG199" s="497">
        <f t="shared" si="96"/>
        <v>0</v>
      </c>
      <c r="BH199" s="497">
        <f t="shared" si="83"/>
        <v>1800000</v>
      </c>
      <c r="BI199" s="493"/>
      <c r="BJ199" s="493"/>
      <c r="BK199" s="492">
        <v>195</v>
      </c>
      <c r="BL199" s="492">
        <v>17</v>
      </c>
      <c r="BM199" s="497">
        <f>IF(('Comparison Calculator'!$E$11-BL199)&gt;=0,0,IFERROR(-PPMT($BQ$66/12,(BK199-60),($F$1-5)*12,$BQ$65),0))</f>
        <v>0</v>
      </c>
      <c r="BN199" s="497">
        <f>IF(('Comparison Calculator'!$E$11-BL199)&gt;=0,$C$1*$BQ$66/12,IFERROR(-IPMT($BQ$66/12,(BK199-60),($F$1-5)*12,$BQ$65,0),0))</f>
        <v>0</v>
      </c>
      <c r="BO199" s="497">
        <f t="shared" si="97"/>
        <v>0</v>
      </c>
      <c r="BP199" s="497">
        <f t="shared" si="84"/>
        <v>1800000</v>
      </c>
      <c r="BQ199" s="493"/>
      <c r="BR199" s="493"/>
      <c r="BT199" s="492">
        <v>195</v>
      </c>
      <c r="BU199" s="492">
        <v>17</v>
      </c>
      <c r="BV199" s="497">
        <f>IF(('Comparison Calculator'!$E$11-BU199)&gt;=0,0,IFERROR(-PPMT($BZ$66/12,(BT199-60),($F$1-5)*12,$BZ$65),0))</f>
        <v>0</v>
      </c>
      <c r="BW199" s="497">
        <f>IF(('Comparison Calculator'!$E$11-BU199)&gt;=0,$C$1*$BZ$66/12,IFERROR(-IPMT($BZ$66/12,(BT199-60),($F$1-5)*12,$BZ$65,0),0))</f>
        <v>0</v>
      </c>
      <c r="BX199" s="497">
        <f t="shared" si="98"/>
        <v>0</v>
      </c>
      <c r="BY199" s="497">
        <f t="shared" si="85"/>
        <v>1800000</v>
      </c>
      <c r="BZ199" s="493"/>
      <c r="CA199" s="493"/>
      <c r="CC199" s="492">
        <v>195</v>
      </c>
      <c r="CD199" s="492">
        <v>17</v>
      </c>
      <c r="CE199" s="497">
        <f>IF(('Comparison Calculator'!$E$11-CD199)&gt;=0,0,IFERROR(-PPMT($CI$66/12,(CC199-60),($F$1-5)*12,$CI$65),0))</f>
        <v>0</v>
      </c>
      <c r="CF199" s="497">
        <f>IF(('Comparison Calculator'!$E$11-CD199)&gt;=0,$C$1*$CI$66/12,IFERROR(-IPMT($CI$66/12,(CC199-60),($F$1-5)*12,$CI$65,0),0))</f>
        <v>0</v>
      </c>
      <c r="CG199" s="497">
        <f t="shared" si="99"/>
        <v>0</v>
      </c>
      <c r="CH199" s="497">
        <f t="shared" si="86"/>
        <v>1800000</v>
      </c>
      <c r="CI199" s="493"/>
      <c r="CJ199" s="493"/>
      <c r="CL199" s="492">
        <v>195</v>
      </c>
      <c r="CM199" s="492">
        <v>17</v>
      </c>
      <c r="CN199" s="497">
        <f>IF(('Comparison Calculator'!$E$11-CM199)&gt;=0,0,IFERROR(-PPMT($CR$66/12,(CL199-60),($F$1-5)*12,$CR$65),0))</f>
        <v>0</v>
      </c>
      <c r="CO199" s="497">
        <f>IF(('Comparison Calculator'!$E$11-CM199)&gt;=0,$C$1*$CI$66/12,IFERROR(-IPMT($CI$66/12,(CL199-60),($F$1-5)*12,$CI$65,0),0))</f>
        <v>0</v>
      </c>
      <c r="CP199" s="497">
        <f t="shared" si="100"/>
        <v>0</v>
      </c>
      <c r="CQ199" s="497">
        <f t="shared" si="87"/>
        <v>1800000</v>
      </c>
      <c r="CR199" s="493"/>
      <c r="CS199" s="493"/>
      <c r="CU199" s="492">
        <v>195</v>
      </c>
      <c r="CV199" s="492">
        <v>17</v>
      </c>
      <c r="CW199" s="497">
        <f>IF(('Comparison Calculator'!$E$11-CV199)&gt;=0,0,IFERROR(-PPMT($DA$66/12,(CU199-60),($F$1-5)*12,$DA$65),0))</f>
        <v>0</v>
      </c>
      <c r="CX199" s="497">
        <f>IF(('Comparison Calculator'!$E$11-CV199)&gt;=0,$C$1*$DA$66/12,IFERROR(-IPMT($DA$66/12,(CU199-60),($F$1-5)*12,$DA$65,0),0))</f>
        <v>0</v>
      </c>
      <c r="CY199" s="497">
        <f t="shared" si="101"/>
        <v>0</v>
      </c>
      <c r="CZ199" s="497">
        <f t="shared" si="88"/>
        <v>1800000</v>
      </c>
      <c r="DA199" s="493"/>
      <c r="DB199" s="493"/>
      <c r="DD199" s="492">
        <v>195</v>
      </c>
      <c r="DE199" s="492">
        <v>17</v>
      </c>
      <c r="DF199" s="497">
        <f>IF(('Comparison Calculator'!$E$11-DE199)&gt;=0,0,IFERROR(-PPMT($DJ$66/12,(DD199-60),($F$1-5)*12,$DJ$65),0))</f>
        <v>0</v>
      </c>
      <c r="DG199" s="497">
        <f>IF(('Comparison Calculator'!$E$11-DE199)&gt;=0,$C$1*$DJ$66/12,IFERROR(-IPMT($DJ$66/12,(DD199-60),($F$1-5)*12,$DJ$65,0),0))</f>
        <v>0</v>
      </c>
      <c r="DH199" s="497">
        <f t="shared" si="102"/>
        <v>0</v>
      </c>
      <c r="DI199" s="497">
        <f t="shared" si="89"/>
        <v>1800000</v>
      </c>
      <c r="DJ199" s="493"/>
      <c r="DK199" s="493"/>
    </row>
    <row r="200" spans="1:115">
      <c r="A200" s="492">
        <v>196</v>
      </c>
      <c r="B200" s="492">
        <v>17</v>
      </c>
      <c r="C200" s="497">
        <f>IF(('Comparison Calculator'!$E$11-B200)&gt;=0,0,IFERROR(-PPMT($G$66/12,(A200-60),($F$1-5)*12,$G$65),0))</f>
        <v>0</v>
      </c>
      <c r="D200" s="497">
        <f>IF(('Comparison Calculator'!$E$11-B200)&gt;=0,$C$1*$G$66/12,IFERROR(-IPMT($G$66/12,(A200-60),($F$1-5)*12,$G$65,0),0))</f>
        <v>0</v>
      </c>
      <c r="E200" s="497">
        <f t="shared" si="90"/>
        <v>0</v>
      </c>
      <c r="F200" s="497">
        <f t="shared" si="103"/>
        <v>1800000</v>
      </c>
      <c r="G200" s="493"/>
      <c r="H200" s="493"/>
      <c r="I200" s="489"/>
      <c r="J200" s="492">
        <v>196</v>
      </c>
      <c r="K200" s="492">
        <v>17</v>
      </c>
      <c r="L200" s="497">
        <f>IF(('Comparison Calculator'!$E$11-K200)&gt;=0,0,IFERROR(-PPMT($P$66/12,(J200-60),($F$1-5)*12,$P$65),0))</f>
        <v>0</v>
      </c>
      <c r="M200" s="497">
        <f>IF(('Comparison Calculator'!$E$11-K200)&gt;=0,$C$1*$P$66/12,IFERROR(-IPMT($P$66/12,(J200-60),($F$1-5)*12,$P$65,0),0))</f>
        <v>0</v>
      </c>
      <c r="N200" s="497">
        <f t="shared" si="91"/>
        <v>0</v>
      </c>
      <c r="O200" s="497">
        <f t="shared" si="78"/>
        <v>1800000</v>
      </c>
      <c r="P200" s="493"/>
      <c r="Q200" s="493"/>
      <c r="S200" s="492">
        <v>196</v>
      </c>
      <c r="T200" s="492">
        <v>17</v>
      </c>
      <c r="U200" s="497">
        <f>IF(('Comparison Calculator'!$E$11-T200)&gt;=0,0,IFERROR(-PPMT($Y$66/12,(S200-60),($F$1-5)*12,$Y$65),0))</f>
        <v>0</v>
      </c>
      <c r="V200" s="497">
        <f>IF(('Comparison Calculator'!$E$11-T200)&gt;=0,$C$1*$Y$66/12,IFERROR(-IPMT($Y$66/12,(S200-60),($F$1-5)*12,$Y$65,0),0))</f>
        <v>0</v>
      </c>
      <c r="W200" s="497">
        <f t="shared" si="92"/>
        <v>0</v>
      </c>
      <c r="X200" s="497">
        <f t="shared" si="79"/>
        <v>1800000</v>
      </c>
      <c r="Y200" s="493"/>
      <c r="Z200" s="493"/>
      <c r="AB200" s="492">
        <v>196</v>
      </c>
      <c r="AC200" s="492">
        <v>17</v>
      </c>
      <c r="AD200" s="497">
        <f>IF(('Comparison Calculator'!$E$11-AC200)&gt;=0,0,IFERROR(-PPMT($AH$66/12,(AB200-60),($F$1-5)*12,$AH$65),0))</f>
        <v>0</v>
      </c>
      <c r="AE200" s="497">
        <f>IF(('Comparison Calculator'!$E$11-AC200)&gt;=0,$C$1*$AH$66/12,IFERROR(-IPMT($AH$66/12,(AB200-60),($F$1-5)*12,$AH$65,0),0))</f>
        <v>0</v>
      </c>
      <c r="AF200" s="497">
        <f t="shared" si="93"/>
        <v>0</v>
      </c>
      <c r="AG200" s="497">
        <f t="shared" si="80"/>
        <v>1800000</v>
      </c>
      <c r="AH200" s="493"/>
      <c r="AI200" s="493"/>
      <c r="AK200" s="492">
        <v>196</v>
      </c>
      <c r="AL200" s="492">
        <v>17</v>
      </c>
      <c r="AM200" s="497">
        <f>IF(('Comparison Calculator'!$E$11-AL200)&gt;=0,0,IFERROR(-PPMT($AQ$66/12,(AK200-60),($F$1-5)*12,$AQ$65),0))</f>
        <v>0</v>
      </c>
      <c r="AN200" s="497">
        <f>IF(('Comparison Calculator'!$E$11-AL200)&gt;=0,$C$1*$AQ$66/12,IFERROR(-IPMT($AQ$66/12,(AK200-60),($F$1-5)*12,$AQ$65,0),0))</f>
        <v>0</v>
      </c>
      <c r="AO200" s="497">
        <f t="shared" si="94"/>
        <v>0</v>
      </c>
      <c r="AP200" s="497">
        <f t="shared" si="81"/>
        <v>1800000</v>
      </c>
      <c r="AQ200" s="493"/>
      <c r="AR200" s="493"/>
      <c r="AT200" s="492">
        <v>196</v>
      </c>
      <c r="AU200" s="492">
        <v>17</v>
      </c>
      <c r="AV200" s="497">
        <f>IF(('Comparison Calculator'!$E$11-AU200)&gt;=0,0,IFERROR(-PPMT($AZ$66/12,(AT200-60),($F$1-5)*12,$AZ$65),0))</f>
        <v>0</v>
      </c>
      <c r="AW200" s="497">
        <f>IF(('Comparison Calculator'!$E$11-AU200)&gt;=0,$C$1*$AZ$66/12,IFERROR(-IPMT($AZ$66/12,(AT200-60),($F$1-5)*12,$AZ$65,0),0))</f>
        <v>0</v>
      </c>
      <c r="AX200" s="497">
        <f t="shared" si="95"/>
        <v>0</v>
      </c>
      <c r="AY200" s="497">
        <f t="shared" si="82"/>
        <v>1800000</v>
      </c>
      <c r="AZ200" s="493"/>
      <c r="BA200" s="493"/>
      <c r="BC200" s="492">
        <v>196</v>
      </c>
      <c r="BD200" s="492">
        <v>17</v>
      </c>
      <c r="BE200" s="497">
        <f>IF(('Comparison Calculator'!$E$11-BD200)&gt;=0,0,IFERROR(-PPMT($BI$66/12,(BC200-60),($F$1-5)*12,$BI$65),0))</f>
        <v>0</v>
      </c>
      <c r="BF200" s="497">
        <f>IF(('Comparison Calculator'!$E$11-BD200)&gt;=0,$C$1*$BI$66/12,IFERROR(-IPMT($BI$66/12,(BC200-60),($F$1-5)*12,$BI$65,0),0))</f>
        <v>0</v>
      </c>
      <c r="BG200" s="497">
        <f t="shared" si="96"/>
        <v>0</v>
      </c>
      <c r="BH200" s="497">
        <f t="shared" si="83"/>
        <v>1800000</v>
      </c>
      <c r="BI200" s="493"/>
      <c r="BJ200" s="493"/>
      <c r="BK200" s="492">
        <v>196</v>
      </c>
      <c r="BL200" s="492">
        <v>17</v>
      </c>
      <c r="BM200" s="497">
        <f>IF(('Comparison Calculator'!$E$11-BL200)&gt;=0,0,IFERROR(-PPMT($BQ$66/12,(BK200-60),($F$1-5)*12,$BQ$65),0))</f>
        <v>0</v>
      </c>
      <c r="BN200" s="497">
        <f>IF(('Comparison Calculator'!$E$11-BL200)&gt;=0,$C$1*$BQ$66/12,IFERROR(-IPMT($BQ$66/12,(BK200-60),($F$1-5)*12,$BQ$65,0),0))</f>
        <v>0</v>
      </c>
      <c r="BO200" s="497">
        <f t="shared" si="97"/>
        <v>0</v>
      </c>
      <c r="BP200" s="497">
        <f t="shared" si="84"/>
        <v>1800000</v>
      </c>
      <c r="BQ200" s="493"/>
      <c r="BR200" s="493"/>
      <c r="BT200" s="492">
        <v>196</v>
      </c>
      <c r="BU200" s="492">
        <v>17</v>
      </c>
      <c r="BV200" s="497">
        <f>IF(('Comparison Calculator'!$E$11-BU200)&gt;=0,0,IFERROR(-PPMT($BZ$66/12,(BT200-60),($F$1-5)*12,$BZ$65),0))</f>
        <v>0</v>
      </c>
      <c r="BW200" s="497">
        <f>IF(('Comparison Calculator'!$E$11-BU200)&gt;=0,$C$1*$BZ$66/12,IFERROR(-IPMT($BZ$66/12,(BT200-60),($F$1-5)*12,$BZ$65,0),0))</f>
        <v>0</v>
      </c>
      <c r="BX200" s="497">
        <f t="shared" si="98"/>
        <v>0</v>
      </c>
      <c r="BY200" s="497">
        <f t="shared" si="85"/>
        <v>1800000</v>
      </c>
      <c r="BZ200" s="493"/>
      <c r="CA200" s="493"/>
      <c r="CC200" s="492">
        <v>196</v>
      </c>
      <c r="CD200" s="492">
        <v>17</v>
      </c>
      <c r="CE200" s="497">
        <f>IF(('Comparison Calculator'!$E$11-CD200)&gt;=0,0,IFERROR(-PPMT($CI$66/12,(CC200-60),($F$1-5)*12,$CI$65),0))</f>
        <v>0</v>
      </c>
      <c r="CF200" s="497">
        <f>IF(('Comparison Calculator'!$E$11-CD200)&gt;=0,$C$1*$CI$66/12,IFERROR(-IPMT($CI$66/12,(CC200-60),($F$1-5)*12,$CI$65,0),0))</f>
        <v>0</v>
      </c>
      <c r="CG200" s="497">
        <f t="shared" si="99"/>
        <v>0</v>
      </c>
      <c r="CH200" s="497">
        <f t="shared" si="86"/>
        <v>1800000</v>
      </c>
      <c r="CI200" s="493"/>
      <c r="CJ200" s="493"/>
      <c r="CL200" s="492">
        <v>196</v>
      </c>
      <c r="CM200" s="492">
        <v>17</v>
      </c>
      <c r="CN200" s="497">
        <f>IF(('Comparison Calculator'!$E$11-CM200)&gt;=0,0,IFERROR(-PPMT($CR$66/12,(CL200-60),($F$1-5)*12,$CR$65),0))</f>
        <v>0</v>
      </c>
      <c r="CO200" s="497">
        <f>IF(('Comparison Calculator'!$E$11-CM200)&gt;=0,$C$1*$CI$66/12,IFERROR(-IPMT($CI$66/12,(CL200-60),($F$1-5)*12,$CI$65,0),0))</f>
        <v>0</v>
      </c>
      <c r="CP200" s="497">
        <f t="shared" si="100"/>
        <v>0</v>
      </c>
      <c r="CQ200" s="497">
        <f t="shared" si="87"/>
        <v>1800000</v>
      </c>
      <c r="CR200" s="493"/>
      <c r="CS200" s="493"/>
      <c r="CU200" s="492">
        <v>196</v>
      </c>
      <c r="CV200" s="492">
        <v>17</v>
      </c>
      <c r="CW200" s="497">
        <f>IF(('Comparison Calculator'!$E$11-CV200)&gt;=0,0,IFERROR(-PPMT($DA$66/12,(CU200-60),($F$1-5)*12,$DA$65),0))</f>
        <v>0</v>
      </c>
      <c r="CX200" s="497">
        <f>IF(('Comparison Calculator'!$E$11-CV200)&gt;=0,$C$1*$DA$66/12,IFERROR(-IPMT($DA$66/12,(CU200-60),($F$1-5)*12,$DA$65,0),0))</f>
        <v>0</v>
      </c>
      <c r="CY200" s="497">
        <f t="shared" si="101"/>
        <v>0</v>
      </c>
      <c r="CZ200" s="497">
        <f t="shared" si="88"/>
        <v>1800000</v>
      </c>
      <c r="DA200" s="493"/>
      <c r="DB200" s="493"/>
      <c r="DD200" s="492">
        <v>196</v>
      </c>
      <c r="DE200" s="492">
        <v>17</v>
      </c>
      <c r="DF200" s="497">
        <f>IF(('Comparison Calculator'!$E$11-DE200)&gt;=0,0,IFERROR(-PPMT($DJ$66/12,(DD200-60),($F$1-5)*12,$DJ$65),0))</f>
        <v>0</v>
      </c>
      <c r="DG200" s="497">
        <f>IF(('Comparison Calculator'!$E$11-DE200)&gt;=0,$C$1*$DJ$66/12,IFERROR(-IPMT($DJ$66/12,(DD200-60),($F$1-5)*12,$DJ$65,0),0))</f>
        <v>0</v>
      </c>
      <c r="DH200" s="497">
        <f t="shared" si="102"/>
        <v>0</v>
      </c>
      <c r="DI200" s="497">
        <f t="shared" si="89"/>
        <v>1800000</v>
      </c>
      <c r="DJ200" s="493"/>
      <c r="DK200" s="493"/>
    </row>
    <row r="201" spans="1:115">
      <c r="A201" s="492">
        <v>197</v>
      </c>
      <c r="B201" s="492">
        <v>17</v>
      </c>
      <c r="C201" s="497">
        <f>IF(('Comparison Calculator'!$E$11-B201)&gt;=0,0,IFERROR(-PPMT($G$66/12,(A201-60),($F$1-5)*12,$G$65),0))</f>
        <v>0</v>
      </c>
      <c r="D201" s="497">
        <f>IF(('Comparison Calculator'!$E$11-B201)&gt;=0,$C$1*$G$66/12,IFERROR(-IPMT($G$66/12,(A201-60),($F$1-5)*12,$G$65,0),0))</f>
        <v>0</v>
      </c>
      <c r="E201" s="497">
        <f t="shared" si="90"/>
        <v>0</v>
      </c>
      <c r="F201" s="497">
        <f t="shared" si="103"/>
        <v>1800000</v>
      </c>
      <c r="G201" s="493"/>
      <c r="H201" s="493"/>
      <c r="I201" s="489"/>
      <c r="J201" s="492">
        <v>197</v>
      </c>
      <c r="K201" s="492">
        <v>17</v>
      </c>
      <c r="L201" s="497">
        <f>IF(('Comparison Calculator'!$E$11-K201)&gt;=0,0,IFERROR(-PPMT($P$66/12,(J201-60),($F$1-5)*12,$P$65),0))</f>
        <v>0</v>
      </c>
      <c r="M201" s="497">
        <f>IF(('Comparison Calculator'!$E$11-K201)&gt;=0,$C$1*$P$66/12,IFERROR(-IPMT($P$66/12,(J201-60),($F$1-5)*12,$P$65,0),0))</f>
        <v>0</v>
      </c>
      <c r="N201" s="497">
        <f t="shared" si="91"/>
        <v>0</v>
      </c>
      <c r="O201" s="497">
        <f t="shared" si="78"/>
        <v>1800000</v>
      </c>
      <c r="P201" s="493"/>
      <c r="Q201" s="493"/>
      <c r="S201" s="492">
        <v>197</v>
      </c>
      <c r="T201" s="492">
        <v>17</v>
      </c>
      <c r="U201" s="497">
        <f>IF(('Comparison Calculator'!$E$11-T201)&gt;=0,0,IFERROR(-PPMT($Y$66/12,(S201-60),($F$1-5)*12,$Y$65),0))</f>
        <v>0</v>
      </c>
      <c r="V201" s="497">
        <f>IF(('Comparison Calculator'!$E$11-T201)&gt;=0,$C$1*$Y$66/12,IFERROR(-IPMT($Y$66/12,(S201-60),($F$1-5)*12,$Y$65,0),0))</f>
        <v>0</v>
      </c>
      <c r="W201" s="497">
        <f t="shared" si="92"/>
        <v>0</v>
      </c>
      <c r="X201" s="497">
        <f t="shared" si="79"/>
        <v>1800000</v>
      </c>
      <c r="Y201" s="493"/>
      <c r="Z201" s="493"/>
      <c r="AB201" s="492">
        <v>197</v>
      </c>
      <c r="AC201" s="492">
        <v>17</v>
      </c>
      <c r="AD201" s="497">
        <f>IF(('Comparison Calculator'!$E$11-AC201)&gt;=0,0,IFERROR(-PPMT($AH$66/12,(AB201-60),($F$1-5)*12,$AH$65),0))</f>
        <v>0</v>
      </c>
      <c r="AE201" s="497">
        <f>IF(('Comparison Calculator'!$E$11-AC201)&gt;=0,$C$1*$AH$66/12,IFERROR(-IPMT($AH$66/12,(AB201-60),($F$1-5)*12,$AH$65,0),0))</f>
        <v>0</v>
      </c>
      <c r="AF201" s="497">
        <f t="shared" si="93"/>
        <v>0</v>
      </c>
      <c r="AG201" s="497">
        <f t="shared" si="80"/>
        <v>1800000</v>
      </c>
      <c r="AH201" s="493"/>
      <c r="AI201" s="493"/>
      <c r="AK201" s="492">
        <v>197</v>
      </c>
      <c r="AL201" s="492">
        <v>17</v>
      </c>
      <c r="AM201" s="497">
        <f>IF(('Comparison Calculator'!$E$11-AL201)&gt;=0,0,IFERROR(-PPMT($AQ$66/12,(AK201-60),($F$1-5)*12,$AQ$65),0))</f>
        <v>0</v>
      </c>
      <c r="AN201" s="497">
        <f>IF(('Comparison Calculator'!$E$11-AL201)&gt;=0,$C$1*$AQ$66/12,IFERROR(-IPMT($AQ$66/12,(AK201-60),($F$1-5)*12,$AQ$65,0),0))</f>
        <v>0</v>
      </c>
      <c r="AO201" s="497">
        <f t="shared" si="94"/>
        <v>0</v>
      </c>
      <c r="AP201" s="497">
        <f t="shared" si="81"/>
        <v>1800000</v>
      </c>
      <c r="AQ201" s="493"/>
      <c r="AR201" s="493"/>
      <c r="AT201" s="492">
        <v>197</v>
      </c>
      <c r="AU201" s="492">
        <v>17</v>
      </c>
      <c r="AV201" s="497">
        <f>IF(('Comparison Calculator'!$E$11-AU201)&gt;=0,0,IFERROR(-PPMT($AZ$66/12,(AT201-60),($F$1-5)*12,$AZ$65),0))</f>
        <v>0</v>
      </c>
      <c r="AW201" s="497">
        <f>IF(('Comparison Calculator'!$E$11-AU201)&gt;=0,$C$1*$AZ$66/12,IFERROR(-IPMT($AZ$66/12,(AT201-60),($F$1-5)*12,$AZ$65,0),0))</f>
        <v>0</v>
      </c>
      <c r="AX201" s="497">
        <f t="shared" si="95"/>
        <v>0</v>
      </c>
      <c r="AY201" s="497">
        <f t="shared" si="82"/>
        <v>1800000</v>
      </c>
      <c r="AZ201" s="493"/>
      <c r="BA201" s="493"/>
      <c r="BC201" s="492">
        <v>197</v>
      </c>
      <c r="BD201" s="492">
        <v>17</v>
      </c>
      <c r="BE201" s="497">
        <f>IF(('Comparison Calculator'!$E$11-BD201)&gt;=0,0,IFERROR(-PPMT($BI$66/12,(BC201-60),($F$1-5)*12,$BI$65),0))</f>
        <v>0</v>
      </c>
      <c r="BF201" s="497">
        <f>IF(('Comparison Calculator'!$E$11-BD201)&gt;=0,$C$1*$BI$66/12,IFERROR(-IPMT($BI$66/12,(BC201-60),($F$1-5)*12,$BI$65,0),0))</f>
        <v>0</v>
      </c>
      <c r="BG201" s="497">
        <f t="shared" si="96"/>
        <v>0</v>
      </c>
      <c r="BH201" s="497">
        <f t="shared" si="83"/>
        <v>1800000</v>
      </c>
      <c r="BI201" s="493"/>
      <c r="BJ201" s="493"/>
      <c r="BK201" s="492">
        <v>197</v>
      </c>
      <c r="BL201" s="492">
        <v>17</v>
      </c>
      <c r="BM201" s="497">
        <f>IF(('Comparison Calculator'!$E$11-BL201)&gt;=0,0,IFERROR(-PPMT($BQ$66/12,(BK201-60),($F$1-5)*12,$BQ$65),0))</f>
        <v>0</v>
      </c>
      <c r="BN201" s="497">
        <f>IF(('Comparison Calculator'!$E$11-BL201)&gt;=0,$C$1*$BQ$66/12,IFERROR(-IPMT($BQ$66/12,(BK201-60),($F$1-5)*12,$BQ$65,0),0))</f>
        <v>0</v>
      </c>
      <c r="BO201" s="497">
        <f t="shared" si="97"/>
        <v>0</v>
      </c>
      <c r="BP201" s="497">
        <f t="shared" si="84"/>
        <v>1800000</v>
      </c>
      <c r="BQ201" s="493"/>
      <c r="BR201" s="493"/>
      <c r="BT201" s="492">
        <v>197</v>
      </c>
      <c r="BU201" s="492">
        <v>17</v>
      </c>
      <c r="BV201" s="497">
        <f>IF(('Comparison Calculator'!$E$11-BU201)&gt;=0,0,IFERROR(-PPMT($BZ$66/12,(BT201-60),($F$1-5)*12,$BZ$65),0))</f>
        <v>0</v>
      </c>
      <c r="BW201" s="497">
        <f>IF(('Comparison Calculator'!$E$11-BU201)&gt;=0,$C$1*$BZ$66/12,IFERROR(-IPMT($BZ$66/12,(BT201-60),($F$1-5)*12,$BZ$65,0),0))</f>
        <v>0</v>
      </c>
      <c r="BX201" s="497">
        <f t="shared" si="98"/>
        <v>0</v>
      </c>
      <c r="BY201" s="497">
        <f t="shared" si="85"/>
        <v>1800000</v>
      </c>
      <c r="BZ201" s="493"/>
      <c r="CA201" s="493"/>
      <c r="CC201" s="492">
        <v>197</v>
      </c>
      <c r="CD201" s="492">
        <v>17</v>
      </c>
      <c r="CE201" s="497">
        <f>IF(('Comparison Calculator'!$E$11-CD201)&gt;=0,0,IFERROR(-PPMT($CI$66/12,(CC201-60),($F$1-5)*12,$CI$65),0))</f>
        <v>0</v>
      </c>
      <c r="CF201" s="497">
        <f>IF(('Comparison Calculator'!$E$11-CD201)&gt;=0,$C$1*$CI$66/12,IFERROR(-IPMT($CI$66/12,(CC201-60),($F$1-5)*12,$CI$65,0),0))</f>
        <v>0</v>
      </c>
      <c r="CG201" s="497">
        <f t="shared" si="99"/>
        <v>0</v>
      </c>
      <c r="CH201" s="497">
        <f t="shared" si="86"/>
        <v>1800000</v>
      </c>
      <c r="CI201" s="493"/>
      <c r="CJ201" s="493"/>
      <c r="CL201" s="492">
        <v>197</v>
      </c>
      <c r="CM201" s="492">
        <v>17</v>
      </c>
      <c r="CN201" s="497">
        <f>IF(('Comparison Calculator'!$E$11-CM201)&gt;=0,0,IFERROR(-PPMT($CR$66/12,(CL201-60),($F$1-5)*12,$CR$65),0))</f>
        <v>0</v>
      </c>
      <c r="CO201" s="497">
        <f>IF(('Comparison Calculator'!$E$11-CM201)&gt;=0,$C$1*$CI$66/12,IFERROR(-IPMT($CI$66/12,(CL201-60),($F$1-5)*12,$CI$65,0),0))</f>
        <v>0</v>
      </c>
      <c r="CP201" s="497">
        <f t="shared" si="100"/>
        <v>0</v>
      </c>
      <c r="CQ201" s="497">
        <f t="shared" si="87"/>
        <v>1800000</v>
      </c>
      <c r="CR201" s="493"/>
      <c r="CS201" s="493"/>
      <c r="CU201" s="492">
        <v>197</v>
      </c>
      <c r="CV201" s="492">
        <v>17</v>
      </c>
      <c r="CW201" s="497">
        <f>IF(('Comparison Calculator'!$E$11-CV201)&gt;=0,0,IFERROR(-PPMT($DA$66/12,(CU201-60),($F$1-5)*12,$DA$65),0))</f>
        <v>0</v>
      </c>
      <c r="CX201" s="497">
        <f>IF(('Comparison Calculator'!$E$11-CV201)&gt;=0,$C$1*$DA$66/12,IFERROR(-IPMT($DA$66/12,(CU201-60),($F$1-5)*12,$DA$65,0),0))</f>
        <v>0</v>
      </c>
      <c r="CY201" s="497">
        <f t="shared" si="101"/>
        <v>0</v>
      </c>
      <c r="CZ201" s="497">
        <f t="shared" si="88"/>
        <v>1800000</v>
      </c>
      <c r="DA201" s="493"/>
      <c r="DB201" s="493"/>
      <c r="DD201" s="492">
        <v>197</v>
      </c>
      <c r="DE201" s="492">
        <v>17</v>
      </c>
      <c r="DF201" s="497">
        <f>IF(('Comparison Calculator'!$E$11-DE201)&gt;=0,0,IFERROR(-PPMT($DJ$66/12,(DD201-60),($F$1-5)*12,$DJ$65),0))</f>
        <v>0</v>
      </c>
      <c r="DG201" s="497">
        <f>IF(('Comparison Calculator'!$E$11-DE201)&gt;=0,$C$1*$DJ$66/12,IFERROR(-IPMT($DJ$66/12,(DD201-60),($F$1-5)*12,$DJ$65,0),0))</f>
        <v>0</v>
      </c>
      <c r="DH201" s="497">
        <f t="shared" si="102"/>
        <v>0</v>
      </c>
      <c r="DI201" s="497">
        <f t="shared" si="89"/>
        <v>1800000</v>
      </c>
      <c r="DJ201" s="493"/>
      <c r="DK201" s="493"/>
    </row>
    <row r="202" spans="1:115">
      <c r="A202" s="492">
        <v>198</v>
      </c>
      <c r="B202" s="492">
        <v>17</v>
      </c>
      <c r="C202" s="497">
        <f>IF(('Comparison Calculator'!$E$11-B202)&gt;=0,0,IFERROR(-PPMT($G$66/12,(A202-60),($F$1-5)*12,$G$65),0))</f>
        <v>0</v>
      </c>
      <c r="D202" s="497">
        <f>IF(('Comparison Calculator'!$E$11-B202)&gt;=0,$C$1*$G$66/12,IFERROR(-IPMT($G$66/12,(A202-60),($F$1-5)*12,$G$65,0),0))</f>
        <v>0</v>
      </c>
      <c r="E202" s="497">
        <f t="shared" si="90"/>
        <v>0</v>
      </c>
      <c r="F202" s="497">
        <f t="shared" si="103"/>
        <v>1800000</v>
      </c>
      <c r="G202" s="493"/>
      <c r="H202" s="493"/>
      <c r="I202" s="489"/>
      <c r="J202" s="492">
        <v>198</v>
      </c>
      <c r="K202" s="492">
        <v>17</v>
      </c>
      <c r="L202" s="497">
        <f>IF(('Comparison Calculator'!$E$11-K202)&gt;=0,0,IFERROR(-PPMT($P$66/12,(J202-60),($F$1-5)*12,$P$65),0))</f>
        <v>0</v>
      </c>
      <c r="M202" s="497">
        <f>IF(('Comparison Calculator'!$E$11-K202)&gt;=0,$C$1*$P$66/12,IFERROR(-IPMT($P$66/12,(J202-60),($F$1-5)*12,$P$65,0),0))</f>
        <v>0</v>
      </c>
      <c r="N202" s="497">
        <f t="shared" si="91"/>
        <v>0</v>
      </c>
      <c r="O202" s="497">
        <f t="shared" si="78"/>
        <v>1800000</v>
      </c>
      <c r="P202" s="493"/>
      <c r="Q202" s="493"/>
      <c r="S202" s="492">
        <v>198</v>
      </c>
      <c r="T202" s="492">
        <v>17</v>
      </c>
      <c r="U202" s="497">
        <f>IF(('Comparison Calculator'!$E$11-T202)&gt;=0,0,IFERROR(-PPMT($Y$66/12,(S202-60),($F$1-5)*12,$Y$65),0))</f>
        <v>0</v>
      </c>
      <c r="V202" s="497">
        <f>IF(('Comparison Calculator'!$E$11-T202)&gt;=0,$C$1*$Y$66/12,IFERROR(-IPMT($Y$66/12,(S202-60),($F$1-5)*12,$Y$65,0),0))</f>
        <v>0</v>
      </c>
      <c r="W202" s="497">
        <f t="shared" si="92"/>
        <v>0</v>
      </c>
      <c r="X202" s="497">
        <f t="shared" si="79"/>
        <v>1800000</v>
      </c>
      <c r="Y202" s="493"/>
      <c r="Z202" s="493"/>
      <c r="AB202" s="492">
        <v>198</v>
      </c>
      <c r="AC202" s="492">
        <v>17</v>
      </c>
      <c r="AD202" s="497">
        <f>IF(('Comparison Calculator'!$E$11-AC202)&gt;=0,0,IFERROR(-PPMT($AH$66/12,(AB202-60),($F$1-5)*12,$AH$65),0))</f>
        <v>0</v>
      </c>
      <c r="AE202" s="497">
        <f>IF(('Comparison Calculator'!$E$11-AC202)&gt;=0,$C$1*$AH$66/12,IFERROR(-IPMT($AH$66/12,(AB202-60),($F$1-5)*12,$AH$65,0),0))</f>
        <v>0</v>
      </c>
      <c r="AF202" s="497">
        <f t="shared" si="93"/>
        <v>0</v>
      </c>
      <c r="AG202" s="497">
        <f t="shared" si="80"/>
        <v>1800000</v>
      </c>
      <c r="AH202" s="493"/>
      <c r="AI202" s="493"/>
      <c r="AK202" s="492">
        <v>198</v>
      </c>
      <c r="AL202" s="492">
        <v>17</v>
      </c>
      <c r="AM202" s="497">
        <f>IF(('Comparison Calculator'!$E$11-AL202)&gt;=0,0,IFERROR(-PPMT($AQ$66/12,(AK202-60),($F$1-5)*12,$AQ$65),0))</f>
        <v>0</v>
      </c>
      <c r="AN202" s="497">
        <f>IF(('Comparison Calculator'!$E$11-AL202)&gt;=0,$C$1*$AQ$66/12,IFERROR(-IPMT($AQ$66/12,(AK202-60),($F$1-5)*12,$AQ$65,0),0))</f>
        <v>0</v>
      </c>
      <c r="AO202" s="497">
        <f t="shared" si="94"/>
        <v>0</v>
      </c>
      <c r="AP202" s="497">
        <f t="shared" si="81"/>
        <v>1800000</v>
      </c>
      <c r="AQ202" s="493"/>
      <c r="AR202" s="493"/>
      <c r="AT202" s="492">
        <v>198</v>
      </c>
      <c r="AU202" s="492">
        <v>17</v>
      </c>
      <c r="AV202" s="497">
        <f>IF(('Comparison Calculator'!$E$11-AU202)&gt;=0,0,IFERROR(-PPMT($AZ$66/12,(AT202-60),($F$1-5)*12,$AZ$65),0))</f>
        <v>0</v>
      </c>
      <c r="AW202" s="497">
        <f>IF(('Comparison Calculator'!$E$11-AU202)&gt;=0,$C$1*$AZ$66/12,IFERROR(-IPMT($AZ$66/12,(AT202-60),($F$1-5)*12,$AZ$65,0),0))</f>
        <v>0</v>
      </c>
      <c r="AX202" s="497">
        <f t="shared" si="95"/>
        <v>0</v>
      </c>
      <c r="AY202" s="497">
        <f t="shared" si="82"/>
        <v>1800000</v>
      </c>
      <c r="AZ202" s="493"/>
      <c r="BA202" s="493"/>
      <c r="BC202" s="492">
        <v>198</v>
      </c>
      <c r="BD202" s="492">
        <v>17</v>
      </c>
      <c r="BE202" s="497">
        <f>IF(('Comparison Calculator'!$E$11-BD202)&gt;=0,0,IFERROR(-PPMT($BI$66/12,(BC202-60),($F$1-5)*12,$BI$65),0))</f>
        <v>0</v>
      </c>
      <c r="BF202" s="497">
        <f>IF(('Comparison Calculator'!$E$11-BD202)&gt;=0,$C$1*$BI$66/12,IFERROR(-IPMT($BI$66/12,(BC202-60),($F$1-5)*12,$BI$65,0),0))</f>
        <v>0</v>
      </c>
      <c r="BG202" s="497">
        <f t="shared" si="96"/>
        <v>0</v>
      </c>
      <c r="BH202" s="497">
        <f t="shared" si="83"/>
        <v>1800000</v>
      </c>
      <c r="BI202" s="493"/>
      <c r="BJ202" s="493"/>
      <c r="BK202" s="492">
        <v>198</v>
      </c>
      <c r="BL202" s="492">
        <v>17</v>
      </c>
      <c r="BM202" s="497">
        <f>IF(('Comparison Calculator'!$E$11-BL202)&gt;=0,0,IFERROR(-PPMT($BQ$66/12,(BK202-60),($F$1-5)*12,$BQ$65),0))</f>
        <v>0</v>
      </c>
      <c r="BN202" s="497">
        <f>IF(('Comparison Calculator'!$E$11-BL202)&gt;=0,$C$1*$BQ$66/12,IFERROR(-IPMT($BQ$66/12,(BK202-60),($F$1-5)*12,$BQ$65,0),0))</f>
        <v>0</v>
      </c>
      <c r="BO202" s="497">
        <f t="shared" si="97"/>
        <v>0</v>
      </c>
      <c r="BP202" s="497">
        <f t="shared" si="84"/>
        <v>1800000</v>
      </c>
      <c r="BQ202" s="493"/>
      <c r="BR202" s="493"/>
      <c r="BT202" s="492">
        <v>198</v>
      </c>
      <c r="BU202" s="492">
        <v>17</v>
      </c>
      <c r="BV202" s="497">
        <f>IF(('Comparison Calculator'!$E$11-BU202)&gt;=0,0,IFERROR(-PPMT($BZ$66/12,(BT202-60),($F$1-5)*12,$BZ$65),0))</f>
        <v>0</v>
      </c>
      <c r="BW202" s="497">
        <f>IF(('Comparison Calculator'!$E$11-BU202)&gt;=0,$C$1*$BZ$66/12,IFERROR(-IPMT($BZ$66/12,(BT202-60),($F$1-5)*12,$BZ$65,0),0))</f>
        <v>0</v>
      </c>
      <c r="BX202" s="497">
        <f t="shared" si="98"/>
        <v>0</v>
      </c>
      <c r="BY202" s="497">
        <f t="shared" si="85"/>
        <v>1800000</v>
      </c>
      <c r="BZ202" s="493"/>
      <c r="CA202" s="493"/>
      <c r="CC202" s="492">
        <v>198</v>
      </c>
      <c r="CD202" s="492">
        <v>17</v>
      </c>
      <c r="CE202" s="497">
        <f>IF(('Comparison Calculator'!$E$11-CD202)&gt;=0,0,IFERROR(-PPMT($CI$66/12,(CC202-60),($F$1-5)*12,$CI$65),0))</f>
        <v>0</v>
      </c>
      <c r="CF202" s="497">
        <f>IF(('Comparison Calculator'!$E$11-CD202)&gt;=0,$C$1*$CI$66/12,IFERROR(-IPMT($CI$66/12,(CC202-60),($F$1-5)*12,$CI$65,0),0))</f>
        <v>0</v>
      </c>
      <c r="CG202" s="497">
        <f t="shared" si="99"/>
        <v>0</v>
      </c>
      <c r="CH202" s="497">
        <f t="shared" si="86"/>
        <v>1800000</v>
      </c>
      <c r="CI202" s="493"/>
      <c r="CJ202" s="493"/>
      <c r="CL202" s="492">
        <v>198</v>
      </c>
      <c r="CM202" s="492">
        <v>17</v>
      </c>
      <c r="CN202" s="497">
        <f>IF(('Comparison Calculator'!$E$11-CM202)&gt;=0,0,IFERROR(-PPMT($CR$66/12,(CL202-60),($F$1-5)*12,$CR$65),0))</f>
        <v>0</v>
      </c>
      <c r="CO202" s="497">
        <f>IF(('Comparison Calculator'!$E$11-CM202)&gt;=0,$C$1*$CI$66/12,IFERROR(-IPMT($CI$66/12,(CL202-60),($F$1-5)*12,$CI$65,0),0))</f>
        <v>0</v>
      </c>
      <c r="CP202" s="497">
        <f t="shared" si="100"/>
        <v>0</v>
      </c>
      <c r="CQ202" s="497">
        <f t="shared" si="87"/>
        <v>1800000</v>
      </c>
      <c r="CR202" s="493"/>
      <c r="CS202" s="493"/>
      <c r="CU202" s="492">
        <v>198</v>
      </c>
      <c r="CV202" s="492">
        <v>17</v>
      </c>
      <c r="CW202" s="497">
        <f>IF(('Comparison Calculator'!$E$11-CV202)&gt;=0,0,IFERROR(-PPMT($DA$66/12,(CU202-60),($F$1-5)*12,$DA$65),0))</f>
        <v>0</v>
      </c>
      <c r="CX202" s="497">
        <f>IF(('Comparison Calculator'!$E$11-CV202)&gt;=0,$C$1*$DA$66/12,IFERROR(-IPMT($DA$66/12,(CU202-60),($F$1-5)*12,$DA$65,0),0))</f>
        <v>0</v>
      </c>
      <c r="CY202" s="497">
        <f t="shared" si="101"/>
        <v>0</v>
      </c>
      <c r="CZ202" s="497">
        <f t="shared" si="88"/>
        <v>1800000</v>
      </c>
      <c r="DA202" s="493"/>
      <c r="DB202" s="493"/>
      <c r="DD202" s="492">
        <v>198</v>
      </c>
      <c r="DE202" s="492">
        <v>17</v>
      </c>
      <c r="DF202" s="497">
        <f>IF(('Comparison Calculator'!$E$11-DE202)&gt;=0,0,IFERROR(-PPMT($DJ$66/12,(DD202-60),($F$1-5)*12,$DJ$65),0))</f>
        <v>0</v>
      </c>
      <c r="DG202" s="497">
        <f>IF(('Comparison Calculator'!$E$11-DE202)&gt;=0,$C$1*$DJ$66/12,IFERROR(-IPMT($DJ$66/12,(DD202-60),($F$1-5)*12,$DJ$65,0),0))</f>
        <v>0</v>
      </c>
      <c r="DH202" s="497">
        <f t="shared" si="102"/>
        <v>0</v>
      </c>
      <c r="DI202" s="497">
        <f t="shared" si="89"/>
        <v>1800000</v>
      </c>
      <c r="DJ202" s="493"/>
      <c r="DK202" s="493"/>
    </row>
    <row r="203" spans="1:115">
      <c r="A203" s="492">
        <v>199</v>
      </c>
      <c r="B203" s="492">
        <v>17</v>
      </c>
      <c r="C203" s="497">
        <f>IF(('Comparison Calculator'!$E$11-B203)&gt;=0,0,IFERROR(-PPMT($G$66/12,(A203-60),($F$1-5)*12,$G$65),0))</f>
        <v>0</v>
      </c>
      <c r="D203" s="497">
        <f>IF(('Comparison Calculator'!$E$11-B203)&gt;=0,$C$1*$G$66/12,IFERROR(-IPMT($G$66/12,(A203-60),($F$1-5)*12,$G$65,0),0))</f>
        <v>0</v>
      </c>
      <c r="E203" s="497">
        <f t="shared" si="90"/>
        <v>0</v>
      </c>
      <c r="F203" s="497">
        <f t="shared" si="103"/>
        <v>1800000</v>
      </c>
      <c r="G203" s="493"/>
      <c r="H203" s="493"/>
      <c r="I203" s="489"/>
      <c r="J203" s="492">
        <v>199</v>
      </c>
      <c r="K203" s="492">
        <v>17</v>
      </c>
      <c r="L203" s="497">
        <f>IF(('Comparison Calculator'!$E$11-K203)&gt;=0,0,IFERROR(-PPMT($P$66/12,(J203-60),($F$1-5)*12,$P$65),0))</f>
        <v>0</v>
      </c>
      <c r="M203" s="497">
        <f>IF(('Comparison Calculator'!$E$11-K203)&gt;=0,$C$1*$P$66/12,IFERROR(-IPMT($P$66/12,(J203-60),($F$1-5)*12,$P$65,0),0))</f>
        <v>0</v>
      </c>
      <c r="N203" s="497">
        <f t="shared" si="91"/>
        <v>0</v>
      </c>
      <c r="O203" s="497">
        <f t="shared" si="78"/>
        <v>1800000</v>
      </c>
      <c r="P203" s="493"/>
      <c r="Q203" s="493"/>
      <c r="S203" s="492">
        <v>199</v>
      </c>
      <c r="T203" s="492">
        <v>17</v>
      </c>
      <c r="U203" s="497">
        <f>IF(('Comparison Calculator'!$E$11-T203)&gt;=0,0,IFERROR(-PPMT($Y$66/12,(S203-60),($F$1-5)*12,$Y$65),0))</f>
        <v>0</v>
      </c>
      <c r="V203" s="497">
        <f>IF(('Comparison Calculator'!$E$11-T203)&gt;=0,$C$1*$Y$66/12,IFERROR(-IPMT($Y$66/12,(S203-60),($F$1-5)*12,$Y$65,0),0))</f>
        <v>0</v>
      </c>
      <c r="W203" s="497">
        <f t="shared" si="92"/>
        <v>0</v>
      </c>
      <c r="X203" s="497">
        <f t="shared" si="79"/>
        <v>1800000</v>
      </c>
      <c r="Y203" s="493"/>
      <c r="Z203" s="493"/>
      <c r="AB203" s="492">
        <v>199</v>
      </c>
      <c r="AC203" s="492">
        <v>17</v>
      </c>
      <c r="AD203" s="497">
        <f>IF(('Comparison Calculator'!$E$11-AC203)&gt;=0,0,IFERROR(-PPMT($AH$66/12,(AB203-60),($F$1-5)*12,$AH$65),0))</f>
        <v>0</v>
      </c>
      <c r="AE203" s="497">
        <f>IF(('Comparison Calculator'!$E$11-AC203)&gt;=0,$C$1*$AH$66/12,IFERROR(-IPMT($AH$66/12,(AB203-60),($F$1-5)*12,$AH$65,0),0))</f>
        <v>0</v>
      </c>
      <c r="AF203" s="497">
        <f t="shared" si="93"/>
        <v>0</v>
      </c>
      <c r="AG203" s="497">
        <f t="shared" si="80"/>
        <v>1800000</v>
      </c>
      <c r="AH203" s="493"/>
      <c r="AI203" s="493"/>
      <c r="AK203" s="492">
        <v>199</v>
      </c>
      <c r="AL203" s="492">
        <v>17</v>
      </c>
      <c r="AM203" s="497">
        <f>IF(('Comparison Calculator'!$E$11-AL203)&gt;=0,0,IFERROR(-PPMT($AQ$66/12,(AK203-60),($F$1-5)*12,$AQ$65),0))</f>
        <v>0</v>
      </c>
      <c r="AN203" s="497">
        <f>IF(('Comparison Calculator'!$E$11-AL203)&gt;=0,$C$1*$AQ$66/12,IFERROR(-IPMT($AQ$66/12,(AK203-60),($F$1-5)*12,$AQ$65,0),0))</f>
        <v>0</v>
      </c>
      <c r="AO203" s="497">
        <f t="shared" si="94"/>
        <v>0</v>
      </c>
      <c r="AP203" s="497">
        <f t="shared" si="81"/>
        <v>1800000</v>
      </c>
      <c r="AQ203" s="493"/>
      <c r="AR203" s="493"/>
      <c r="AT203" s="492">
        <v>199</v>
      </c>
      <c r="AU203" s="492">
        <v>17</v>
      </c>
      <c r="AV203" s="497">
        <f>IF(('Comparison Calculator'!$E$11-AU203)&gt;=0,0,IFERROR(-PPMT($AZ$66/12,(AT203-60),($F$1-5)*12,$AZ$65),0))</f>
        <v>0</v>
      </c>
      <c r="AW203" s="497">
        <f>IF(('Comparison Calculator'!$E$11-AU203)&gt;=0,$C$1*$AZ$66/12,IFERROR(-IPMT($AZ$66/12,(AT203-60),($F$1-5)*12,$AZ$65,0),0))</f>
        <v>0</v>
      </c>
      <c r="AX203" s="497">
        <f t="shared" si="95"/>
        <v>0</v>
      </c>
      <c r="AY203" s="497">
        <f t="shared" si="82"/>
        <v>1800000</v>
      </c>
      <c r="AZ203" s="493"/>
      <c r="BA203" s="493"/>
      <c r="BC203" s="492">
        <v>199</v>
      </c>
      <c r="BD203" s="492">
        <v>17</v>
      </c>
      <c r="BE203" s="497">
        <f>IF(('Comparison Calculator'!$E$11-BD203)&gt;=0,0,IFERROR(-PPMT($BI$66/12,(BC203-60),($F$1-5)*12,$BI$65),0))</f>
        <v>0</v>
      </c>
      <c r="BF203" s="497">
        <f>IF(('Comparison Calculator'!$E$11-BD203)&gt;=0,$C$1*$BI$66/12,IFERROR(-IPMT($BI$66/12,(BC203-60),($F$1-5)*12,$BI$65,0),0))</f>
        <v>0</v>
      </c>
      <c r="BG203" s="497">
        <f t="shared" si="96"/>
        <v>0</v>
      </c>
      <c r="BH203" s="497">
        <f t="shared" si="83"/>
        <v>1800000</v>
      </c>
      <c r="BI203" s="493"/>
      <c r="BJ203" s="493"/>
      <c r="BK203" s="492">
        <v>199</v>
      </c>
      <c r="BL203" s="492">
        <v>17</v>
      </c>
      <c r="BM203" s="497">
        <f>IF(('Comparison Calculator'!$E$11-BL203)&gt;=0,0,IFERROR(-PPMT($BQ$66/12,(BK203-60),($F$1-5)*12,$BQ$65),0))</f>
        <v>0</v>
      </c>
      <c r="BN203" s="497">
        <f>IF(('Comparison Calculator'!$E$11-BL203)&gt;=0,$C$1*$BQ$66/12,IFERROR(-IPMT($BQ$66/12,(BK203-60),($F$1-5)*12,$BQ$65,0),0))</f>
        <v>0</v>
      </c>
      <c r="BO203" s="497">
        <f t="shared" si="97"/>
        <v>0</v>
      </c>
      <c r="BP203" s="497">
        <f t="shared" si="84"/>
        <v>1800000</v>
      </c>
      <c r="BQ203" s="493"/>
      <c r="BR203" s="493"/>
      <c r="BT203" s="492">
        <v>199</v>
      </c>
      <c r="BU203" s="492">
        <v>17</v>
      </c>
      <c r="BV203" s="497">
        <f>IF(('Comparison Calculator'!$E$11-BU203)&gt;=0,0,IFERROR(-PPMT($BZ$66/12,(BT203-60),($F$1-5)*12,$BZ$65),0))</f>
        <v>0</v>
      </c>
      <c r="BW203" s="497">
        <f>IF(('Comparison Calculator'!$E$11-BU203)&gt;=0,$C$1*$BZ$66/12,IFERROR(-IPMT($BZ$66/12,(BT203-60),($F$1-5)*12,$BZ$65,0),0))</f>
        <v>0</v>
      </c>
      <c r="BX203" s="497">
        <f t="shared" si="98"/>
        <v>0</v>
      </c>
      <c r="BY203" s="497">
        <f t="shared" si="85"/>
        <v>1800000</v>
      </c>
      <c r="BZ203" s="493"/>
      <c r="CA203" s="493"/>
      <c r="CC203" s="492">
        <v>199</v>
      </c>
      <c r="CD203" s="492">
        <v>17</v>
      </c>
      <c r="CE203" s="497">
        <f>IF(('Comparison Calculator'!$E$11-CD203)&gt;=0,0,IFERROR(-PPMT($CI$66/12,(CC203-60),($F$1-5)*12,$CI$65),0))</f>
        <v>0</v>
      </c>
      <c r="CF203" s="497">
        <f>IF(('Comparison Calculator'!$E$11-CD203)&gt;=0,$C$1*$CI$66/12,IFERROR(-IPMT($CI$66/12,(CC203-60),($F$1-5)*12,$CI$65,0),0))</f>
        <v>0</v>
      </c>
      <c r="CG203" s="497">
        <f t="shared" si="99"/>
        <v>0</v>
      </c>
      <c r="CH203" s="497">
        <f t="shared" si="86"/>
        <v>1800000</v>
      </c>
      <c r="CI203" s="493"/>
      <c r="CJ203" s="493"/>
      <c r="CL203" s="492">
        <v>199</v>
      </c>
      <c r="CM203" s="492">
        <v>17</v>
      </c>
      <c r="CN203" s="497">
        <f>IF(('Comparison Calculator'!$E$11-CM203)&gt;=0,0,IFERROR(-PPMT($CR$66/12,(CL203-60),($F$1-5)*12,$CR$65),0))</f>
        <v>0</v>
      </c>
      <c r="CO203" s="497">
        <f>IF(('Comparison Calculator'!$E$11-CM203)&gt;=0,$C$1*$CI$66/12,IFERROR(-IPMT($CI$66/12,(CL203-60),($F$1-5)*12,$CI$65,0),0))</f>
        <v>0</v>
      </c>
      <c r="CP203" s="497">
        <f t="shared" si="100"/>
        <v>0</v>
      </c>
      <c r="CQ203" s="497">
        <f t="shared" si="87"/>
        <v>1800000</v>
      </c>
      <c r="CR203" s="493"/>
      <c r="CS203" s="493"/>
      <c r="CU203" s="492">
        <v>199</v>
      </c>
      <c r="CV203" s="492">
        <v>17</v>
      </c>
      <c r="CW203" s="497">
        <f>IF(('Comparison Calculator'!$E$11-CV203)&gt;=0,0,IFERROR(-PPMT($DA$66/12,(CU203-60),($F$1-5)*12,$DA$65),0))</f>
        <v>0</v>
      </c>
      <c r="CX203" s="497">
        <f>IF(('Comparison Calculator'!$E$11-CV203)&gt;=0,$C$1*$DA$66/12,IFERROR(-IPMT($DA$66/12,(CU203-60),($F$1-5)*12,$DA$65,0),0))</f>
        <v>0</v>
      </c>
      <c r="CY203" s="497">
        <f t="shared" si="101"/>
        <v>0</v>
      </c>
      <c r="CZ203" s="497">
        <f t="shared" si="88"/>
        <v>1800000</v>
      </c>
      <c r="DA203" s="493"/>
      <c r="DB203" s="493"/>
      <c r="DD203" s="492">
        <v>199</v>
      </c>
      <c r="DE203" s="492">
        <v>17</v>
      </c>
      <c r="DF203" s="497">
        <f>IF(('Comparison Calculator'!$E$11-DE203)&gt;=0,0,IFERROR(-PPMT($DJ$66/12,(DD203-60),($F$1-5)*12,$DJ$65),0))</f>
        <v>0</v>
      </c>
      <c r="DG203" s="497">
        <f>IF(('Comparison Calculator'!$E$11-DE203)&gt;=0,$C$1*$DJ$66/12,IFERROR(-IPMT($DJ$66/12,(DD203-60),($F$1-5)*12,$DJ$65,0),0))</f>
        <v>0</v>
      </c>
      <c r="DH203" s="497">
        <f t="shared" si="102"/>
        <v>0</v>
      </c>
      <c r="DI203" s="497">
        <f t="shared" si="89"/>
        <v>1800000</v>
      </c>
      <c r="DJ203" s="493"/>
      <c r="DK203" s="493"/>
    </row>
    <row r="204" spans="1:115">
      <c r="A204" s="492">
        <v>200</v>
      </c>
      <c r="B204" s="492">
        <v>17</v>
      </c>
      <c r="C204" s="497">
        <f>IF(('Comparison Calculator'!$E$11-B204)&gt;=0,0,IFERROR(-PPMT($G$66/12,(A204-60),($F$1-5)*12,$G$65),0))</f>
        <v>0</v>
      </c>
      <c r="D204" s="497">
        <f>IF(('Comparison Calculator'!$E$11-B204)&gt;=0,$C$1*$G$66/12,IFERROR(-IPMT($G$66/12,(A204-60),($F$1-5)*12,$G$65,0),0))</f>
        <v>0</v>
      </c>
      <c r="E204" s="497">
        <f t="shared" si="90"/>
        <v>0</v>
      </c>
      <c r="F204" s="497">
        <f t="shared" si="103"/>
        <v>1800000</v>
      </c>
      <c r="G204" s="493"/>
      <c r="H204" s="493"/>
      <c r="I204" s="489"/>
      <c r="J204" s="492">
        <v>200</v>
      </c>
      <c r="K204" s="492">
        <v>17</v>
      </c>
      <c r="L204" s="497">
        <f>IF(('Comparison Calculator'!$E$11-K204)&gt;=0,0,IFERROR(-PPMT($P$66/12,(J204-60),($F$1-5)*12,$P$65),0))</f>
        <v>0</v>
      </c>
      <c r="M204" s="497">
        <f>IF(('Comparison Calculator'!$E$11-K204)&gt;=0,$C$1*$P$66/12,IFERROR(-IPMT($P$66/12,(J204-60),($F$1-5)*12,$P$65,0),0))</f>
        <v>0</v>
      </c>
      <c r="N204" s="497">
        <f t="shared" si="91"/>
        <v>0</v>
      </c>
      <c r="O204" s="497">
        <f t="shared" si="78"/>
        <v>1800000</v>
      </c>
      <c r="P204" s="493"/>
      <c r="Q204" s="493"/>
      <c r="S204" s="492">
        <v>200</v>
      </c>
      <c r="T204" s="492">
        <v>17</v>
      </c>
      <c r="U204" s="497">
        <f>IF(('Comparison Calculator'!$E$11-T204)&gt;=0,0,IFERROR(-PPMT($Y$66/12,(S204-60),($F$1-5)*12,$Y$65),0))</f>
        <v>0</v>
      </c>
      <c r="V204" s="497">
        <f>IF(('Comparison Calculator'!$E$11-T204)&gt;=0,$C$1*$Y$66/12,IFERROR(-IPMT($Y$66/12,(S204-60),($F$1-5)*12,$Y$65,0),0))</f>
        <v>0</v>
      </c>
      <c r="W204" s="497">
        <f t="shared" si="92"/>
        <v>0</v>
      </c>
      <c r="X204" s="497">
        <f t="shared" si="79"/>
        <v>1800000</v>
      </c>
      <c r="Y204" s="493"/>
      <c r="Z204" s="493"/>
      <c r="AB204" s="492">
        <v>200</v>
      </c>
      <c r="AC204" s="492">
        <v>17</v>
      </c>
      <c r="AD204" s="497">
        <f>IF(('Comparison Calculator'!$E$11-AC204)&gt;=0,0,IFERROR(-PPMT($AH$66/12,(AB204-60),($F$1-5)*12,$AH$65),0))</f>
        <v>0</v>
      </c>
      <c r="AE204" s="497">
        <f>IF(('Comparison Calculator'!$E$11-AC204)&gt;=0,$C$1*$AH$66/12,IFERROR(-IPMT($AH$66/12,(AB204-60),($F$1-5)*12,$AH$65,0),0))</f>
        <v>0</v>
      </c>
      <c r="AF204" s="497">
        <f t="shared" si="93"/>
        <v>0</v>
      </c>
      <c r="AG204" s="497">
        <f t="shared" si="80"/>
        <v>1800000</v>
      </c>
      <c r="AH204" s="493"/>
      <c r="AI204" s="493"/>
      <c r="AK204" s="492">
        <v>200</v>
      </c>
      <c r="AL204" s="492">
        <v>17</v>
      </c>
      <c r="AM204" s="497">
        <f>IF(('Comparison Calculator'!$E$11-AL204)&gt;=0,0,IFERROR(-PPMT($AQ$66/12,(AK204-60),($F$1-5)*12,$AQ$65),0))</f>
        <v>0</v>
      </c>
      <c r="AN204" s="497">
        <f>IF(('Comparison Calculator'!$E$11-AL204)&gt;=0,$C$1*$AQ$66/12,IFERROR(-IPMT($AQ$66/12,(AK204-60),($F$1-5)*12,$AQ$65,0),0))</f>
        <v>0</v>
      </c>
      <c r="AO204" s="497">
        <f t="shared" si="94"/>
        <v>0</v>
      </c>
      <c r="AP204" s="497">
        <f t="shared" si="81"/>
        <v>1800000</v>
      </c>
      <c r="AQ204" s="493"/>
      <c r="AR204" s="493"/>
      <c r="AT204" s="492">
        <v>200</v>
      </c>
      <c r="AU204" s="492">
        <v>17</v>
      </c>
      <c r="AV204" s="497">
        <f>IF(('Comparison Calculator'!$E$11-AU204)&gt;=0,0,IFERROR(-PPMT($AZ$66/12,(AT204-60),($F$1-5)*12,$AZ$65),0))</f>
        <v>0</v>
      </c>
      <c r="AW204" s="497">
        <f>IF(('Comparison Calculator'!$E$11-AU204)&gt;=0,$C$1*$AZ$66/12,IFERROR(-IPMT($AZ$66/12,(AT204-60),($F$1-5)*12,$AZ$65,0),0))</f>
        <v>0</v>
      </c>
      <c r="AX204" s="497">
        <f t="shared" si="95"/>
        <v>0</v>
      </c>
      <c r="AY204" s="497">
        <f t="shared" si="82"/>
        <v>1800000</v>
      </c>
      <c r="AZ204" s="493"/>
      <c r="BA204" s="493"/>
      <c r="BC204" s="492">
        <v>200</v>
      </c>
      <c r="BD204" s="492">
        <v>17</v>
      </c>
      <c r="BE204" s="497">
        <f>IF(('Comparison Calculator'!$E$11-BD204)&gt;=0,0,IFERROR(-PPMT($BI$66/12,(BC204-60),($F$1-5)*12,$BI$65),0))</f>
        <v>0</v>
      </c>
      <c r="BF204" s="497">
        <f>IF(('Comparison Calculator'!$E$11-BD204)&gt;=0,$C$1*$BI$66/12,IFERROR(-IPMT($BI$66/12,(BC204-60),($F$1-5)*12,$BI$65,0),0))</f>
        <v>0</v>
      </c>
      <c r="BG204" s="497">
        <f t="shared" si="96"/>
        <v>0</v>
      </c>
      <c r="BH204" s="497">
        <f t="shared" si="83"/>
        <v>1800000</v>
      </c>
      <c r="BI204" s="493"/>
      <c r="BJ204" s="493"/>
      <c r="BK204" s="492">
        <v>200</v>
      </c>
      <c r="BL204" s="492">
        <v>17</v>
      </c>
      <c r="BM204" s="497">
        <f>IF(('Comparison Calculator'!$E$11-BL204)&gt;=0,0,IFERROR(-PPMT($BQ$66/12,(BK204-60),($F$1-5)*12,$BQ$65),0))</f>
        <v>0</v>
      </c>
      <c r="BN204" s="497">
        <f>IF(('Comparison Calculator'!$E$11-BL204)&gt;=0,$C$1*$BQ$66/12,IFERROR(-IPMT($BQ$66/12,(BK204-60),($F$1-5)*12,$BQ$65,0),0))</f>
        <v>0</v>
      </c>
      <c r="BO204" s="497">
        <f t="shared" si="97"/>
        <v>0</v>
      </c>
      <c r="BP204" s="497">
        <f t="shared" si="84"/>
        <v>1800000</v>
      </c>
      <c r="BQ204" s="493"/>
      <c r="BR204" s="493"/>
      <c r="BT204" s="492">
        <v>200</v>
      </c>
      <c r="BU204" s="492">
        <v>17</v>
      </c>
      <c r="BV204" s="497">
        <f>IF(('Comparison Calculator'!$E$11-BU204)&gt;=0,0,IFERROR(-PPMT($BZ$66/12,(BT204-60),($F$1-5)*12,$BZ$65),0))</f>
        <v>0</v>
      </c>
      <c r="BW204" s="497">
        <f>IF(('Comparison Calculator'!$E$11-BU204)&gt;=0,$C$1*$BZ$66/12,IFERROR(-IPMT($BZ$66/12,(BT204-60),($F$1-5)*12,$BZ$65,0),0))</f>
        <v>0</v>
      </c>
      <c r="BX204" s="497">
        <f t="shared" si="98"/>
        <v>0</v>
      </c>
      <c r="BY204" s="497">
        <f t="shared" si="85"/>
        <v>1800000</v>
      </c>
      <c r="BZ204" s="493"/>
      <c r="CA204" s="493"/>
      <c r="CC204" s="492">
        <v>200</v>
      </c>
      <c r="CD204" s="492">
        <v>17</v>
      </c>
      <c r="CE204" s="497">
        <f>IF(('Comparison Calculator'!$E$11-CD204)&gt;=0,0,IFERROR(-PPMT($CI$66/12,(CC204-60),($F$1-5)*12,$CI$65),0))</f>
        <v>0</v>
      </c>
      <c r="CF204" s="497">
        <f>IF(('Comparison Calculator'!$E$11-CD204)&gt;=0,$C$1*$CI$66/12,IFERROR(-IPMT($CI$66/12,(CC204-60),($F$1-5)*12,$CI$65,0),0))</f>
        <v>0</v>
      </c>
      <c r="CG204" s="497">
        <f t="shared" si="99"/>
        <v>0</v>
      </c>
      <c r="CH204" s="497">
        <f t="shared" si="86"/>
        <v>1800000</v>
      </c>
      <c r="CI204" s="493"/>
      <c r="CJ204" s="493"/>
      <c r="CL204" s="492">
        <v>200</v>
      </c>
      <c r="CM204" s="492">
        <v>17</v>
      </c>
      <c r="CN204" s="497">
        <f>IF(('Comparison Calculator'!$E$11-CM204)&gt;=0,0,IFERROR(-PPMT($CR$66/12,(CL204-60),($F$1-5)*12,$CR$65),0))</f>
        <v>0</v>
      </c>
      <c r="CO204" s="497">
        <f>IF(('Comparison Calculator'!$E$11-CM204)&gt;=0,$C$1*$CI$66/12,IFERROR(-IPMT($CI$66/12,(CL204-60),($F$1-5)*12,$CI$65,0),0))</f>
        <v>0</v>
      </c>
      <c r="CP204" s="497">
        <f t="shared" si="100"/>
        <v>0</v>
      </c>
      <c r="CQ204" s="497">
        <f t="shared" si="87"/>
        <v>1800000</v>
      </c>
      <c r="CR204" s="493"/>
      <c r="CS204" s="493"/>
      <c r="CU204" s="492">
        <v>200</v>
      </c>
      <c r="CV204" s="492">
        <v>17</v>
      </c>
      <c r="CW204" s="497">
        <f>IF(('Comparison Calculator'!$E$11-CV204)&gt;=0,0,IFERROR(-PPMT($DA$66/12,(CU204-60),($F$1-5)*12,$DA$65),0))</f>
        <v>0</v>
      </c>
      <c r="CX204" s="497">
        <f>IF(('Comparison Calculator'!$E$11-CV204)&gt;=0,$C$1*$DA$66/12,IFERROR(-IPMT($DA$66/12,(CU204-60),($F$1-5)*12,$DA$65,0),0))</f>
        <v>0</v>
      </c>
      <c r="CY204" s="497">
        <f t="shared" si="101"/>
        <v>0</v>
      </c>
      <c r="CZ204" s="497">
        <f t="shared" si="88"/>
        <v>1800000</v>
      </c>
      <c r="DA204" s="493"/>
      <c r="DB204" s="493"/>
      <c r="DD204" s="492">
        <v>200</v>
      </c>
      <c r="DE204" s="492">
        <v>17</v>
      </c>
      <c r="DF204" s="497">
        <f>IF(('Comparison Calculator'!$E$11-DE204)&gt;=0,0,IFERROR(-PPMT($DJ$66/12,(DD204-60),($F$1-5)*12,$DJ$65),0))</f>
        <v>0</v>
      </c>
      <c r="DG204" s="497">
        <f>IF(('Comparison Calculator'!$E$11-DE204)&gt;=0,$C$1*$DJ$66/12,IFERROR(-IPMT($DJ$66/12,(DD204-60),($F$1-5)*12,$DJ$65,0),0))</f>
        <v>0</v>
      </c>
      <c r="DH204" s="497">
        <f t="shared" si="102"/>
        <v>0</v>
      </c>
      <c r="DI204" s="497">
        <f t="shared" si="89"/>
        <v>1800000</v>
      </c>
      <c r="DJ204" s="493"/>
      <c r="DK204" s="493"/>
    </row>
    <row r="205" spans="1:115">
      <c r="A205" s="492">
        <v>201</v>
      </c>
      <c r="B205" s="492">
        <v>17</v>
      </c>
      <c r="C205" s="497">
        <f>IF(('Comparison Calculator'!$E$11-B205)&gt;=0,0,IFERROR(-PPMT($G$66/12,(A205-60),($F$1-5)*12,$G$65),0))</f>
        <v>0</v>
      </c>
      <c r="D205" s="497">
        <f>IF(('Comparison Calculator'!$E$11-B205)&gt;=0,$C$1*$G$66/12,IFERROR(-IPMT($G$66/12,(A205-60),($F$1-5)*12,$G$65,0),0))</f>
        <v>0</v>
      </c>
      <c r="E205" s="497">
        <f t="shared" si="90"/>
        <v>0</v>
      </c>
      <c r="F205" s="497">
        <f t="shared" si="103"/>
        <v>1800000</v>
      </c>
      <c r="G205" s="493"/>
      <c r="H205" s="493"/>
      <c r="I205" s="489"/>
      <c r="J205" s="492">
        <v>201</v>
      </c>
      <c r="K205" s="492">
        <v>17</v>
      </c>
      <c r="L205" s="497">
        <f>IF(('Comparison Calculator'!$E$11-K205)&gt;=0,0,IFERROR(-PPMT($P$66/12,(J205-60),($F$1-5)*12,$P$65),0))</f>
        <v>0</v>
      </c>
      <c r="M205" s="497">
        <f>IF(('Comparison Calculator'!$E$11-K205)&gt;=0,$C$1*$P$66/12,IFERROR(-IPMT($P$66/12,(J205-60),($F$1-5)*12,$P$65,0),0))</f>
        <v>0</v>
      </c>
      <c r="N205" s="497">
        <f t="shared" si="91"/>
        <v>0</v>
      </c>
      <c r="O205" s="497">
        <f t="shared" si="78"/>
        <v>1800000</v>
      </c>
      <c r="P205" s="493"/>
      <c r="Q205" s="493"/>
      <c r="S205" s="492">
        <v>201</v>
      </c>
      <c r="T205" s="492">
        <v>17</v>
      </c>
      <c r="U205" s="497">
        <f>IF(('Comparison Calculator'!$E$11-T205)&gt;=0,0,IFERROR(-PPMT($Y$66/12,(S205-60),($F$1-5)*12,$Y$65),0))</f>
        <v>0</v>
      </c>
      <c r="V205" s="497">
        <f>IF(('Comparison Calculator'!$E$11-T205)&gt;=0,$C$1*$Y$66/12,IFERROR(-IPMT($Y$66/12,(S205-60),($F$1-5)*12,$Y$65,0),0))</f>
        <v>0</v>
      </c>
      <c r="W205" s="497">
        <f t="shared" si="92"/>
        <v>0</v>
      </c>
      <c r="X205" s="497">
        <f t="shared" si="79"/>
        <v>1800000</v>
      </c>
      <c r="Y205" s="493"/>
      <c r="Z205" s="493"/>
      <c r="AB205" s="492">
        <v>201</v>
      </c>
      <c r="AC205" s="492">
        <v>17</v>
      </c>
      <c r="AD205" s="497">
        <f>IF(('Comparison Calculator'!$E$11-AC205)&gt;=0,0,IFERROR(-PPMT($AH$66/12,(AB205-60),($F$1-5)*12,$AH$65),0))</f>
        <v>0</v>
      </c>
      <c r="AE205" s="497">
        <f>IF(('Comparison Calculator'!$E$11-AC205)&gt;=0,$C$1*$AH$66/12,IFERROR(-IPMT($AH$66/12,(AB205-60),($F$1-5)*12,$AH$65,0),0))</f>
        <v>0</v>
      </c>
      <c r="AF205" s="497">
        <f t="shared" si="93"/>
        <v>0</v>
      </c>
      <c r="AG205" s="497">
        <f t="shared" si="80"/>
        <v>1800000</v>
      </c>
      <c r="AH205" s="493"/>
      <c r="AI205" s="493"/>
      <c r="AK205" s="492">
        <v>201</v>
      </c>
      <c r="AL205" s="492">
        <v>17</v>
      </c>
      <c r="AM205" s="497">
        <f>IF(('Comparison Calculator'!$E$11-AL205)&gt;=0,0,IFERROR(-PPMT($AQ$66/12,(AK205-60),($F$1-5)*12,$AQ$65),0))</f>
        <v>0</v>
      </c>
      <c r="AN205" s="497">
        <f>IF(('Comparison Calculator'!$E$11-AL205)&gt;=0,$C$1*$AQ$66/12,IFERROR(-IPMT($AQ$66/12,(AK205-60),($F$1-5)*12,$AQ$65,0),0))</f>
        <v>0</v>
      </c>
      <c r="AO205" s="497">
        <f t="shared" si="94"/>
        <v>0</v>
      </c>
      <c r="AP205" s="497">
        <f t="shared" si="81"/>
        <v>1800000</v>
      </c>
      <c r="AQ205" s="493"/>
      <c r="AR205" s="493"/>
      <c r="AT205" s="492">
        <v>201</v>
      </c>
      <c r="AU205" s="492">
        <v>17</v>
      </c>
      <c r="AV205" s="497">
        <f>IF(('Comparison Calculator'!$E$11-AU205)&gt;=0,0,IFERROR(-PPMT($AZ$66/12,(AT205-60),($F$1-5)*12,$AZ$65),0))</f>
        <v>0</v>
      </c>
      <c r="AW205" s="497">
        <f>IF(('Comparison Calculator'!$E$11-AU205)&gt;=0,$C$1*$AZ$66/12,IFERROR(-IPMT($AZ$66/12,(AT205-60),($F$1-5)*12,$AZ$65,0),0))</f>
        <v>0</v>
      </c>
      <c r="AX205" s="497">
        <f t="shared" si="95"/>
        <v>0</v>
      </c>
      <c r="AY205" s="497">
        <f t="shared" si="82"/>
        <v>1800000</v>
      </c>
      <c r="AZ205" s="493"/>
      <c r="BA205" s="493"/>
      <c r="BC205" s="492">
        <v>201</v>
      </c>
      <c r="BD205" s="492">
        <v>17</v>
      </c>
      <c r="BE205" s="497">
        <f>IF(('Comparison Calculator'!$E$11-BD205)&gt;=0,0,IFERROR(-PPMT($BI$66/12,(BC205-60),($F$1-5)*12,$BI$65),0))</f>
        <v>0</v>
      </c>
      <c r="BF205" s="497">
        <f>IF(('Comparison Calculator'!$E$11-BD205)&gt;=0,$C$1*$BI$66/12,IFERROR(-IPMT($BI$66/12,(BC205-60),($F$1-5)*12,$BI$65,0),0))</f>
        <v>0</v>
      </c>
      <c r="BG205" s="497">
        <f t="shared" si="96"/>
        <v>0</v>
      </c>
      <c r="BH205" s="497">
        <f t="shared" si="83"/>
        <v>1800000</v>
      </c>
      <c r="BI205" s="493"/>
      <c r="BJ205" s="493"/>
      <c r="BK205" s="492">
        <v>201</v>
      </c>
      <c r="BL205" s="492">
        <v>17</v>
      </c>
      <c r="BM205" s="497">
        <f>IF(('Comparison Calculator'!$E$11-BL205)&gt;=0,0,IFERROR(-PPMT($BQ$66/12,(BK205-60),($F$1-5)*12,$BQ$65),0))</f>
        <v>0</v>
      </c>
      <c r="BN205" s="497">
        <f>IF(('Comparison Calculator'!$E$11-BL205)&gt;=0,$C$1*$BQ$66/12,IFERROR(-IPMT($BQ$66/12,(BK205-60),($F$1-5)*12,$BQ$65,0),0))</f>
        <v>0</v>
      </c>
      <c r="BO205" s="497">
        <f t="shared" si="97"/>
        <v>0</v>
      </c>
      <c r="BP205" s="497">
        <f t="shared" si="84"/>
        <v>1800000</v>
      </c>
      <c r="BQ205" s="493"/>
      <c r="BR205" s="493"/>
      <c r="BT205" s="492">
        <v>201</v>
      </c>
      <c r="BU205" s="492">
        <v>17</v>
      </c>
      <c r="BV205" s="497">
        <f>IF(('Comparison Calculator'!$E$11-BU205)&gt;=0,0,IFERROR(-PPMT($BZ$66/12,(BT205-60),($F$1-5)*12,$BZ$65),0))</f>
        <v>0</v>
      </c>
      <c r="BW205" s="497">
        <f>IF(('Comparison Calculator'!$E$11-BU205)&gt;=0,$C$1*$BZ$66/12,IFERROR(-IPMT($BZ$66/12,(BT205-60),($F$1-5)*12,$BZ$65,0),0))</f>
        <v>0</v>
      </c>
      <c r="BX205" s="497">
        <f t="shared" si="98"/>
        <v>0</v>
      </c>
      <c r="BY205" s="497">
        <f t="shared" si="85"/>
        <v>1800000</v>
      </c>
      <c r="BZ205" s="493"/>
      <c r="CA205" s="493"/>
      <c r="CC205" s="492">
        <v>201</v>
      </c>
      <c r="CD205" s="492">
        <v>17</v>
      </c>
      <c r="CE205" s="497">
        <f>IF(('Comparison Calculator'!$E$11-CD205)&gt;=0,0,IFERROR(-PPMT($CI$66/12,(CC205-60),($F$1-5)*12,$CI$65),0))</f>
        <v>0</v>
      </c>
      <c r="CF205" s="497">
        <f>IF(('Comparison Calculator'!$E$11-CD205)&gt;=0,$C$1*$CI$66/12,IFERROR(-IPMT($CI$66/12,(CC205-60),($F$1-5)*12,$CI$65,0),0))</f>
        <v>0</v>
      </c>
      <c r="CG205" s="497">
        <f t="shared" si="99"/>
        <v>0</v>
      </c>
      <c r="CH205" s="497">
        <f t="shared" si="86"/>
        <v>1800000</v>
      </c>
      <c r="CI205" s="493"/>
      <c r="CJ205" s="493"/>
      <c r="CL205" s="492">
        <v>201</v>
      </c>
      <c r="CM205" s="492">
        <v>17</v>
      </c>
      <c r="CN205" s="497">
        <f>IF(('Comparison Calculator'!$E$11-CM205)&gt;=0,0,IFERROR(-PPMT($CR$66/12,(CL205-60),($F$1-5)*12,$CR$65),0))</f>
        <v>0</v>
      </c>
      <c r="CO205" s="497">
        <f>IF(('Comparison Calculator'!$E$11-CM205)&gt;=0,$C$1*$CI$66/12,IFERROR(-IPMT($CI$66/12,(CL205-60),($F$1-5)*12,$CI$65,0),0))</f>
        <v>0</v>
      </c>
      <c r="CP205" s="497">
        <f t="shared" si="100"/>
        <v>0</v>
      </c>
      <c r="CQ205" s="497">
        <f t="shared" si="87"/>
        <v>1800000</v>
      </c>
      <c r="CR205" s="493"/>
      <c r="CS205" s="493"/>
      <c r="CU205" s="492">
        <v>201</v>
      </c>
      <c r="CV205" s="492">
        <v>17</v>
      </c>
      <c r="CW205" s="497">
        <f>IF(('Comparison Calculator'!$E$11-CV205)&gt;=0,0,IFERROR(-PPMT($DA$66/12,(CU205-60),($F$1-5)*12,$DA$65),0))</f>
        <v>0</v>
      </c>
      <c r="CX205" s="497">
        <f>IF(('Comparison Calculator'!$E$11-CV205)&gt;=0,$C$1*$DA$66/12,IFERROR(-IPMT($DA$66/12,(CU205-60),($F$1-5)*12,$DA$65,0),0))</f>
        <v>0</v>
      </c>
      <c r="CY205" s="497">
        <f t="shared" si="101"/>
        <v>0</v>
      </c>
      <c r="CZ205" s="497">
        <f t="shared" si="88"/>
        <v>1800000</v>
      </c>
      <c r="DA205" s="493"/>
      <c r="DB205" s="493"/>
      <c r="DD205" s="492">
        <v>201</v>
      </c>
      <c r="DE205" s="492">
        <v>17</v>
      </c>
      <c r="DF205" s="497">
        <f>IF(('Comparison Calculator'!$E$11-DE205)&gt;=0,0,IFERROR(-PPMT($DJ$66/12,(DD205-60),($F$1-5)*12,$DJ$65),0))</f>
        <v>0</v>
      </c>
      <c r="DG205" s="497">
        <f>IF(('Comparison Calculator'!$E$11-DE205)&gt;=0,$C$1*$DJ$66/12,IFERROR(-IPMT($DJ$66/12,(DD205-60),($F$1-5)*12,$DJ$65,0),0))</f>
        <v>0</v>
      </c>
      <c r="DH205" s="497">
        <f t="shared" si="102"/>
        <v>0</v>
      </c>
      <c r="DI205" s="497">
        <f t="shared" si="89"/>
        <v>1800000</v>
      </c>
      <c r="DJ205" s="493"/>
      <c r="DK205" s="493"/>
    </row>
    <row r="206" spans="1:115">
      <c r="A206" s="492">
        <v>202</v>
      </c>
      <c r="B206" s="492">
        <v>17</v>
      </c>
      <c r="C206" s="497">
        <f>IF(('Comparison Calculator'!$E$11-B206)&gt;=0,0,IFERROR(-PPMT($G$66/12,(A206-60),($F$1-5)*12,$G$65),0))</f>
        <v>0</v>
      </c>
      <c r="D206" s="497">
        <f>IF(('Comparison Calculator'!$E$11-B206)&gt;=0,$C$1*$G$66/12,IFERROR(-IPMT($G$66/12,(A206-60),($F$1-5)*12,$G$65,0),0))</f>
        <v>0</v>
      </c>
      <c r="E206" s="497">
        <f t="shared" si="90"/>
        <v>0</v>
      </c>
      <c r="F206" s="497">
        <f t="shared" si="103"/>
        <v>1800000</v>
      </c>
      <c r="G206" s="493"/>
      <c r="H206" s="493"/>
      <c r="I206" s="489"/>
      <c r="J206" s="492">
        <v>202</v>
      </c>
      <c r="K206" s="492">
        <v>17</v>
      </c>
      <c r="L206" s="497">
        <f>IF(('Comparison Calculator'!$E$11-K206)&gt;=0,0,IFERROR(-PPMT($P$66/12,(J206-60),($F$1-5)*12,$P$65),0))</f>
        <v>0</v>
      </c>
      <c r="M206" s="497">
        <f>IF(('Comparison Calculator'!$E$11-K206)&gt;=0,$C$1*$P$66/12,IFERROR(-IPMT($P$66/12,(J206-60),($F$1-5)*12,$P$65,0),0))</f>
        <v>0</v>
      </c>
      <c r="N206" s="497">
        <f t="shared" si="91"/>
        <v>0</v>
      </c>
      <c r="O206" s="497">
        <f t="shared" si="78"/>
        <v>1800000</v>
      </c>
      <c r="P206" s="493"/>
      <c r="Q206" s="493"/>
      <c r="S206" s="492">
        <v>202</v>
      </c>
      <c r="T206" s="492">
        <v>17</v>
      </c>
      <c r="U206" s="497">
        <f>IF(('Comparison Calculator'!$E$11-T206)&gt;=0,0,IFERROR(-PPMT($Y$66/12,(S206-60),($F$1-5)*12,$Y$65),0))</f>
        <v>0</v>
      </c>
      <c r="V206" s="497">
        <f>IF(('Comparison Calculator'!$E$11-T206)&gt;=0,$C$1*$Y$66/12,IFERROR(-IPMT($Y$66/12,(S206-60),($F$1-5)*12,$Y$65,0),0))</f>
        <v>0</v>
      </c>
      <c r="W206" s="497">
        <f t="shared" si="92"/>
        <v>0</v>
      </c>
      <c r="X206" s="497">
        <f t="shared" si="79"/>
        <v>1800000</v>
      </c>
      <c r="Y206" s="493"/>
      <c r="Z206" s="493"/>
      <c r="AB206" s="492">
        <v>202</v>
      </c>
      <c r="AC206" s="492">
        <v>17</v>
      </c>
      <c r="AD206" s="497">
        <f>IF(('Comparison Calculator'!$E$11-AC206)&gt;=0,0,IFERROR(-PPMT($AH$66/12,(AB206-60),($F$1-5)*12,$AH$65),0))</f>
        <v>0</v>
      </c>
      <c r="AE206" s="497">
        <f>IF(('Comparison Calculator'!$E$11-AC206)&gt;=0,$C$1*$AH$66/12,IFERROR(-IPMT($AH$66/12,(AB206-60),($F$1-5)*12,$AH$65,0),0))</f>
        <v>0</v>
      </c>
      <c r="AF206" s="497">
        <f t="shared" si="93"/>
        <v>0</v>
      </c>
      <c r="AG206" s="497">
        <f t="shared" si="80"/>
        <v>1800000</v>
      </c>
      <c r="AH206" s="493"/>
      <c r="AI206" s="493"/>
      <c r="AK206" s="492">
        <v>202</v>
      </c>
      <c r="AL206" s="492">
        <v>17</v>
      </c>
      <c r="AM206" s="497">
        <f>IF(('Comparison Calculator'!$E$11-AL206)&gt;=0,0,IFERROR(-PPMT($AQ$66/12,(AK206-60),($F$1-5)*12,$AQ$65),0))</f>
        <v>0</v>
      </c>
      <c r="AN206" s="497">
        <f>IF(('Comparison Calculator'!$E$11-AL206)&gt;=0,$C$1*$AQ$66/12,IFERROR(-IPMT($AQ$66/12,(AK206-60),($F$1-5)*12,$AQ$65,0),0))</f>
        <v>0</v>
      </c>
      <c r="AO206" s="497">
        <f t="shared" si="94"/>
        <v>0</v>
      </c>
      <c r="AP206" s="497">
        <f t="shared" si="81"/>
        <v>1800000</v>
      </c>
      <c r="AQ206" s="493"/>
      <c r="AR206" s="493"/>
      <c r="AT206" s="492">
        <v>202</v>
      </c>
      <c r="AU206" s="492">
        <v>17</v>
      </c>
      <c r="AV206" s="497">
        <f>IF(('Comparison Calculator'!$E$11-AU206)&gt;=0,0,IFERROR(-PPMT($AZ$66/12,(AT206-60),($F$1-5)*12,$AZ$65),0))</f>
        <v>0</v>
      </c>
      <c r="AW206" s="497">
        <f>IF(('Comparison Calculator'!$E$11-AU206)&gt;=0,$C$1*$AZ$66/12,IFERROR(-IPMT($AZ$66/12,(AT206-60),($F$1-5)*12,$AZ$65,0),0))</f>
        <v>0</v>
      </c>
      <c r="AX206" s="497">
        <f t="shared" si="95"/>
        <v>0</v>
      </c>
      <c r="AY206" s="497">
        <f t="shared" si="82"/>
        <v>1800000</v>
      </c>
      <c r="AZ206" s="493"/>
      <c r="BA206" s="493"/>
      <c r="BC206" s="492">
        <v>202</v>
      </c>
      <c r="BD206" s="492">
        <v>17</v>
      </c>
      <c r="BE206" s="497">
        <f>IF(('Comparison Calculator'!$E$11-BD206)&gt;=0,0,IFERROR(-PPMT($BI$66/12,(BC206-60),($F$1-5)*12,$BI$65),0))</f>
        <v>0</v>
      </c>
      <c r="BF206" s="497">
        <f>IF(('Comparison Calculator'!$E$11-BD206)&gt;=0,$C$1*$BI$66/12,IFERROR(-IPMT($BI$66/12,(BC206-60),($F$1-5)*12,$BI$65,0),0))</f>
        <v>0</v>
      </c>
      <c r="BG206" s="497">
        <f t="shared" si="96"/>
        <v>0</v>
      </c>
      <c r="BH206" s="497">
        <f t="shared" si="83"/>
        <v>1800000</v>
      </c>
      <c r="BI206" s="493"/>
      <c r="BJ206" s="493"/>
      <c r="BK206" s="492">
        <v>202</v>
      </c>
      <c r="BL206" s="492">
        <v>17</v>
      </c>
      <c r="BM206" s="497">
        <f>IF(('Comparison Calculator'!$E$11-BL206)&gt;=0,0,IFERROR(-PPMT($BQ$66/12,(BK206-60),($F$1-5)*12,$BQ$65),0))</f>
        <v>0</v>
      </c>
      <c r="BN206" s="497">
        <f>IF(('Comparison Calculator'!$E$11-BL206)&gt;=0,$C$1*$BQ$66/12,IFERROR(-IPMT($BQ$66/12,(BK206-60),($F$1-5)*12,$BQ$65,0),0))</f>
        <v>0</v>
      </c>
      <c r="BO206" s="497">
        <f t="shared" si="97"/>
        <v>0</v>
      </c>
      <c r="BP206" s="497">
        <f t="shared" si="84"/>
        <v>1800000</v>
      </c>
      <c r="BQ206" s="493"/>
      <c r="BR206" s="493"/>
      <c r="BT206" s="492">
        <v>202</v>
      </c>
      <c r="BU206" s="492">
        <v>17</v>
      </c>
      <c r="BV206" s="497">
        <f>IF(('Comparison Calculator'!$E$11-BU206)&gt;=0,0,IFERROR(-PPMT($BZ$66/12,(BT206-60),($F$1-5)*12,$BZ$65),0))</f>
        <v>0</v>
      </c>
      <c r="BW206" s="497">
        <f>IF(('Comparison Calculator'!$E$11-BU206)&gt;=0,$C$1*$BZ$66/12,IFERROR(-IPMT($BZ$66/12,(BT206-60),($F$1-5)*12,$BZ$65,0),0))</f>
        <v>0</v>
      </c>
      <c r="BX206" s="497">
        <f t="shared" si="98"/>
        <v>0</v>
      </c>
      <c r="BY206" s="497">
        <f t="shared" si="85"/>
        <v>1800000</v>
      </c>
      <c r="BZ206" s="493"/>
      <c r="CA206" s="493"/>
      <c r="CC206" s="492">
        <v>202</v>
      </c>
      <c r="CD206" s="492">
        <v>17</v>
      </c>
      <c r="CE206" s="497">
        <f>IF(('Comparison Calculator'!$E$11-CD206)&gt;=0,0,IFERROR(-PPMT($CI$66/12,(CC206-60),($F$1-5)*12,$CI$65),0))</f>
        <v>0</v>
      </c>
      <c r="CF206" s="497">
        <f>IF(('Comparison Calculator'!$E$11-CD206)&gt;=0,$C$1*$CI$66/12,IFERROR(-IPMT($CI$66/12,(CC206-60),($F$1-5)*12,$CI$65,0),0))</f>
        <v>0</v>
      </c>
      <c r="CG206" s="497">
        <f t="shared" si="99"/>
        <v>0</v>
      </c>
      <c r="CH206" s="497">
        <f t="shared" si="86"/>
        <v>1800000</v>
      </c>
      <c r="CI206" s="493"/>
      <c r="CJ206" s="493"/>
      <c r="CL206" s="492">
        <v>202</v>
      </c>
      <c r="CM206" s="492">
        <v>17</v>
      </c>
      <c r="CN206" s="497">
        <f>IF(('Comparison Calculator'!$E$11-CM206)&gt;=0,0,IFERROR(-PPMT($CR$66/12,(CL206-60),($F$1-5)*12,$CR$65),0))</f>
        <v>0</v>
      </c>
      <c r="CO206" s="497">
        <f>IF(('Comparison Calculator'!$E$11-CM206)&gt;=0,$C$1*$CI$66/12,IFERROR(-IPMT($CI$66/12,(CL206-60),($F$1-5)*12,$CI$65,0),0))</f>
        <v>0</v>
      </c>
      <c r="CP206" s="497">
        <f t="shared" si="100"/>
        <v>0</v>
      </c>
      <c r="CQ206" s="497">
        <f t="shared" si="87"/>
        <v>1800000</v>
      </c>
      <c r="CR206" s="493"/>
      <c r="CS206" s="493"/>
      <c r="CU206" s="492">
        <v>202</v>
      </c>
      <c r="CV206" s="492">
        <v>17</v>
      </c>
      <c r="CW206" s="497">
        <f>IF(('Comparison Calculator'!$E$11-CV206)&gt;=0,0,IFERROR(-PPMT($DA$66/12,(CU206-60),($F$1-5)*12,$DA$65),0))</f>
        <v>0</v>
      </c>
      <c r="CX206" s="497">
        <f>IF(('Comparison Calculator'!$E$11-CV206)&gt;=0,$C$1*$DA$66/12,IFERROR(-IPMT($DA$66/12,(CU206-60),($F$1-5)*12,$DA$65,0),0))</f>
        <v>0</v>
      </c>
      <c r="CY206" s="497">
        <f t="shared" si="101"/>
        <v>0</v>
      </c>
      <c r="CZ206" s="497">
        <f t="shared" si="88"/>
        <v>1800000</v>
      </c>
      <c r="DA206" s="493"/>
      <c r="DB206" s="493"/>
      <c r="DD206" s="492">
        <v>202</v>
      </c>
      <c r="DE206" s="492">
        <v>17</v>
      </c>
      <c r="DF206" s="497">
        <f>IF(('Comparison Calculator'!$E$11-DE206)&gt;=0,0,IFERROR(-PPMT($DJ$66/12,(DD206-60),($F$1-5)*12,$DJ$65),0))</f>
        <v>0</v>
      </c>
      <c r="DG206" s="497">
        <f>IF(('Comparison Calculator'!$E$11-DE206)&gt;=0,$C$1*$DJ$66/12,IFERROR(-IPMT($DJ$66/12,(DD206-60),($F$1-5)*12,$DJ$65,0),0))</f>
        <v>0</v>
      </c>
      <c r="DH206" s="497">
        <f t="shared" si="102"/>
        <v>0</v>
      </c>
      <c r="DI206" s="497">
        <f t="shared" si="89"/>
        <v>1800000</v>
      </c>
      <c r="DJ206" s="493"/>
      <c r="DK206" s="493"/>
    </row>
    <row r="207" spans="1:115">
      <c r="A207" s="492">
        <v>203</v>
      </c>
      <c r="B207" s="492">
        <v>17</v>
      </c>
      <c r="C207" s="497">
        <f>IF(('Comparison Calculator'!$E$11-B207)&gt;=0,0,IFERROR(-PPMT($G$66/12,(A207-60),($F$1-5)*12,$G$65),0))</f>
        <v>0</v>
      </c>
      <c r="D207" s="497">
        <f>IF(('Comparison Calculator'!$E$11-B207)&gt;=0,$C$1*$G$66/12,IFERROR(-IPMT($G$66/12,(A207-60),($F$1-5)*12,$G$65,0),0))</f>
        <v>0</v>
      </c>
      <c r="E207" s="497">
        <f t="shared" si="90"/>
        <v>0</v>
      </c>
      <c r="F207" s="497">
        <f t="shared" si="103"/>
        <v>1800000</v>
      </c>
      <c r="G207" s="493"/>
      <c r="H207" s="493"/>
      <c r="I207" s="489"/>
      <c r="J207" s="492">
        <v>203</v>
      </c>
      <c r="K207" s="492">
        <v>17</v>
      </c>
      <c r="L207" s="497">
        <f>IF(('Comparison Calculator'!$E$11-K207)&gt;=0,0,IFERROR(-PPMT($P$66/12,(J207-60),($F$1-5)*12,$P$65),0))</f>
        <v>0</v>
      </c>
      <c r="M207" s="497">
        <f>IF(('Comparison Calculator'!$E$11-K207)&gt;=0,$C$1*$P$66/12,IFERROR(-IPMT($P$66/12,(J207-60),($F$1-5)*12,$P$65,0),0))</f>
        <v>0</v>
      </c>
      <c r="N207" s="497">
        <f t="shared" si="91"/>
        <v>0</v>
      </c>
      <c r="O207" s="497">
        <f t="shared" si="78"/>
        <v>1800000</v>
      </c>
      <c r="P207" s="493"/>
      <c r="Q207" s="493"/>
      <c r="S207" s="492">
        <v>203</v>
      </c>
      <c r="T207" s="492">
        <v>17</v>
      </c>
      <c r="U207" s="497">
        <f>IF(('Comparison Calculator'!$E$11-T207)&gt;=0,0,IFERROR(-PPMT($Y$66/12,(S207-60),($F$1-5)*12,$Y$65),0))</f>
        <v>0</v>
      </c>
      <c r="V207" s="497">
        <f>IF(('Comparison Calculator'!$E$11-T207)&gt;=0,$C$1*$Y$66/12,IFERROR(-IPMT($Y$66/12,(S207-60),($F$1-5)*12,$Y$65,0),0))</f>
        <v>0</v>
      </c>
      <c r="W207" s="497">
        <f t="shared" si="92"/>
        <v>0</v>
      </c>
      <c r="X207" s="497">
        <f t="shared" si="79"/>
        <v>1800000</v>
      </c>
      <c r="Y207" s="493"/>
      <c r="Z207" s="493"/>
      <c r="AB207" s="492">
        <v>203</v>
      </c>
      <c r="AC207" s="492">
        <v>17</v>
      </c>
      <c r="AD207" s="497">
        <f>IF(('Comparison Calculator'!$E$11-AC207)&gt;=0,0,IFERROR(-PPMT($AH$66/12,(AB207-60),($F$1-5)*12,$AH$65),0))</f>
        <v>0</v>
      </c>
      <c r="AE207" s="497">
        <f>IF(('Comparison Calculator'!$E$11-AC207)&gt;=0,$C$1*$AH$66/12,IFERROR(-IPMT($AH$66/12,(AB207-60),($F$1-5)*12,$AH$65,0),0))</f>
        <v>0</v>
      </c>
      <c r="AF207" s="497">
        <f t="shared" si="93"/>
        <v>0</v>
      </c>
      <c r="AG207" s="497">
        <f t="shared" si="80"/>
        <v>1800000</v>
      </c>
      <c r="AH207" s="493"/>
      <c r="AI207" s="493"/>
      <c r="AK207" s="492">
        <v>203</v>
      </c>
      <c r="AL207" s="492">
        <v>17</v>
      </c>
      <c r="AM207" s="497">
        <f>IF(('Comparison Calculator'!$E$11-AL207)&gt;=0,0,IFERROR(-PPMT($AQ$66/12,(AK207-60),($F$1-5)*12,$AQ$65),0))</f>
        <v>0</v>
      </c>
      <c r="AN207" s="497">
        <f>IF(('Comparison Calculator'!$E$11-AL207)&gt;=0,$C$1*$AQ$66/12,IFERROR(-IPMT($AQ$66/12,(AK207-60),($F$1-5)*12,$AQ$65,0),0))</f>
        <v>0</v>
      </c>
      <c r="AO207" s="497">
        <f t="shared" si="94"/>
        <v>0</v>
      </c>
      <c r="AP207" s="497">
        <f t="shared" si="81"/>
        <v>1800000</v>
      </c>
      <c r="AQ207" s="493"/>
      <c r="AR207" s="493"/>
      <c r="AT207" s="492">
        <v>203</v>
      </c>
      <c r="AU207" s="492">
        <v>17</v>
      </c>
      <c r="AV207" s="497">
        <f>IF(('Comparison Calculator'!$E$11-AU207)&gt;=0,0,IFERROR(-PPMT($AZ$66/12,(AT207-60),($F$1-5)*12,$AZ$65),0))</f>
        <v>0</v>
      </c>
      <c r="AW207" s="497">
        <f>IF(('Comparison Calculator'!$E$11-AU207)&gt;=0,$C$1*$AZ$66/12,IFERROR(-IPMT($AZ$66/12,(AT207-60),($F$1-5)*12,$AZ$65,0),0))</f>
        <v>0</v>
      </c>
      <c r="AX207" s="497">
        <f t="shared" si="95"/>
        <v>0</v>
      </c>
      <c r="AY207" s="497">
        <f t="shared" si="82"/>
        <v>1800000</v>
      </c>
      <c r="AZ207" s="493"/>
      <c r="BA207" s="493"/>
      <c r="BC207" s="492">
        <v>203</v>
      </c>
      <c r="BD207" s="492">
        <v>17</v>
      </c>
      <c r="BE207" s="497">
        <f>IF(('Comparison Calculator'!$E$11-BD207)&gt;=0,0,IFERROR(-PPMT($BI$66/12,(BC207-60),($F$1-5)*12,$BI$65),0))</f>
        <v>0</v>
      </c>
      <c r="BF207" s="497">
        <f>IF(('Comparison Calculator'!$E$11-BD207)&gt;=0,$C$1*$BI$66/12,IFERROR(-IPMT($BI$66/12,(BC207-60),($F$1-5)*12,$BI$65,0),0))</f>
        <v>0</v>
      </c>
      <c r="BG207" s="497">
        <f t="shared" si="96"/>
        <v>0</v>
      </c>
      <c r="BH207" s="497">
        <f t="shared" si="83"/>
        <v>1800000</v>
      </c>
      <c r="BI207" s="493"/>
      <c r="BJ207" s="493"/>
      <c r="BK207" s="492">
        <v>203</v>
      </c>
      <c r="BL207" s="492">
        <v>17</v>
      </c>
      <c r="BM207" s="497">
        <f>IF(('Comparison Calculator'!$E$11-BL207)&gt;=0,0,IFERROR(-PPMT($BQ$66/12,(BK207-60),($F$1-5)*12,$BQ$65),0))</f>
        <v>0</v>
      </c>
      <c r="BN207" s="497">
        <f>IF(('Comparison Calculator'!$E$11-BL207)&gt;=0,$C$1*$BQ$66/12,IFERROR(-IPMT($BQ$66/12,(BK207-60),($F$1-5)*12,$BQ$65,0),0))</f>
        <v>0</v>
      </c>
      <c r="BO207" s="497">
        <f t="shared" si="97"/>
        <v>0</v>
      </c>
      <c r="BP207" s="497">
        <f t="shared" si="84"/>
        <v>1800000</v>
      </c>
      <c r="BQ207" s="493"/>
      <c r="BR207" s="493"/>
      <c r="BT207" s="492">
        <v>203</v>
      </c>
      <c r="BU207" s="492">
        <v>17</v>
      </c>
      <c r="BV207" s="497">
        <f>IF(('Comparison Calculator'!$E$11-BU207)&gt;=0,0,IFERROR(-PPMT($BZ$66/12,(BT207-60),($F$1-5)*12,$BZ$65),0))</f>
        <v>0</v>
      </c>
      <c r="BW207" s="497">
        <f>IF(('Comparison Calculator'!$E$11-BU207)&gt;=0,$C$1*$BZ$66/12,IFERROR(-IPMT($BZ$66/12,(BT207-60),($F$1-5)*12,$BZ$65,0),0))</f>
        <v>0</v>
      </c>
      <c r="BX207" s="497">
        <f t="shared" si="98"/>
        <v>0</v>
      </c>
      <c r="BY207" s="497">
        <f t="shared" si="85"/>
        <v>1800000</v>
      </c>
      <c r="BZ207" s="493"/>
      <c r="CA207" s="493"/>
      <c r="CC207" s="492">
        <v>203</v>
      </c>
      <c r="CD207" s="492">
        <v>17</v>
      </c>
      <c r="CE207" s="497">
        <f>IF(('Comparison Calculator'!$E$11-CD207)&gt;=0,0,IFERROR(-PPMT($CI$66/12,(CC207-60),($F$1-5)*12,$CI$65),0))</f>
        <v>0</v>
      </c>
      <c r="CF207" s="497">
        <f>IF(('Comparison Calculator'!$E$11-CD207)&gt;=0,$C$1*$CI$66/12,IFERROR(-IPMT($CI$66/12,(CC207-60),($F$1-5)*12,$CI$65,0),0))</f>
        <v>0</v>
      </c>
      <c r="CG207" s="497">
        <f t="shared" si="99"/>
        <v>0</v>
      </c>
      <c r="CH207" s="497">
        <f t="shared" si="86"/>
        <v>1800000</v>
      </c>
      <c r="CI207" s="493"/>
      <c r="CJ207" s="493"/>
      <c r="CL207" s="492">
        <v>203</v>
      </c>
      <c r="CM207" s="492">
        <v>17</v>
      </c>
      <c r="CN207" s="497">
        <f>IF(('Comparison Calculator'!$E$11-CM207)&gt;=0,0,IFERROR(-PPMT($CR$66/12,(CL207-60),($F$1-5)*12,$CR$65),0))</f>
        <v>0</v>
      </c>
      <c r="CO207" s="497">
        <f>IF(('Comparison Calculator'!$E$11-CM207)&gt;=0,$C$1*$CI$66/12,IFERROR(-IPMT($CI$66/12,(CL207-60),($F$1-5)*12,$CI$65,0),0))</f>
        <v>0</v>
      </c>
      <c r="CP207" s="497">
        <f t="shared" si="100"/>
        <v>0</v>
      </c>
      <c r="CQ207" s="497">
        <f t="shared" si="87"/>
        <v>1800000</v>
      </c>
      <c r="CR207" s="493"/>
      <c r="CS207" s="493"/>
      <c r="CU207" s="492">
        <v>203</v>
      </c>
      <c r="CV207" s="492">
        <v>17</v>
      </c>
      <c r="CW207" s="497">
        <f>IF(('Comparison Calculator'!$E$11-CV207)&gt;=0,0,IFERROR(-PPMT($DA$66/12,(CU207-60),($F$1-5)*12,$DA$65),0))</f>
        <v>0</v>
      </c>
      <c r="CX207" s="497">
        <f>IF(('Comparison Calculator'!$E$11-CV207)&gt;=0,$C$1*$DA$66/12,IFERROR(-IPMT($DA$66/12,(CU207-60),($F$1-5)*12,$DA$65,0),0))</f>
        <v>0</v>
      </c>
      <c r="CY207" s="497">
        <f t="shared" si="101"/>
        <v>0</v>
      </c>
      <c r="CZ207" s="497">
        <f t="shared" si="88"/>
        <v>1800000</v>
      </c>
      <c r="DA207" s="493"/>
      <c r="DB207" s="493"/>
      <c r="DD207" s="492">
        <v>203</v>
      </c>
      <c r="DE207" s="492">
        <v>17</v>
      </c>
      <c r="DF207" s="497">
        <f>IF(('Comparison Calculator'!$E$11-DE207)&gt;=0,0,IFERROR(-PPMT($DJ$66/12,(DD207-60),($F$1-5)*12,$DJ$65),0))</f>
        <v>0</v>
      </c>
      <c r="DG207" s="497">
        <f>IF(('Comparison Calculator'!$E$11-DE207)&gt;=0,$C$1*$DJ$66/12,IFERROR(-IPMT($DJ$66/12,(DD207-60),($F$1-5)*12,$DJ$65,0),0))</f>
        <v>0</v>
      </c>
      <c r="DH207" s="497">
        <f t="shared" si="102"/>
        <v>0</v>
      </c>
      <c r="DI207" s="497">
        <f t="shared" si="89"/>
        <v>1800000</v>
      </c>
      <c r="DJ207" s="493"/>
      <c r="DK207" s="493"/>
    </row>
    <row r="208" spans="1:115">
      <c r="A208" s="492">
        <v>204</v>
      </c>
      <c r="B208" s="492">
        <v>17</v>
      </c>
      <c r="C208" s="497">
        <f>IF(('Comparison Calculator'!$E$11-B208)&gt;=0,0,IFERROR(-PPMT($G$66/12,(A208-60),($F$1-5)*12,$G$65),0))</f>
        <v>0</v>
      </c>
      <c r="D208" s="497">
        <f>IF(('Comparison Calculator'!$E$11-B208)&gt;=0,$C$1*$G$66/12,IFERROR(-IPMT($G$66/12,(A208-60),($F$1-5)*12,$G$65,0),0))</f>
        <v>0</v>
      </c>
      <c r="E208" s="497">
        <f t="shared" si="90"/>
        <v>0</v>
      </c>
      <c r="F208" s="497">
        <f t="shared" si="103"/>
        <v>1800000</v>
      </c>
      <c r="G208" s="493"/>
      <c r="H208" s="493"/>
      <c r="I208" s="489"/>
      <c r="J208" s="492">
        <v>204</v>
      </c>
      <c r="K208" s="492">
        <v>17</v>
      </c>
      <c r="L208" s="497">
        <f>IF(('Comparison Calculator'!$E$11-K208)&gt;=0,0,IFERROR(-PPMT($P$66/12,(J208-60),($F$1-5)*12,$P$65),0))</f>
        <v>0</v>
      </c>
      <c r="M208" s="497">
        <f>IF(('Comparison Calculator'!$E$11-K208)&gt;=0,$C$1*$P$66/12,IFERROR(-IPMT($P$66/12,(J208-60),($F$1-5)*12,$P$65,0),0))</f>
        <v>0</v>
      </c>
      <c r="N208" s="497">
        <f t="shared" si="91"/>
        <v>0</v>
      </c>
      <c r="O208" s="497">
        <f t="shared" si="78"/>
        <v>1800000</v>
      </c>
      <c r="P208" s="493"/>
      <c r="Q208" s="493"/>
      <c r="S208" s="492">
        <v>204</v>
      </c>
      <c r="T208" s="492">
        <v>17</v>
      </c>
      <c r="U208" s="497">
        <f>IF(('Comparison Calculator'!$E$11-T208)&gt;=0,0,IFERROR(-PPMT($Y$66/12,(S208-60),($F$1-5)*12,$Y$65),0))</f>
        <v>0</v>
      </c>
      <c r="V208" s="497">
        <f>IF(('Comparison Calculator'!$E$11-T208)&gt;=0,$C$1*$Y$66/12,IFERROR(-IPMT($Y$66/12,(S208-60),($F$1-5)*12,$Y$65,0),0))</f>
        <v>0</v>
      </c>
      <c r="W208" s="497">
        <f t="shared" si="92"/>
        <v>0</v>
      </c>
      <c r="X208" s="497">
        <f t="shared" si="79"/>
        <v>1800000</v>
      </c>
      <c r="Y208" s="493"/>
      <c r="Z208" s="493"/>
      <c r="AB208" s="492">
        <v>204</v>
      </c>
      <c r="AC208" s="492">
        <v>17</v>
      </c>
      <c r="AD208" s="497">
        <f>IF(('Comparison Calculator'!$E$11-AC208)&gt;=0,0,IFERROR(-PPMT($AH$66/12,(AB208-60),($F$1-5)*12,$AH$65),0))</f>
        <v>0</v>
      </c>
      <c r="AE208" s="497">
        <f>IF(('Comparison Calculator'!$E$11-AC208)&gt;=0,$C$1*$AH$66/12,IFERROR(-IPMT($AH$66/12,(AB208-60),($F$1-5)*12,$AH$65,0),0))</f>
        <v>0</v>
      </c>
      <c r="AF208" s="497">
        <f t="shared" si="93"/>
        <v>0</v>
      </c>
      <c r="AG208" s="497">
        <f t="shared" si="80"/>
        <v>1800000</v>
      </c>
      <c r="AH208" s="493"/>
      <c r="AI208" s="493"/>
      <c r="AK208" s="492">
        <v>204</v>
      </c>
      <c r="AL208" s="492">
        <v>17</v>
      </c>
      <c r="AM208" s="497">
        <f>IF(('Comparison Calculator'!$E$11-AL208)&gt;=0,0,IFERROR(-PPMT($AQ$66/12,(AK208-60),($F$1-5)*12,$AQ$65),0))</f>
        <v>0</v>
      </c>
      <c r="AN208" s="497">
        <f>IF(('Comparison Calculator'!$E$11-AL208)&gt;=0,$C$1*$AQ$66/12,IFERROR(-IPMT($AQ$66/12,(AK208-60),($F$1-5)*12,$AQ$65,0),0))</f>
        <v>0</v>
      </c>
      <c r="AO208" s="497">
        <f t="shared" si="94"/>
        <v>0</v>
      </c>
      <c r="AP208" s="497">
        <f t="shared" si="81"/>
        <v>1800000</v>
      </c>
      <c r="AQ208" s="493"/>
      <c r="AR208" s="493"/>
      <c r="AT208" s="492">
        <v>204</v>
      </c>
      <c r="AU208" s="492">
        <v>17</v>
      </c>
      <c r="AV208" s="497">
        <f>IF(('Comparison Calculator'!$E$11-AU208)&gt;=0,0,IFERROR(-PPMT($AZ$66/12,(AT208-60),($F$1-5)*12,$AZ$65),0))</f>
        <v>0</v>
      </c>
      <c r="AW208" s="497">
        <f>IF(('Comparison Calculator'!$E$11-AU208)&gt;=0,$C$1*$AZ$66/12,IFERROR(-IPMT($AZ$66/12,(AT208-60),($F$1-5)*12,$AZ$65,0),0))</f>
        <v>0</v>
      </c>
      <c r="AX208" s="497">
        <f t="shared" si="95"/>
        <v>0</v>
      </c>
      <c r="AY208" s="497">
        <f t="shared" si="82"/>
        <v>1800000</v>
      </c>
      <c r="AZ208" s="493"/>
      <c r="BA208" s="493"/>
      <c r="BC208" s="492">
        <v>204</v>
      </c>
      <c r="BD208" s="492">
        <v>17</v>
      </c>
      <c r="BE208" s="497">
        <f>IF(('Comparison Calculator'!$E$11-BD208)&gt;=0,0,IFERROR(-PPMT($BI$66/12,(BC208-60),($F$1-5)*12,$BI$65),0))</f>
        <v>0</v>
      </c>
      <c r="BF208" s="497">
        <f>IF(('Comparison Calculator'!$E$11-BD208)&gt;=0,$C$1*$BI$66/12,IFERROR(-IPMT($BI$66/12,(BC208-60),($F$1-5)*12,$BI$65,0),0))</f>
        <v>0</v>
      </c>
      <c r="BG208" s="497">
        <f t="shared" si="96"/>
        <v>0</v>
      </c>
      <c r="BH208" s="497">
        <f t="shared" si="83"/>
        <v>1800000</v>
      </c>
      <c r="BI208" s="493"/>
      <c r="BJ208" s="493"/>
      <c r="BK208" s="492">
        <v>204</v>
      </c>
      <c r="BL208" s="492">
        <v>17</v>
      </c>
      <c r="BM208" s="497">
        <f>IF(('Comparison Calculator'!$E$11-BL208)&gt;=0,0,IFERROR(-PPMT($BQ$66/12,(BK208-60),($F$1-5)*12,$BQ$65),0))</f>
        <v>0</v>
      </c>
      <c r="BN208" s="497">
        <f>IF(('Comparison Calculator'!$E$11-BL208)&gt;=0,$C$1*$BQ$66/12,IFERROR(-IPMT($BQ$66/12,(BK208-60),($F$1-5)*12,$BQ$65,0),0))</f>
        <v>0</v>
      </c>
      <c r="BO208" s="497">
        <f t="shared" si="97"/>
        <v>0</v>
      </c>
      <c r="BP208" s="497">
        <f t="shared" si="84"/>
        <v>1800000</v>
      </c>
      <c r="BQ208" s="493"/>
      <c r="BR208" s="493"/>
      <c r="BT208" s="492">
        <v>204</v>
      </c>
      <c r="BU208" s="492">
        <v>17</v>
      </c>
      <c r="BV208" s="497">
        <f>IF(('Comparison Calculator'!$E$11-BU208)&gt;=0,0,IFERROR(-PPMT($BZ$66/12,(BT208-60),($F$1-5)*12,$BZ$65),0))</f>
        <v>0</v>
      </c>
      <c r="BW208" s="497">
        <f>IF(('Comparison Calculator'!$E$11-BU208)&gt;=0,$C$1*$BZ$66/12,IFERROR(-IPMT($BZ$66/12,(BT208-60),($F$1-5)*12,$BZ$65,0),0))</f>
        <v>0</v>
      </c>
      <c r="BX208" s="497">
        <f t="shared" si="98"/>
        <v>0</v>
      </c>
      <c r="BY208" s="497">
        <f t="shared" si="85"/>
        <v>1800000</v>
      </c>
      <c r="BZ208" s="493"/>
      <c r="CA208" s="493"/>
      <c r="CC208" s="492">
        <v>204</v>
      </c>
      <c r="CD208" s="492">
        <v>17</v>
      </c>
      <c r="CE208" s="497">
        <f>IF(('Comparison Calculator'!$E$11-CD208)&gt;=0,0,IFERROR(-PPMT($CI$66/12,(CC208-60),($F$1-5)*12,$CI$65),0))</f>
        <v>0</v>
      </c>
      <c r="CF208" s="497">
        <f>IF(('Comparison Calculator'!$E$11-CD208)&gt;=0,$C$1*$CI$66/12,IFERROR(-IPMT($CI$66/12,(CC208-60),($F$1-5)*12,$CI$65,0),0))</f>
        <v>0</v>
      </c>
      <c r="CG208" s="497">
        <f t="shared" si="99"/>
        <v>0</v>
      </c>
      <c r="CH208" s="497">
        <f t="shared" si="86"/>
        <v>1800000</v>
      </c>
      <c r="CI208" s="493"/>
      <c r="CJ208" s="493"/>
      <c r="CL208" s="492">
        <v>204</v>
      </c>
      <c r="CM208" s="492">
        <v>17</v>
      </c>
      <c r="CN208" s="497">
        <f>IF(('Comparison Calculator'!$E$11-CM208)&gt;=0,0,IFERROR(-PPMT($CR$66/12,(CL208-60),($F$1-5)*12,$CR$65),0))</f>
        <v>0</v>
      </c>
      <c r="CO208" s="497">
        <f>IF(('Comparison Calculator'!$E$11-CM208)&gt;=0,$C$1*$CI$66/12,IFERROR(-IPMT($CI$66/12,(CL208-60),($F$1-5)*12,$CI$65,0),0))</f>
        <v>0</v>
      </c>
      <c r="CP208" s="497">
        <f t="shared" si="100"/>
        <v>0</v>
      </c>
      <c r="CQ208" s="497">
        <f t="shared" si="87"/>
        <v>1800000</v>
      </c>
      <c r="CR208" s="493"/>
      <c r="CS208" s="493"/>
      <c r="CU208" s="492">
        <v>204</v>
      </c>
      <c r="CV208" s="492">
        <v>17</v>
      </c>
      <c r="CW208" s="497">
        <f>IF(('Comparison Calculator'!$E$11-CV208)&gt;=0,0,IFERROR(-PPMT($DA$66/12,(CU208-60),($F$1-5)*12,$DA$65),0))</f>
        <v>0</v>
      </c>
      <c r="CX208" s="497">
        <f>IF(('Comparison Calculator'!$E$11-CV208)&gt;=0,$C$1*$DA$66/12,IFERROR(-IPMT($DA$66/12,(CU208-60),($F$1-5)*12,$DA$65,0),0))</f>
        <v>0</v>
      </c>
      <c r="CY208" s="497">
        <f t="shared" si="101"/>
        <v>0</v>
      </c>
      <c r="CZ208" s="497">
        <f t="shared" si="88"/>
        <v>1800000</v>
      </c>
      <c r="DA208" s="493"/>
      <c r="DB208" s="493"/>
      <c r="DD208" s="492">
        <v>204</v>
      </c>
      <c r="DE208" s="492">
        <v>17</v>
      </c>
      <c r="DF208" s="497">
        <f>IF(('Comparison Calculator'!$E$11-DE208)&gt;=0,0,IFERROR(-PPMT($DJ$66/12,(DD208-60),($F$1-5)*12,$DJ$65),0))</f>
        <v>0</v>
      </c>
      <c r="DG208" s="497">
        <f>IF(('Comparison Calculator'!$E$11-DE208)&gt;=0,$C$1*$DJ$66/12,IFERROR(-IPMT($DJ$66/12,(DD208-60),($F$1-5)*12,$DJ$65,0),0))</f>
        <v>0</v>
      </c>
      <c r="DH208" s="497">
        <f t="shared" si="102"/>
        <v>0</v>
      </c>
      <c r="DI208" s="497">
        <f t="shared" si="89"/>
        <v>1800000</v>
      </c>
      <c r="DJ208" s="493"/>
      <c r="DK208" s="493"/>
    </row>
    <row r="209" spans="1:115">
      <c r="A209" s="492">
        <v>205</v>
      </c>
      <c r="B209" s="492">
        <v>18</v>
      </c>
      <c r="C209" s="497">
        <f>IF(('Comparison Calculator'!$E$11-B209)&gt;=0,0,IFERROR(-PPMT($G$66/12,(A209-60),($F$1-5)*12,$G$65),0))</f>
        <v>0</v>
      </c>
      <c r="D209" s="497">
        <f>IF(('Comparison Calculator'!$E$11-B209)&gt;=0,$C$1*$G$66/12,IFERROR(-IPMT($G$66/12,(A209-60),($F$1-5)*12,$G$65,0),0))</f>
        <v>0</v>
      </c>
      <c r="E209" s="497">
        <f t="shared" si="90"/>
        <v>0</v>
      </c>
      <c r="F209" s="497">
        <f t="shared" si="103"/>
        <v>1800000</v>
      </c>
      <c r="G209" s="493"/>
      <c r="H209" s="493"/>
      <c r="I209" s="489"/>
      <c r="J209" s="492">
        <v>205</v>
      </c>
      <c r="K209" s="492">
        <v>18</v>
      </c>
      <c r="L209" s="497">
        <f>IF(('Comparison Calculator'!$E$11-K209)&gt;=0,0,IFERROR(-PPMT($P$66/12,(J209-60),($F$1-5)*12,$P$65),0))</f>
        <v>0</v>
      </c>
      <c r="M209" s="497">
        <f>IF(('Comparison Calculator'!$E$11-K209)&gt;=0,$C$1*$P$66/12,IFERROR(-IPMT($P$66/12,(J209-60),($F$1-5)*12,$P$65,0),0))</f>
        <v>0</v>
      </c>
      <c r="N209" s="497">
        <f t="shared" si="91"/>
        <v>0</v>
      </c>
      <c r="O209" s="497">
        <f t="shared" si="78"/>
        <v>1800000</v>
      </c>
      <c r="P209" s="493"/>
      <c r="Q209" s="493"/>
      <c r="S209" s="492">
        <v>205</v>
      </c>
      <c r="T209" s="492">
        <v>18</v>
      </c>
      <c r="U209" s="497">
        <f>IF(('Comparison Calculator'!$E$11-T209)&gt;=0,0,IFERROR(-PPMT($Y$66/12,(S209-60),($F$1-5)*12,$Y$65),0))</f>
        <v>0</v>
      </c>
      <c r="V209" s="497">
        <f>IF(('Comparison Calculator'!$E$11-T209)&gt;=0,$C$1*$Y$66/12,IFERROR(-IPMT($Y$66/12,(S209-60),($F$1-5)*12,$Y$65,0),0))</f>
        <v>0</v>
      </c>
      <c r="W209" s="497">
        <f t="shared" si="92"/>
        <v>0</v>
      </c>
      <c r="X209" s="497">
        <f t="shared" si="79"/>
        <v>1800000</v>
      </c>
      <c r="Y209" s="493"/>
      <c r="Z209" s="493"/>
      <c r="AB209" s="492">
        <v>205</v>
      </c>
      <c r="AC209" s="492">
        <v>18</v>
      </c>
      <c r="AD209" s="497">
        <f>IF(('Comparison Calculator'!$E$11-AC209)&gt;=0,0,IFERROR(-PPMT($AH$66/12,(AB209-60),($F$1-5)*12,$AH$65),0))</f>
        <v>0</v>
      </c>
      <c r="AE209" s="497">
        <f>IF(('Comparison Calculator'!$E$11-AC209)&gt;=0,$C$1*$AH$66/12,IFERROR(-IPMT($AH$66/12,(AB209-60),($F$1-5)*12,$AH$65,0),0))</f>
        <v>0</v>
      </c>
      <c r="AF209" s="497">
        <f t="shared" si="93"/>
        <v>0</v>
      </c>
      <c r="AG209" s="497">
        <f t="shared" si="80"/>
        <v>1800000</v>
      </c>
      <c r="AH209" s="493"/>
      <c r="AI209" s="493"/>
      <c r="AK209" s="492">
        <v>205</v>
      </c>
      <c r="AL209" s="492">
        <v>18</v>
      </c>
      <c r="AM209" s="497">
        <f>IF(('Comparison Calculator'!$E$11-AL209)&gt;=0,0,IFERROR(-PPMT($AQ$66/12,(AK209-60),($F$1-5)*12,$AQ$65),0))</f>
        <v>0</v>
      </c>
      <c r="AN209" s="497">
        <f>IF(('Comparison Calculator'!$E$11-AL209)&gt;=0,$C$1*$AQ$66/12,IFERROR(-IPMT($AQ$66/12,(AK209-60),($F$1-5)*12,$AQ$65,0),0))</f>
        <v>0</v>
      </c>
      <c r="AO209" s="497">
        <f t="shared" si="94"/>
        <v>0</v>
      </c>
      <c r="AP209" s="497">
        <f t="shared" si="81"/>
        <v>1800000</v>
      </c>
      <c r="AQ209" s="493"/>
      <c r="AR209" s="493"/>
      <c r="AT209" s="492">
        <v>205</v>
      </c>
      <c r="AU209" s="492">
        <v>18</v>
      </c>
      <c r="AV209" s="497">
        <f>IF(('Comparison Calculator'!$E$11-AU209)&gt;=0,0,IFERROR(-PPMT($AZ$66/12,(AT209-60),($F$1-5)*12,$AZ$65),0))</f>
        <v>0</v>
      </c>
      <c r="AW209" s="497">
        <f>IF(('Comparison Calculator'!$E$11-AU209)&gt;=0,$C$1*$AZ$66/12,IFERROR(-IPMT($AZ$66/12,(AT209-60),($F$1-5)*12,$AZ$65,0),0))</f>
        <v>0</v>
      </c>
      <c r="AX209" s="497">
        <f t="shared" si="95"/>
        <v>0</v>
      </c>
      <c r="AY209" s="497">
        <f t="shared" si="82"/>
        <v>1800000</v>
      </c>
      <c r="AZ209" s="493"/>
      <c r="BA209" s="493"/>
      <c r="BC209" s="492">
        <v>205</v>
      </c>
      <c r="BD209" s="492">
        <v>18</v>
      </c>
      <c r="BE209" s="497">
        <f>IF(('Comparison Calculator'!$E$11-BD209)&gt;=0,0,IFERROR(-PPMT($BI$66/12,(BC209-60),($F$1-5)*12,$BI$65),0))</f>
        <v>0</v>
      </c>
      <c r="BF209" s="497">
        <f>IF(('Comparison Calculator'!$E$11-BD209)&gt;=0,$C$1*$BI$66/12,IFERROR(-IPMT($BI$66/12,(BC209-60),($F$1-5)*12,$BI$65,0),0))</f>
        <v>0</v>
      </c>
      <c r="BG209" s="497">
        <f t="shared" si="96"/>
        <v>0</v>
      </c>
      <c r="BH209" s="497">
        <f t="shared" si="83"/>
        <v>1800000</v>
      </c>
      <c r="BI209" s="493"/>
      <c r="BJ209" s="493"/>
      <c r="BK209" s="492">
        <v>205</v>
      </c>
      <c r="BL209" s="492">
        <v>18</v>
      </c>
      <c r="BM209" s="497">
        <f>IF(('Comparison Calculator'!$E$11-BL209)&gt;=0,0,IFERROR(-PPMT($BQ$66/12,(BK209-60),($F$1-5)*12,$BQ$65),0))</f>
        <v>0</v>
      </c>
      <c r="BN209" s="497">
        <f>IF(('Comparison Calculator'!$E$11-BL209)&gt;=0,$C$1*$BQ$66/12,IFERROR(-IPMT($BQ$66/12,(BK209-60),($F$1-5)*12,$BQ$65,0),0))</f>
        <v>0</v>
      </c>
      <c r="BO209" s="497">
        <f t="shared" si="97"/>
        <v>0</v>
      </c>
      <c r="BP209" s="497">
        <f t="shared" si="84"/>
        <v>1800000</v>
      </c>
      <c r="BQ209" s="493"/>
      <c r="BR209" s="493"/>
      <c r="BT209" s="492">
        <v>205</v>
      </c>
      <c r="BU209" s="492">
        <v>18</v>
      </c>
      <c r="BV209" s="497">
        <f>IF(('Comparison Calculator'!$E$11-BU209)&gt;=0,0,IFERROR(-PPMT($BZ$66/12,(BT209-60),($F$1-5)*12,$BZ$65),0))</f>
        <v>0</v>
      </c>
      <c r="BW209" s="497">
        <f>IF(('Comparison Calculator'!$E$11-BU209)&gt;=0,$C$1*$BZ$66/12,IFERROR(-IPMT($BZ$66/12,(BT209-60),($F$1-5)*12,$BZ$65,0),0))</f>
        <v>0</v>
      </c>
      <c r="BX209" s="497">
        <f t="shared" si="98"/>
        <v>0</v>
      </c>
      <c r="BY209" s="497">
        <f t="shared" si="85"/>
        <v>1800000</v>
      </c>
      <c r="BZ209" s="493"/>
      <c r="CA209" s="493"/>
      <c r="CC209" s="492">
        <v>205</v>
      </c>
      <c r="CD209" s="492">
        <v>18</v>
      </c>
      <c r="CE209" s="497">
        <f>IF(('Comparison Calculator'!$E$11-CD209)&gt;=0,0,IFERROR(-PPMT($CI$66/12,(CC209-60),($F$1-5)*12,$CI$65),0))</f>
        <v>0</v>
      </c>
      <c r="CF209" s="497">
        <f>IF(('Comparison Calculator'!$E$11-CD209)&gt;=0,$C$1*$CI$66/12,IFERROR(-IPMT($CI$66/12,(CC209-60),($F$1-5)*12,$CI$65,0),0))</f>
        <v>0</v>
      </c>
      <c r="CG209" s="497">
        <f t="shared" si="99"/>
        <v>0</v>
      </c>
      <c r="CH209" s="497">
        <f t="shared" si="86"/>
        <v>1800000</v>
      </c>
      <c r="CI209" s="493"/>
      <c r="CJ209" s="493"/>
      <c r="CL209" s="492">
        <v>205</v>
      </c>
      <c r="CM209" s="492">
        <v>18</v>
      </c>
      <c r="CN209" s="497">
        <f>IF(('Comparison Calculator'!$E$11-CM209)&gt;=0,0,IFERROR(-PPMT($CR$66/12,(CL209-60),($F$1-5)*12,$CR$65),0))</f>
        <v>0</v>
      </c>
      <c r="CO209" s="497">
        <f>IF(('Comparison Calculator'!$E$11-CM209)&gt;=0,$C$1*$CI$66/12,IFERROR(-IPMT($CI$66/12,(CL209-60),($F$1-5)*12,$CI$65,0),0))</f>
        <v>0</v>
      </c>
      <c r="CP209" s="497">
        <f t="shared" si="100"/>
        <v>0</v>
      </c>
      <c r="CQ209" s="497">
        <f t="shared" si="87"/>
        <v>1800000</v>
      </c>
      <c r="CR209" s="493"/>
      <c r="CS209" s="493"/>
      <c r="CU209" s="492">
        <v>205</v>
      </c>
      <c r="CV209" s="492">
        <v>18</v>
      </c>
      <c r="CW209" s="497">
        <f>IF(('Comparison Calculator'!$E$11-CV209)&gt;=0,0,IFERROR(-PPMT($DA$66/12,(CU209-60),($F$1-5)*12,$DA$65),0))</f>
        <v>0</v>
      </c>
      <c r="CX209" s="497">
        <f>IF(('Comparison Calculator'!$E$11-CV209)&gt;=0,$C$1*$DA$66/12,IFERROR(-IPMT($DA$66/12,(CU209-60),($F$1-5)*12,$DA$65,0),0))</f>
        <v>0</v>
      </c>
      <c r="CY209" s="497">
        <f t="shared" si="101"/>
        <v>0</v>
      </c>
      <c r="CZ209" s="497">
        <f t="shared" si="88"/>
        <v>1800000</v>
      </c>
      <c r="DA209" s="493"/>
      <c r="DB209" s="493"/>
      <c r="DD209" s="492">
        <v>205</v>
      </c>
      <c r="DE209" s="492">
        <v>18</v>
      </c>
      <c r="DF209" s="497">
        <f>IF(('Comparison Calculator'!$E$11-DE209)&gt;=0,0,IFERROR(-PPMT($DJ$66/12,(DD209-60),($F$1-5)*12,$DJ$65),0))</f>
        <v>0</v>
      </c>
      <c r="DG209" s="497">
        <f>IF(('Comparison Calculator'!$E$11-DE209)&gt;=0,$C$1*$DJ$66/12,IFERROR(-IPMT($DJ$66/12,(DD209-60),($F$1-5)*12,$DJ$65,0),0))</f>
        <v>0</v>
      </c>
      <c r="DH209" s="497">
        <f t="shared" si="102"/>
        <v>0</v>
      </c>
      <c r="DI209" s="497">
        <f t="shared" si="89"/>
        <v>1800000</v>
      </c>
      <c r="DJ209" s="493"/>
      <c r="DK209" s="493"/>
    </row>
    <row r="210" spans="1:115">
      <c r="A210" s="492">
        <v>206</v>
      </c>
      <c r="B210" s="492">
        <v>18</v>
      </c>
      <c r="C210" s="497">
        <f>IF(('Comparison Calculator'!$E$11-B210)&gt;=0,0,IFERROR(-PPMT($G$66/12,(A210-60),($F$1-5)*12,$G$65),0))</f>
        <v>0</v>
      </c>
      <c r="D210" s="497">
        <f>IF(('Comparison Calculator'!$E$11-B210)&gt;=0,$C$1*$G$66/12,IFERROR(-IPMT($G$66/12,(A210-60),($F$1-5)*12,$G$65,0),0))</f>
        <v>0</v>
      </c>
      <c r="E210" s="497">
        <f t="shared" si="90"/>
        <v>0</v>
      </c>
      <c r="F210" s="497">
        <f t="shared" si="103"/>
        <v>1800000</v>
      </c>
      <c r="G210" s="493"/>
      <c r="H210" s="493"/>
      <c r="I210" s="489"/>
      <c r="J210" s="492">
        <v>206</v>
      </c>
      <c r="K210" s="492">
        <v>18</v>
      </c>
      <c r="L210" s="497">
        <f>IF(('Comparison Calculator'!$E$11-K210)&gt;=0,0,IFERROR(-PPMT($P$66/12,(J210-60),($F$1-5)*12,$P$65),0))</f>
        <v>0</v>
      </c>
      <c r="M210" s="497">
        <f>IF(('Comparison Calculator'!$E$11-K210)&gt;=0,$C$1*$P$66/12,IFERROR(-IPMT($P$66/12,(J210-60),($F$1-5)*12,$P$65,0),0))</f>
        <v>0</v>
      </c>
      <c r="N210" s="497">
        <f t="shared" si="91"/>
        <v>0</v>
      </c>
      <c r="O210" s="497">
        <f t="shared" si="78"/>
        <v>1800000</v>
      </c>
      <c r="P210" s="493"/>
      <c r="Q210" s="493"/>
      <c r="S210" s="492">
        <v>206</v>
      </c>
      <c r="T210" s="492">
        <v>18</v>
      </c>
      <c r="U210" s="497">
        <f>IF(('Comparison Calculator'!$E$11-T210)&gt;=0,0,IFERROR(-PPMT($Y$66/12,(S210-60),($F$1-5)*12,$Y$65),0))</f>
        <v>0</v>
      </c>
      <c r="V210" s="497">
        <f>IF(('Comparison Calculator'!$E$11-T210)&gt;=0,$C$1*$Y$66/12,IFERROR(-IPMT($Y$66/12,(S210-60),($F$1-5)*12,$Y$65,0),0))</f>
        <v>0</v>
      </c>
      <c r="W210" s="497">
        <f t="shared" si="92"/>
        <v>0</v>
      </c>
      <c r="X210" s="497">
        <f t="shared" si="79"/>
        <v>1800000</v>
      </c>
      <c r="Y210" s="493"/>
      <c r="Z210" s="493"/>
      <c r="AB210" s="492">
        <v>206</v>
      </c>
      <c r="AC210" s="492">
        <v>18</v>
      </c>
      <c r="AD210" s="497">
        <f>IF(('Comparison Calculator'!$E$11-AC210)&gt;=0,0,IFERROR(-PPMT($AH$66/12,(AB210-60),($F$1-5)*12,$AH$65),0))</f>
        <v>0</v>
      </c>
      <c r="AE210" s="497">
        <f>IF(('Comparison Calculator'!$E$11-AC210)&gt;=0,$C$1*$AH$66/12,IFERROR(-IPMT($AH$66/12,(AB210-60),($F$1-5)*12,$AH$65,0),0))</f>
        <v>0</v>
      </c>
      <c r="AF210" s="497">
        <f t="shared" si="93"/>
        <v>0</v>
      </c>
      <c r="AG210" s="497">
        <f t="shared" si="80"/>
        <v>1800000</v>
      </c>
      <c r="AH210" s="493"/>
      <c r="AI210" s="493"/>
      <c r="AK210" s="492">
        <v>206</v>
      </c>
      <c r="AL210" s="492">
        <v>18</v>
      </c>
      <c r="AM210" s="497">
        <f>IF(('Comparison Calculator'!$E$11-AL210)&gt;=0,0,IFERROR(-PPMT($AQ$66/12,(AK210-60),($F$1-5)*12,$AQ$65),0))</f>
        <v>0</v>
      </c>
      <c r="AN210" s="497">
        <f>IF(('Comparison Calculator'!$E$11-AL210)&gt;=0,$C$1*$AQ$66/12,IFERROR(-IPMT($AQ$66/12,(AK210-60),($F$1-5)*12,$AQ$65,0),0))</f>
        <v>0</v>
      </c>
      <c r="AO210" s="497">
        <f t="shared" si="94"/>
        <v>0</v>
      </c>
      <c r="AP210" s="497">
        <f t="shared" si="81"/>
        <v>1800000</v>
      </c>
      <c r="AQ210" s="493"/>
      <c r="AR210" s="493"/>
      <c r="AT210" s="492">
        <v>206</v>
      </c>
      <c r="AU210" s="492">
        <v>18</v>
      </c>
      <c r="AV210" s="497">
        <f>IF(('Comparison Calculator'!$E$11-AU210)&gt;=0,0,IFERROR(-PPMT($AZ$66/12,(AT210-60),($F$1-5)*12,$AZ$65),0))</f>
        <v>0</v>
      </c>
      <c r="AW210" s="497">
        <f>IF(('Comparison Calculator'!$E$11-AU210)&gt;=0,$C$1*$AZ$66/12,IFERROR(-IPMT($AZ$66/12,(AT210-60),($F$1-5)*12,$AZ$65,0),0))</f>
        <v>0</v>
      </c>
      <c r="AX210" s="497">
        <f t="shared" si="95"/>
        <v>0</v>
      </c>
      <c r="AY210" s="497">
        <f t="shared" si="82"/>
        <v>1800000</v>
      </c>
      <c r="AZ210" s="493"/>
      <c r="BA210" s="493"/>
      <c r="BC210" s="492">
        <v>206</v>
      </c>
      <c r="BD210" s="492">
        <v>18</v>
      </c>
      <c r="BE210" s="497">
        <f>IF(('Comparison Calculator'!$E$11-BD210)&gt;=0,0,IFERROR(-PPMT($BI$66/12,(BC210-60),($F$1-5)*12,$BI$65),0))</f>
        <v>0</v>
      </c>
      <c r="BF210" s="497">
        <f>IF(('Comparison Calculator'!$E$11-BD210)&gt;=0,$C$1*$BI$66/12,IFERROR(-IPMT($BI$66/12,(BC210-60),($F$1-5)*12,$BI$65,0),0))</f>
        <v>0</v>
      </c>
      <c r="BG210" s="497">
        <f t="shared" si="96"/>
        <v>0</v>
      </c>
      <c r="BH210" s="497">
        <f t="shared" si="83"/>
        <v>1800000</v>
      </c>
      <c r="BI210" s="493"/>
      <c r="BJ210" s="493"/>
      <c r="BK210" s="492">
        <v>206</v>
      </c>
      <c r="BL210" s="492">
        <v>18</v>
      </c>
      <c r="BM210" s="497">
        <f>IF(('Comparison Calculator'!$E$11-BL210)&gt;=0,0,IFERROR(-PPMT($BQ$66/12,(BK210-60),($F$1-5)*12,$BQ$65),0))</f>
        <v>0</v>
      </c>
      <c r="BN210" s="497">
        <f>IF(('Comparison Calculator'!$E$11-BL210)&gt;=0,$C$1*$BQ$66/12,IFERROR(-IPMT($BQ$66/12,(BK210-60),($F$1-5)*12,$BQ$65,0),0))</f>
        <v>0</v>
      </c>
      <c r="BO210" s="497">
        <f t="shared" si="97"/>
        <v>0</v>
      </c>
      <c r="BP210" s="497">
        <f t="shared" si="84"/>
        <v>1800000</v>
      </c>
      <c r="BQ210" s="493"/>
      <c r="BR210" s="493"/>
      <c r="BT210" s="492">
        <v>206</v>
      </c>
      <c r="BU210" s="492">
        <v>18</v>
      </c>
      <c r="BV210" s="497">
        <f>IF(('Comparison Calculator'!$E$11-BU210)&gt;=0,0,IFERROR(-PPMT($BZ$66/12,(BT210-60),($F$1-5)*12,$BZ$65),0))</f>
        <v>0</v>
      </c>
      <c r="BW210" s="497">
        <f>IF(('Comparison Calculator'!$E$11-BU210)&gt;=0,$C$1*$BZ$66/12,IFERROR(-IPMT($BZ$66/12,(BT210-60),($F$1-5)*12,$BZ$65,0),0))</f>
        <v>0</v>
      </c>
      <c r="BX210" s="497">
        <f t="shared" si="98"/>
        <v>0</v>
      </c>
      <c r="BY210" s="497">
        <f t="shared" si="85"/>
        <v>1800000</v>
      </c>
      <c r="BZ210" s="493"/>
      <c r="CA210" s="493"/>
      <c r="CC210" s="492">
        <v>206</v>
      </c>
      <c r="CD210" s="492">
        <v>18</v>
      </c>
      <c r="CE210" s="497">
        <f>IF(('Comparison Calculator'!$E$11-CD210)&gt;=0,0,IFERROR(-PPMT($CI$66/12,(CC210-60),($F$1-5)*12,$CI$65),0))</f>
        <v>0</v>
      </c>
      <c r="CF210" s="497">
        <f>IF(('Comparison Calculator'!$E$11-CD210)&gt;=0,$C$1*$CI$66/12,IFERROR(-IPMT($CI$66/12,(CC210-60),($F$1-5)*12,$CI$65,0),0))</f>
        <v>0</v>
      </c>
      <c r="CG210" s="497">
        <f t="shared" si="99"/>
        <v>0</v>
      </c>
      <c r="CH210" s="497">
        <f t="shared" si="86"/>
        <v>1800000</v>
      </c>
      <c r="CI210" s="493"/>
      <c r="CJ210" s="493"/>
      <c r="CL210" s="492">
        <v>206</v>
      </c>
      <c r="CM210" s="492">
        <v>18</v>
      </c>
      <c r="CN210" s="497">
        <f>IF(('Comparison Calculator'!$E$11-CM210)&gt;=0,0,IFERROR(-PPMT($CR$66/12,(CL210-60),($F$1-5)*12,$CR$65),0))</f>
        <v>0</v>
      </c>
      <c r="CO210" s="497">
        <f>IF(('Comparison Calculator'!$E$11-CM210)&gt;=0,$C$1*$CI$66/12,IFERROR(-IPMT($CI$66/12,(CL210-60),($F$1-5)*12,$CI$65,0),0))</f>
        <v>0</v>
      </c>
      <c r="CP210" s="497">
        <f t="shared" si="100"/>
        <v>0</v>
      </c>
      <c r="CQ210" s="497">
        <f t="shared" si="87"/>
        <v>1800000</v>
      </c>
      <c r="CR210" s="493"/>
      <c r="CS210" s="493"/>
      <c r="CU210" s="492">
        <v>206</v>
      </c>
      <c r="CV210" s="492">
        <v>18</v>
      </c>
      <c r="CW210" s="497">
        <f>IF(('Comparison Calculator'!$E$11-CV210)&gt;=0,0,IFERROR(-PPMT($DA$66/12,(CU210-60),($F$1-5)*12,$DA$65),0))</f>
        <v>0</v>
      </c>
      <c r="CX210" s="497">
        <f>IF(('Comparison Calculator'!$E$11-CV210)&gt;=0,$C$1*$DA$66/12,IFERROR(-IPMT($DA$66/12,(CU210-60),($F$1-5)*12,$DA$65,0),0))</f>
        <v>0</v>
      </c>
      <c r="CY210" s="497">
        <f t="shared" si="101"/>
        <v>0</v>
      </c>
      <c r="CZ210" s="497">
        <f t="shared" si="88"/>
        <v>1800000</v>
      </c>
      <c r="DA210" s="493"/>
      <c r="DB210" s="493"/>
      <c r="DD210" s="492">
        <v>206</v>
      </c>
      <c r="DE210" s="492">
        <v>18</v>
      </c>
      <c r="DF210" s="497">
        <f>IF(('Comparison Calculator'!$E$11-DE210)&gt;=0,0,IFERROR(-PPMT($DJ$66/12,(DD210-60),($F$1-5)*12,$DJ$65),0))</f>
        <v>0</v>
      </c>
      <c r="DG210" s="497">
        <f>IF(('Comparison Calculator'!$E$11-DE210)&gt;=0,$C$1*$DJ$66/12,IFERROR(-IPMT($DJ$66/12,(DD210-60),($F$1-5)*12,$DJ$65,0),0))</f>
        <v>0</v>
      </c>
      <c r="DH210" s="497">
        <f t="shared" si="102"/>
        <v>0</v>
      </c>
      <c r="DI210" s="497">
        <f t="shared" si="89"/>
        <v>1800000</v>
      </c>
      <c r="DJ210" s="493"/>
      <c r="DK210" s="493"/>
    </row>
    <row r="211" spans="1:115">
      <c r="A211" s="492">
        <v>207</v>
      </c>
      <c r="B211" s="492">
        <v>18</v>
      </c>
      <c r="C211" s="497">
        <f>IF(('Comparison Calculator'!$E$11-B211)&gt;=0,0,IFERROR(-PPMT($G$66/12,(A211-60),($F$1-5)*12,$G$65),0))</f>
        <v>0</v>
      </c>
      <c r="D211" s="497">
        <f>IF(('Comparison Calculator'!$E$11-B211)&gt;=0,$C$1*$G$66/12,IFERROR(-IPMT($G$66/12,(A211-60),($F$1-5)*12,$G$65,0),0))</f>
        <v>0</v>
      </c>
      <c r="E211" s="497">
        <f t="shared" si="90"/>
        <v>0</v>
      </c>
      <c r="F211" s="497">
        <f t="shared" si="103"/>
        <v>1800000</v>
      </c>
      <c r="G211" s="493"/>
      <c r="H211" s="493"/>
      <c r="I211" s="489"/>
      <c r="J211" s="492">
        <v>207</v>
      </c>
      <c r="K211" s="492">
        <v>18</v>
      </c>
      <c r="L211" s="497">
        <f>IF(('Comparison Calculator'!$E$11-K211)&gt;=0,0,IFERROR(-PPMT($P$66/12,(J211-60),($F$1-5)*12,$P$65),0))</f>
        <v>0</v>
      </c>
      <c r="M211" s="497">
        <f>IF(('Comparison Calculator'!$E$11-K211)&gt;=0,$C$1*$P$66/12,IFERROR(-IPMT($P$66/12,(J211-60),($F$1-5)*12,$P$65,0),0))</f>
        <v>0</v>
      </c>
      <c r="N211" s="497">
        <f t="shared" si="91"/>
        <v>0</v>
      </c>
      <c r="O211" s="497">
        <f t="shared" si="78"/>
        <v>1800000</v>
      </c>
      <c r="P211" s="493"/>
      <c r="Q211" s="493"/>
      <c r="S211" s="492">
        <v>207</v>
      </c>
      <c r="T211" s="492">
        <v>18</v>
      </c>
      <c r="U211" s="497">
        <f>IF(('Comparison Calculator'!$E$11-T211)&gt;=0,0,IFERROR(-PPMT($Y$66/12,(S211-60),($F$1-5)*12,$Y$65),0))</f>
        <v>0</v>
      </c>
      <c r="V211" s="497">
        <f>IF(('Comparison Calculator'!$E$11-T211)&gt;=0,$C$1*$Y$66/12,IFERROR(-IPMT($Y$66/12,(S211-60),($F$1-5)*12,$Y$65,0),0))</f>
        <v>0</v>
      </c>
      <c r="W211" s="497">
        <f t="shared" si="92"/>
        <v>0</v>
      </c>
      <c r="X211" s="497">
        <f t="shared" si="79"/>
        <v>1800000</v>
      </c>
      <c r="Y211" s="493"/>
      <c r="Z211" s="493"/>
      <c r="AB211" s="492">
        <v>207</v>
      </c>
      <c r="AC211" s="492">
        <v>18</v>
      </c>
      <c r="AD211" s="497">
        <f>IF(('Comparison Calculator'!$E$11-AC211)&gt;=0,0,IFERROR(-PPMT($AH$66/12,(AB211-60),($F$1-5)*12,$AH$65),0))</f>
        <v>0</v>
      </c>
      <c r="AE211" s="497">
        <f>IF(('Comparison Calculator'!$E$11-AC211)&gt;=0,$C$1*$AH$66/12,IFERROR(-IPMT($AH$66/12,(AB211-60),($F$1-5)*12,$AH$65,0),0))</f>
        <v>0</v>
      </c>
      <c r="AF211" s="497">
        <f t="shared" si="93"/>
        <v>0</v>
      </c>
      <c r="AG211" s="497">
        <f t="shared" si="80"/>
        <v>1800000</v>
      </c>
      <c r="AH211" s="493"/>
      <c r="AI211" s="493"/>
      <c r="AK211" s="492">
        <v>207</v>
      </c>
      <c r="AL211" s="492">
        <v>18</v>
      </c>
      <c r="AM211" s="497">
        <f>IF(('Comparison Calculator'!$E$11-AL211)&gt;=0,0,IFERROR(-PPMT($AQ$66/12,(AK211-60),($F$1-5)*12,$AQ$65),0))</f>
        <v>0</v>
      </c>
      <c r="AN211" s="497">
        <f>IF(('Comparison Calculator'!$E$11-AL211)&gt;=0,$C$1*$AQ$66/12,IFERROR(-IPMT($AQ$66/12,(AK211-60),($F$1-5)*12,$AQ$65,0),0))</f>
        <v>0</v>
      </c>
      <c r="AO211" s="497">
        <f t="shared" si="94"/>
        <v>0</v>
      </c>
      <c r="AP211" s="497">
        <f t="shared" si="81"/>
        <v>1800000</v>
      </c>
      <c r="AQ211" s="493"/>
      <c r="AR211" s="493"/>
      <c r="AT211" s="492">
        <v>207</v>
      </c>
      <c r="AU211" s="492">
        <v>18</v>
      </c>
      <c r="AV211" s="497">
        <f>IF(('Comparison Calculator'!$E$11-AU211)&gt;=0,0,IFERROR(-PPMT($AZ$66/12,(AT211-60),($F$1-5)*12,$AZ$65),0))</f>
        <v>0</v>
      </c>
      <c r="AW211" s="497">
        <f>IF(('Comparison Calculator'!$E$11-AU211)&gt;=0,$C$1*$AZ$66/12,IFERROR(-IPMT($AZ$66/12,(AT211-60),($F$1-5)*12,$AZ$65,0),0))</f>
        <v>0</v>
      </c>
      <c r="AX211" s="497">
        <f t="shared" si="95"/>
        <v>0</v>
      </c>
      <c r="AY211" s="497">
        <f t="shared" si="82"/>
        <v>1800000</v>
      </c>
      <c r="AZ211" s="493"/>
      <c r="BA211" s="493"/>
      <c r="BC211" s="492">
        <v>207</v>
      </c>
      <c r="BD211" s="492">
        <v>18</v>
      </c>
      <c r="BE211" s="497">
        <f>IF(('Comparison Calculator'!$E$11-BD211)&gt;=0,0,IFERROR(-PPMT($BI$66/12,(BC211-60),($F$1-5)*12,$BI$65),0))</f>
        <v>0</v>
      </c>
      <c r="BF211" s="497">
        <f>IF(('Comparison Calculator'!$E$11-BD211)&gt;=0,$C$1*$BI$66/12,IFERROR(-IPMT($BI$66/12,(BC211-60),($F$1-5)*12,$BI$65,0),0))</f>
        <v>0</v>
      </c>
      <c r="BG211" s="497">
        <f t="shared" si="96"/>
        <v>0</v>
      </c>
      <c r="BH211" s="497">
        <f t="shared" si="83"/>
        <v>1800000</v>
      </c>
      <c r="BI211" s="493"/>
      <c r="BJ211" s="493"/>
      <c r="BK211" s="492">
        <v>207</v>
      </c>
      <c r="BL211" s="492">
        <v>18</v>
      </c>
      <c r="BM211" s="497">
        <f>IF(('Comparison Calculator'!$E$11-BL211)&gt;=0,0,IFERROR(-PPMT($BQ$66/12,(BK211-60),($F$1-5)*12,$BQ$65),0))</f>
        <v>0</v>
      </c>
      <c r="BN211" s="497">
        <f>IF(('Comparison Calculator'!$E$11-BL211)&gt;=0,$C$1*$BQ$66/12,IFERROR(-IPMT($BQ$66/12,(BK211-60),($F$1-5)*12,$BQ$65,0),0))</f>
        <v>0</v>
      </c>
      <c r="BO211" s="497">
        <f t="shared" si="97"/>
        <v>0</v>
      </c>
      <c r="BP211" s="497">
        <f t="shared" si="84"/>
        <v>1800000</v>
      </c>
      <c r="BQ211" s="493"/>
      <c r="BR211" s="493"/>
      <c r="BT211" s="492">
        <v>207</v>
      </c>
      <c r="BU211" s="492">
        <v>18</v>
      </c>
      <c r="BV211" s="497">
        <f>IF(('Comparison Calculator'!$E$11-BU211)&gt;=0,0,IFERROR(-PPMT($BZ$66/12,(BT211-60),($F$1-5)*12,$BZ$65),0))</f>
        <v>0</v>
      </c>
      <c r="BW211" s="497">
        <f>IF(('Comparison Calculator'!$E$11-BU211)&gt;=0,$C$1*$BZ$66/12,IFERROR(-IPMT($BZ$66/12,(BT211-60),($F$1-5)*12,$BZ$65,0),0))</f>
        <v>0</v>
      </c>
      <c r="BX211" s="497">
        <f t="shared" si="98"/>
        <v>0</v>
      </c>
      <c r="BY211" s="497">
        <f t="shared" si="85"/>
        <v>1800000</v>
      </c>
      <c r="BZ211" s="493"/>
      <c r="CA211" s="493"/>
      <c r="CC211" s="492">
        <v>207</v>
      </c>
      <c r="CD211" s="492">
        <v>18</v>
      </c>
      <c r="CE211" s="497">
        <f>IF(('Comparison Calculator'!$E$11-CD211)&gt;=0,0,IFERROR(-PPMT($CI$66/12,(CC211-60),($F$1-5)*12,$CI$65),0))</f>
        <v>0</v>
      </c>
      <c r="CF211" s="497">
        <f>IF(('Comparison Calculator'!$E$11-CD211)&gt;=0,$C$1*$CI$66/12,IFERROR(-IPMT($CI$66/12,(CC211-60),($F$1-5)*12,$CI$65,0),0))</f>
        <v>0</v>
      </c>
      <c r="CG211" s="497">
        <f t="shared" si="99"/>
        <v>0</v>
      </c>
      <c r="CH211" s="497">
        <f t="shared" si="86"/>
        <v>1800000</v>
      </c>
      <c r="CI211" s="493"/>
      <c r="CJ211" s="493"/>
      <c r="CL211" s="492">
        <v>207</v>
      </c>
      <c r="CM211" s="492">
        <v>18</v>
      </c>
      <c r="CN211" s="497">
        <f>IF(('Comparison Calculator'!$E$11-CM211)&gt;=0,0,IFERROR(-PPMT($CR$66/12,(CL211-60),($F$1-5)*12,$CR$65),0))</f>
        <v>0</v>
      </c>
      <c r="CO211" s="497">
        <f>IF(('Comparison Calculator'!$E$11-CM211)&gt;=0,$C$1*$CI$66/12,IFERROR(-IPMT($CI$66/12,(CL211-60),($F$1-5)*12,$CI$65,0),0))</f>
        <v>0</v>
      </c>
      <c r="CP211" s="497">
        <f t="shared" si="100"/>
        <v>0</v>
      </c>
      <c r="CQ211" s="497">
        <f t="shared" si="87"/>
        <v>1800000</v>
      </c>
      <c r="CR211" s="493"/>
      <c r="CS211" s="493"/>
      <c r="CU211" s="492">
        <v>207</v>
      </c>
      <c r="CV211" s="492">
        <v>18</v>
      </c>
      <c r="CW211" s="497">
        <f>IF(('Comparison Calculator'!$E$11-CV211)&gt;=0,0,IFERROR(-PPMT($DA$66/12,(CU211-60),($F$1-5)*12,$DA$65),0))</f>
        <v>0</v>
      </c>
      <c r="CX211" s="497">
        <f>IF(('Comparison Calculator'!$E$11-CV211)&gt;=0,$C$1*$DA$66/12,IFERROR(-IPMT($DA$66/12,(CU211-60),($F$1-5)*12,$DA$65,0),0))</f>
        <v>0</v>
      </c>
      <c r="CY211" s="497">
        <f t="shared" si="101"/>
        <v>0</v>
      </c>
      <c r="CZ211" s="497">
        <f t="shared" si="88"/>
        <v>1800000</v>
      </c>
      <c r="DA211" s="493"/>
      <c r="DB211" s="493"/>
      <c r="DD211" s="492">
        <v>207</v>
      </c>
      <c r="DE211" s="492">
        <v>18</v>
      </c>
      <c r="DF211" s="497">
        <f>IF(('Comparison Calculator'!$E$11-DE211)&gt;=0,0,IFERROR(-PPMT($DJ$66/12,(DD211-60),($F$1-5)*12,$DJ$65),0))</f>
        <v>0</v>
      </c>
      <c r="DG211" s="497">
        <f>IF(('Comparison Calculator'!$E$11-DE211)&gt;=0,$C$1*$DJ$66/12,IFERROR(-IPMT($DJ$66/12,(DD211-60),($F$1-5)*12,$DJ$65,0),0))</f>
        <v>0</v>
      </c>
      <c r="DH211" s="497">
        <f t="shared" si="102"/>
        <v>0</v>
      </c>
      <c r="DI211" s="497">
        <f t="shared" si="89"/>
        <v>1800000</v>
      </c>
      <c r="DJ211" s="493"/>
      <c r="DK211" s="493"/>
    </row>
    <row r="212" spans="1:115">
      <c r="A212" s="492">
        <v>208</v>
      </c>
      <c r="B212" s="492">
        <v>18</v>
      </c>
      <c r="C212" s="497">
        <f>IF(('Comparison Calculator'!$E$11-B212)&gt;=0,0,IFERROR(-PPMT($G$66/12,(A212-60),($F$1-5)*12,$G$65),0))</f>
        <v>0</v>
      </c>
      <c r="D212" s="497">
        <f>IF(('Comparison Calculator'!$E$11-B212)&gt;=0,$C$1*$G$66/12,IFERROR(-IPMT($G$66/12,(A212-60),($F$1-5)*12,$G$65,0),0))</f>
        <v>0</v>
      </c>
      <c r="E212" s="497">
        <f t="shared" si="90"/>
        <v>0</v>
      </c>
      <c r="F212" s="497">
        <f t="shared" si="103"/>
        <v>1800000</v>
      </c>
      <c r="G212" s="493"/>
      <c r="H212" s="493"/>
      <c r="I212" s="489"/>
      <c r="J212" s="492">
        <v>208</v>
      </c>
      <c r="K212" s="492">
        <v>18</v>
      </c>
      <c r="L212" s="497">
        <f>IF(('Comparison Calculator'!$E$11-K212)&gt;=0,0,IFERROR(-PPMT($P$66/12,(J212-60),($F$1-5)*12,$P$65),0))</f>
        <v>0</v>
      </c>
      <c r="M212" s="497">
        <f>IF(('Comparison Calculator'!$E$11-K212)&gt;=0,$C$1*$P$66/12,IFERROR(-IPMT($P$66/12,(J212-60),($F$1-5)*12,$P$65,0),0))</f>
        <v>0</v>
      </c>
      <c r="N212" s="497">
        <f t="shared" si="91"/>
        <v>0</v>
      </c>
      <c r="O212" s="497">
        <f t="shared" si="78"/>
        <v>1800000</v>
      </c>
      <c r="P212" s="493"/>
      <c r="Q212" s="493"/>
      <c r="S212" s="492">
        <v>208</v>
      </c>
      <c r="T212" s="492">
        <v>18</v>
      </c>
      <c r="U212" s="497">
        <f>IF(('Comparison Calculator'!$E$11-T212)&gt;=0,0,IFERROR(-PPMT($Y$66/12,(S212-60),($F$1-5)*12,$Y$65),0))</f>
        <v>0</v>
      </c>
      <c r="V212" s="497">
        <f>IF(('Comparison Calculator'!$E$11-T212)&gt;=0,$C$1*$Y$66/12,IFERROR(-IPMT($Y$66/12,(S212-60),($F$1-5)*12,$Y$65,0),0))</f>
        <v>0</v>
      </c>
      <c r="W212" s="497">
        <f t="shared" si="92"/>
        <v>0</v>
      </c>
      <c r="X212" s="497">
        <f t="shared" si="79"/>
        <v>1800000</v>
      </c>
      <c r="Y212" s="493"/>
      <c r="Z212" s="493"/>
      <c r="AB212" s="492">
        <v>208</v>
      </c>
      <c r="AC212" s="492">
        <v>18</v>
      </c>
      <c r="AD212" s="497">
        <f>IF(('Comparison Calculator'!$E$11-AC212)&gt;=0,0,IFERROR(-PPMT($AH$66/12,(AB212-60),($F$1-5)*12,$AH$65),0))</f>
        <v>0</v>
      </c>
      <c r="AE212" s="497">
        <f>IF(('Comparison Calculator'!$E$11-AC212)&gt;=0,$C$1*$AH$66/12,IFERROR(-IPMT($AH$66/12,(AB212-60),($F$1-5)*12,$AH$65,0),0))</f>
        <v>0</v>
      </c>
      <c r="AF212" s="497">
        <f t="shared" si="93"/>
        <v>0</v>
      </c>
      <c r="AG212" s="497">
        <f t="shared" si="80"/>
        <v>1800000</v>
      </c>
      <c r="AH212" s="493"/>
      <c r="AI212" s="493"/>
      <c r="AK212" s="492">
        <v>208</v>
      </c>
      <c r="AL212" s="492">
        <v>18</v>
      </c>
      <c r="AM212" s="497">
        <f>IF(('Comparison Calculator'!$E$11-AL212)&gt;=0,0,IFERROR(-PPMT($AQ$66/12,(AK212-60),($F$1-5)*12,$AQ$65),0))</f>
        <v>0</v>
      </c>
      <c r="AN212" s="497">
        <f>IF(('Comparison Calculator'!$E$11-AL212)&gt;=0,$C$1*$AQ$66/12,IFERROR(-IPMT($AQ$66/12,(AK212-60),($F$1-5)*12,$AQ$65,0),0))</f>
        <v>0</v>
      </c>
      <c r="AO212" s="497">
        <f t="shared" si="94"/>
        <v>0</v>
      </c>
      <c r="AP212" s="497">
        <f t="shared" si="81"/>
        <v>1800000</v>
      </c>
      <c r="AQ212" s="493"/>
      <c r="AR212" s="493"/>
      <c r="AT212" s="492">
        <v>208</v>
      </c>
      <c r="AU212" s="492">
        <v>18</v>
      </c>
      <c r="AV212" s="497">
        <f>IF(('Comparison Calculator'!$E$11-AU212)&gt;=0,0,IFERROR(-PPMT($AZ$66/12,(AT212-60),($F$1-5)*12,$AZ$65),0))</f>
        <v>0</v>
      </c>
      <c r="AW212" s="497">
        <f>IF(('Comparison Calculator'!$E$11-AU212)&gt;=0,$C$1*$AZ$66/12,IFERROR(-IPMT($AZ$66/12,(AT212-60),($F$1-5)*12,$AZ$65,0),0))</f>
        <v>0</v>
      </c>
      <c r="AX212" s="497">
        <f t="shared" si="95"/>
        <v>0</v>
      </c>
      <c r="AY212" s="497">
        <f t="shared" si="82"/>
        <v>1800000</v>
      </c>
      <c r="AZ212" s="493"/>
      <c r="BA212" s="493"/>
      <c r="BC212" s="492">
        <v>208</v>
      </c>
      <c r="BD212" s="492">
        <v>18</v>
      </c>
      <c r="BE212" s="497">
        <f>IF(('Comparison Calculator'!$E$11-BD212)&gt;=0,0,IFERROR(-PPMT($BI$66/12,(BC212-60),($F$1-5)*12,$BI$65),0))</f>
        <v>0</v>
      </c>
      <c r="BF212" s="497">
        <f>IF(('Comparison Calculator'!$E$11-BD212)&gt;=0,$C$1*$BI$66/12,IFERROR(-IPMT($BI$66/12,(BC212-60),($F$1-5)*12,$BI$65,0),0))</f>
        <v>0</v>
      </c>
      <c r="BG212" s="497">
        <f t="shared" si="96"/>
        <v>0</v>
      </c>
      <c r="BH212" s="497">
        <f t="shared" si="83"/>
        <v>1800000</v>
      </c>
      <c r="BI212" s="493"/>
      <c r="BJ212" s="493"/>
      <c r="BK212" s="492">
        <v>208</v>
      </c>
      <c r="BL212" s="492">
        <v>18</v>
      </c>
      <c r="BM212" s="497">
        <f>IF(('Comparison Calculator'!$E$11-BL212)&gt;=0,0,IFERROR(-PPMT($BQ$66/12,(BK212-60),($F$1-5)*12,$BQ$65),0))</f>
        <v>0</v>
      </c>
      <c r="BN212" s="497">
        <f>IF(('Comparison Calculator'!$E$11-BL212)&gt;=0,$C$1*$BQ$66/12,IFERROR(-IPMT($BQ$66/12,(BK212-60),($F$1-5)*12,$BQ$65,0),0))</f>
        <v>0</v>
      </c>
      <c r="BO212" s="497">
        <f t="shared" si="97"/>
        <v>0</v>
      </c>
      <c r="BP212" s="497">
        <f t="shared" si="84"/>
        <v>1800000</v>
      </c>
      <c r="BQ212" s="493"/>
      <c r="BR212" s="493"/>
      <c r="BT212" s="492">
        <v>208</v>
      </c>
      <c r="BU212" s="492">
        <v>18</v>
      </c>
      <c r="BV212" s="497">
        <f>IF(('Comparison Calculator'!$E$11-BU212)&gt;=0,0,IFERROR(-PPMT($BZ$66/12,(BT212-60),($F$1-5)*12,$BZ$65),0))</f>
        <v>0</v>
      </c>
      <c r="BW212" s="497">
        <f>IF(('Comparison Calculator'!$E$11-BU212)&gt;=0,$C$1*$BZ$66/12,IFERROR(-IPMT($BZ$66/12,(BT212-60),($F$1-5)*12,$BZ$65,0),0))</f>
        <v>0</v>
      </c>
      <c r="BX212" s="497">
        <f t="shared" si="98"/>
        <v>0</v>
      </c>
      <c r="BY212" s="497">
        <f t="shared" si="85"/>
        <v>1800000</v>
      </c>
      <c r="BZ212" s="493"/>
      <c r="CA212" s="493"/>
      <c r="CC212" s="492">
        <v>208</v>
      </c>
      <c r="CD212" s="492">
        <v>18</v>
      </c>
      <c r="CE212" s="497">
        <f>IF(('Comparison Calculator'!$E$11-CD212)&gt;=0,0,IFERROR(-PPMT($CI$66/12,(CC212-60),($F$1-5)*12,$CI$65),0))</f>
        <v>0</v>
      </c>
      <c r="CF212" s="497">
        <f>IF(('Comparison Calculator'!$E$11-CD212)&gt;=0,$C$1*$CI$66/12,IFERROR(-IPMT($CI$66/12,(CC212-60),($F$1-5)*12,$CI$65,0),0))</f>
        <v>0</v>
      </c>
      <c r="CG212" s="497">
        <f t="shared" si="99"/>
        <v>0</v>
      </c>
      <c r="CH212" s="497">
        <f t="shared" si="86"/>
        <v>1800000</v>
      </c>
      <c r="CI212" s="493"/>
      <c r="CJ212" s="493"/>
      <c r="CL212" s="492">
        <v>208</v>
      </c>
      <c r="CM212" s="492">
        <v>18</v>
      </c>
      <c r="CN212" s="497">
        <f>IF(('Comparison Calculator'!$E$11-CM212)&gt;=0,0,IFERROR(-PPMT($CR$66/12,(CL212-60),($F$1-5)*12,$CR$65),0))</f>
        <v>0</v>
      </c>
      <c r="CO212" s="497">
        <f>IF(('Comparison Calculator'!$E$11-CM212)&gt;=0,$C$1*$CI$66/12,IFERROR(-IPMT($CI$66/12,(CL212-60),($F$1-5)*12,$CI$65,0),0))</f>
        <v>0</v>
      </c>
      <c r="CP212" s="497">
        <f t="shared" si="100"/>
        <v>0</v>
      </c>
      <c r="CQ212" s="497">
        <f t="shared" si="87"/>
        <v>1800000</v>
      </c>
      <c r="CR212" s="493"/>
      <c r="CS212" s="493"/>
      <c r="CU212" s="492">
        <v>208</v>
      </c>
      <c r="CV212" s="492">
        <v>18</v>
      </c>
      <c r="CW212" s="497">
        <f>IF(('Comparison Calculator'!$E$11-CV212)&gt;=0,0,IFERROR(-PPMT($DA$66/12,(CU212-60),($F$1-5)*12,$DA$65),0))</f>
        <v>0</v>
      </c>
      <c r="CX212" s="497">
        <f>IF(('Comparison Calculator'!$E$11-CV212)&gt;=0,$C$1*$DA$66/12,IFERROR(-IPMT($DA$66/12,(CU212-60),($F$1-5)*12,$DA$65,0),0))</f>
        <v>0</v>
      </c>
      <c r="CY212" s="497">
        <f t="shared" si="101"/>
        <v>0</v>
      </c>
      <c r="CZ212" s="497">
        <f t="shared" si="88"/>
        <v>1800000</v>
      </c>
      <c r="DA212" s="493"/>
      <c r="DB212" s="493"/>
      <c r="DD212" s="492">
        <v>208</v>
      </c>
      <c r="DE212" s="492">
        <v>18</v>
      </c>
      <c r="DF212" s="497">
        <f>IF(('Comparison Calculator'!$E$11-DE212)&gt;=0,0,IFERROR(-PPMT($DJ$66/12,(DD212-60),($F$1-5)*12,$DJ$65),0))</f>
        <v>0</v>
      </c>
      <c r="DG212" s="497">
        <f>IF(('Comparison Calculator'!$E$11-DE212)&gt;=0,$C$1*$DJ$66/12,IFERROR(-IPMT($DJ$66/12,(DD212-60),($F$1-5)*12,$DJ$65,0),0))</f>
        <v>0</v>
      </c>
      <c r="DH212" s="497">
        <f t="shared" si="102"/>
        <v>0</v>
      </c>
      <c r="DI212" s="497">
        <f t="shared" si="89"/>
        <v>1800000</v>
      </c>
      <c r="DJ212" s="493"/>
      <c r="DK212" s="493"/>
    </row>
    <row r="213" spans="1:115">
      <c r="A213" s="492">
        <v>209</v>
      </c>
      <c r="B213" s="492">
        <v>18</v>
      </c>
      <c r="C213" s="497">
        <f>IF(('Comparison Calculator'!$E$11-B213)&gt;=0,0,IFERROR(-PPMT($G$66/12,(A213-60),($F$1-5)*12,$G$65),0))</f>
        <v>0</v>
      </c>
      <c r="D213" s="497">
        <f>IF(('Comparison Calculator'!$E$11-B213)&gt;=0,$C$1*$G$66/12,IFERROR(-IPMT($G$66/12,(A213-60),($F$1-5)*12,$G$65,0),0))</f>
        <v>0</v>
      </c>
      <c r="E213" s="497">
        <f t="shared" si="90"/>
        <v>0</v>
      </c>
      <c r="F213" s="497">
        <f t="shared" si="103"/>
        <v>1800000</v>
      </c>
      <c r="G213" s="493"/>
      <c r="H213" s="493"/>
      <c r="I213" s="489"/>
      <c r="J213" s="492">
        <v>209</v>
      </c>
      <c r="K213" s="492">
        <v>18</v>
      </c>
      <c r="L213" s="497">
        <f>IF(('Comparison Calculator'!$E$11-K213)&gt;=0,0,IFERROR(-PPMT($P$66/12,(J213-60),($F$1-5)*12,$P$65),0))</f>
        <v>0</v>
      </c>
      <c r="M213" s="497">
        <f>IF(('Comparison Calculator'!$E$11-K213)&gt;=0,$C$1*$P$66/12,IFERROR(-IPMT($P$66/12,(J213-60),($F$1-5)*12,$P$65,0),0))</f>
        <v>0</v>
      </c>
      <c r="N213" s="497">
        <f t="shared" si="91"/>
        <v>0</v>
      </c>
      <c r="O213" s="497">
        <f t="shared" si="78"/>
        <v>1800000</v>
      </c>
      <c r="P213" s="493"/>
      <c r="Q213" s="493"/>
      <c r="S213" s="492">
        <v>209</v>
      </c>
      <c r="T213" s="492">
        <v>18</v>
      </c>
      <c r="U213" s="497">
        <f>IF(('Comparison Calculator'!$E$11-T213)&gt;=0,0,IFERROR(-PPMT($Y$66/12,(S213-60),($F$1-5)*12,$Y$65),0))</f>
        <v>0</v>
      </c>
      <c r="V213" s="497">
        <f>IF(('Comparison Calculator'!$E$11-T213)&gt;=0,$C$1*$Y$66/12,IFERROR(-IPMT($Y$66/12,(S213-60),($F$1-5)*12,$Y$65,0),0))</f>
        <v>0</v>
      </c>
      <c r="W213" s="497">
        <f t="shared" si="92"/>
        <v>0</v>
      </c>
      <c r="X213" s="497">
        <f t="shared" si="79"/>
        <v>1800000</v>
      </c>
      <c r="Y213" s="493"/>
      <c r="Z213" s="493"/>
      <c r="AB213" s="492">
        <v>209</v>
      </c>
      <c r="AC213" s="492">
        <v>18</v>
      </c>
      <c r="AD213" s="497">
        <f>IF(('Comparison Calculator'!$E$11-AC213)&gt;=0,0,IFERROR(-PPMT($AH$66/12,(AB213-60),($F$1-5)*12,$AH$65),0))</f>
        <v>0</v>
      </c>
      <c r="AE213" s="497">
        <f>IF(('Comparison Calculator'!$E$11-AC213)&gt;=0,$C$1*$AH$66/12,IFERROR(-IPMT($AH$66/12,(AB213-60),($F$1-5)*12,$AH$65,0),0))</f>
        <v>0</v>
      </c>
      <c r="AF213" s="497">
        <f t="shared" si="93"/>
        <v>0</v>
      </c>
      <c r="AG213" s="497">
        <f t="shared" si="80"/>
        <v>1800000</v>
      </c>
      <c r="AH213" s="493"/>
      <c r="AI213" s="493"/>
      <c r="AK213" s="492">
        <v>209</v>
      </c>
      <c r="AL213" s="492">
        <v>18</v>
      </c>
      <c r="AM213" s="497">
        <f>IF(('Comparison Calculator'!$E$11-AL213)&gt;=0,0,IFERROR(-PPMT($AQ$66/12,(AK213-60),($F$1-5)*12,$AQ$65),0))</f>
        <v>0</v>
      </c>
      <c r="AN213" s="497">
        <f>IF(('Comparison Calculator'!$E$11-AL213)&gt;=0,$C$1*$AQ$66/12,IFERROR(-IPMT($AQ$66/12,(AK213-60),($F$1-5)*12,$AQ$65,0),0))</f>
        <v>0</v>
      </c>
      <c r="AO213" s="497">
        <f t="shared" si="94"/>
        <v>0</v>
      </c>
      <c r="AP213" s="497">
        <f t="shared" si="81"/>
        <v>1800000</v>
      </c>
      <c r="AQ213" s="493"/>
      <c r="AR213" s="493"/>
      <c r="AT213" s="492">
        <v>209</v>
      </c>
      <c r="AU213" s="492">
        <v>18</v>
      </c>
      <c r="AV213" s="497">
        <f>IF(('Comparison Calculator'!$E$11-AU213)&gt;=0,0,IFERROR(-PPMT($AZ$66/12,(AT213-60),($F$1-5)*12,$AZ$65),0))</f>
        <v>0</v>
      </c>
      <c r="AW213" s="497">
        <f>IF(('Comparison Calculator'!$E$11-AU213)&gt;=0,$C$1*$AZ$66/12,IFERROR(-IPMT($AZ$66/12,(AT213-60),($F$1-5)*12,$AZ$65,0),0))</f>
        <v>0</v>
      </c>
      <c r="AX213" s="497">
        <f t="shared" si="95"/>
        <v>0</v>
      </c>
      <c r="AY213" s="497">
        <f t="shared" si="82"/>
        <v>1800000</v>
      </c>
      <c r="AZ213" s="493"/>
      <c r="BA213" s="493"/>
      <c r="BC213" s="492">
        <v>209</v>
      </c>
      <c r="BD213" s="492">
        <v>18</v>
      </c>
      <c r="BE213" s="497">
        <f>IF(('Comparison Calculator'!$E$11-BD213)&gt;=0,0,IFERROR(-PPMT($BI$66/12,(BC213-60),($F$1-5)*12,$BI$65),0))</f>
        <v>0</v>
      </c>
      <c r="BF213" s="497">
        <f>IF(('Comparison Calculator'!$E$11-BD213)&gt;=0,$C$1*$BI$66/12,IFERROR(-IPMT($BI$66/12,(BC213-60),($F$1-5)*12,$BI$65,0),0))</f>
        <v>0</v>
      </c>
      <c r="BG213" s="497">
        <f t="shared" si="96"/>
        <v>0</v>
      </c>
      <c r="BH213" s="497">
        <f t="shared" si="83"/>
        <v>1800000</v>
      </c>
      <c r="BI213" s="493"/>
      <c r="BJ213" s="493"/>
      <c r="BK213" s="492">
        <v>209</v>
      </c>
      <c r="BL213" s="492">
        <v>18</v>
      </c>
      <c r="BM213" s="497">
        <f>IF(('Comparison Calculator'!$E$11-BL213)&gt;=0,0,IFERROR(-PPMT($BQ$66/12,(BK213-60),($F$1-5)*12,$BQ$65),0))</f>
        <v>0</v>
      </c>
      <c r="BN213" s="497">
        <f>IF(('Comparison Calculator'!$E$11-BL213)&gt;=0,$C$1*$BQ$66/12,IFERROR(-IPMT($BQ$66/12,(BK213-60),($F$1-5)*12,$BQ$65,0),0))</f>
        <v>0</v>
      </c>
      <c r="BO213" s="497">
        <f t="shared" si="97"/>
        <v>0</v>
      </c>
      <c r="BP213" s="497">
        <f t="shared" si="84"/>
        <v>1800000</v>
      </c>
      <c r="BQ213" s="493"/>
      <c r="BR213" s="493"/>
      <c r="BT213" s="492">
        <v>209</v>
      </c>
      <c r="BU213" s="492">
        <v>18</v>
      </c>
      <c r="BV213" s="497">
        <f>IF(('Comparison Calculator'!$E$11-BU213)&gt;=0,0,IFERROR(-PPMT($BZ$66/12,(BT213-60),($F$1-5)*12,$BZ$65),0))</f>
        <v>0</v>
      </c>
      <c r="BW213" s="497">
        <f>IF(('Comparison Calculator'!$E$11-BU213)&gt;=0,$C$1*$BZ$66/12,IFERROR(-IPMT($BZ$66/12,(BT213-60),($F$1-5)*12,$BZ$65,0),0))</f>
        <v>0</v>
      </c>
      <c r="BX213" s="497">
        <f t="shared" si="98"/>
        <v>0</v>
      </c>
      <c r="BY213" s="497">
        <f t="shared" si="85"/>
        <v>1800000</v>
      </c>
      <c r="BZ213" s="493"/>
      <c r="CA213" s="493"/>
      <c r="CC213" s="492">
        <v>209</v>
      </c>
      <c r="CD213" s="492">
        <v>18</v>
      </c>
      <c r="CE213" s="497">
        <f>IF(('Comparison Calculator'!$E$11-CD213)&gt;=0,0,IFERROR(-PPMT($CI$66/12,(CC213-60),($F$1-5)*12,$CI$65),0))</f>
        <v>0</v>
      </c>
      <c r="CF213" s="497">
        <f>IF(('Comparison Calculator'!$E$11-CD213)&gt;=0,$C$1*$CI$66/12,IFERROR(-IPMT($CI$66/12,(CC213-60),($F$1-5)*12,$CI$65,0),0))</f>
        <v>0</v>
      </c>
      <c r="CG213" s="497">
        <f t="shared" si="99"/>
        <v>0</v>
      </c>
      <c r="CH213" s="497">
        <f t="shared" si="86"/>
        <v>1800000</v>
      </c>
      <c r="CI213" s="493"/>
      <c r="CJ213" s="493"/>
      <c r="CL213" s="492">
        <v>209</v>
      </c>
      <c r="CM213" s="492">
        <v>18</v>
      </c>
      <c r="CN213" s="497">
        <f>IF(('Comparison Calculator'!$E$11-CM213)&gt;=0,0,IFERROR(-PPMT($CR$66/12,(CL213-60),($F$1-5)*12,$CR$65),0))</f>
        <v>0</v>
      </c>
      <c r="CO213" s="497">
        <f>IF(('Comparison Calculator'!$E$11-CM213)&gt;=0,$C$1*$CI$66/12,IFERROR(-IPMT($CI$66/12,(CL213-60),($F$1-5)*12,$CI$65,0),0))</f>
        <v>0</v>
      </c>
      <c r="CP213" s="497">
        <f t="shared" si="100"/>
        <v>0</v>
      </c>
      <c r="CQ213" s="497">
        <f t="shared" si="87"/>
        <v>1800000</v>
      </c>
      <c r="CR213" s="493"/>
      <c r="CS213" s="493"/>
      <c r="CU213" s="492">
        <v>209</v>
      </c>
      <c r="CV213" s="492">
        <v>18</v>
      </c>
      <c r="CW213" s="497">
        <f>IF(('Comparison Calculator'!$E$11-CV213)&gt;=0,0,IFERROR(-PPMT($DA$66/12,(CU213-60),($F$1-5)*12,$DA$65),0))</f>
        <v>0</v>
      </c>
      <c r="CX213" s="497">
        <f>IF(('Comparison Calculator'!$E$11-CV213)&gt;=0,$C$1*$DA$66/12,IFERROR(-IPMT($DA$66/12,(CU213-60),($F$1-5)*12,$DA$65,0),0))</f>
        <v>0</v>
      </c>
      <c r="CY213" s="497">
        <f t="shared" si="101"/>
        <v>0</v>
      </c>
      <c r="CZ213" s="497">
        <f t="shared" si="88"/>
        <v>1800000</v>
      </c>
      <c r="DA213" s="493"/>
      <c r="DB213" s="493"/>
      <c r="DD213" s="492">
        <v>209</v>
      </c>
      <c r="DE213" s="492">
        <v>18</v>
      </c>
      <c r="DF213" s="497">
        <f>IF(('Comparison Calculator'!$E$11-DE213)&gt;=0,0,IFERROR(-PPMT($DJ$66/12,(DD213-60),($F$1-5)*12,$DJ$65),0))</f>
        <v>0</v>
      </c>
      <c r="DG213" s="497">
        <f>IF(('Comparison Calculator'!$E$11-DE213)&gt;=0,$C$1*$DJ$66/12,IFERROR(-IPMT($DJ$66/12,(DD213-60),($F$1-5)*12,$DJ$65,0),0))</f>
        <v>0</v>
      </c>
      <c r="DH213" s="497">
        <f t="shared" si="102"/>
        <v>0</v>
      </c>
      <c r="DI213" s="497">
        <f t="shared" si="89"/>
        <v>1800000</v>
      </c>
      <c r="DJ213" s="493"/>
      <c r="DK213" s="493"/>
    </row>
    <row r="214" spans="1:115">
      <c r="A214" s="492">
        <v>210</v>
      </c>
      <c r="B214" s="492">
        <v>18</v>
      </c>
      <c r="C214" s="497">
        <f>IF(('Comparison Calculator'!$E$11-B214)&gt;=0,0,IFERROR(-PPMT($G$66/12,(A214-60),($F$1-5)*12,$G$65),0))</f>
        <v>0</v>
      </c>
      <c r="D214" s="497">
        <f>IF(('Comparison Calculator'!$E$11-B214)&gt;=0,$C$1*$G$66/12,IFERROR(-IPMT($G$66/12,(A214-60),($F$1-5)*12,$G$65,0),0))</f>
        <v>0</v>
      </c>
      <c r="E214" s="497">
        <f t="shared" si="90"/>
        <v>0</v>
      </c>
      <c r="F214" s="497">
        <f t="shared" si="103"/>
        <v>1800000</v>
      </c>
      <c r="G214" s="493"/>
      <c r="H214" s="493"/>
      <c r="I214" s="489"/>
      <c r="J214" s="492">
        <v>210</v>
      </c>
      <c r="K214" s="492">
        <v>18</v>
      </c>
      <c r="L214" s="497">
        <f>IF(('Comparison Calculator'!$E$11-K214)&gt;=0,0,IFERROR(-PPMT($P$66/12,(J214-60),($F$1-5)*12,$P$65),0))</f>
        <v>0</v>
      </c>
      <c r="M214" s="497">
        <f>IF(('Comparison Calculator'!$E$11-K214)&gt;=0,$C$1*$P$66/12,IFERROR(-IPMT($P$66/12,(J214-60),($F$1-5)*12,$P$65,0),0))</f>
        <v>0</v>
      </c>
      <c r="N214" s="497">
        <f t="shared" si="91"/>
        <v>0</v>
      </c>
      <c r="O214" s="497">
        <f t="shared" si="78"/>
        <v>1800000</v>
      </c>
      <c r="P214" s="493"/>
      <c r="Q214" s="493"/>
      <c r="S214" s="492">
        <v>210</v>
      </c>
      <c r="T214" s="492">
        <v>18</v>
      </c>
      <c r="U214" s="497">
        <f>IF(('Comparison Calculator'!$E$11-T214)&gt;=0,0,IFERROR(-PPMT($Y$66/12,(S214-60),($F$1-5)*12,$Y$65),0))</f>
        <v>0</v>
      </c>
      <c r="V214" s="497">
        <f>IF(('Comparison Calculator'!$E$11-T214)&gt;=0,$C$1*$Y$66/12,IFERROR(-IPMT($Y$66/12,(S214-60),($F$1-5)*12,$Y$65,0),0))</f>
        <v>0</v>
      </c>
      <c r="W214" s="497">
        <f t="shared" si="92"/>
        <v>0</v>
      </c>
      <c r="X214" s="497">
        <f t="shared" si="79"/>
        <v>1800000</v>
      </c>
      <c r="Y214" s="493"/>
      <c r="Z214" s="493"/>
      <c r="AB214" s="492">
        <v>210</v>
      </c>
      <c r="AC214" s="492">
        <v>18</v>
      </c>
      <c r="AD214" s="497">
        <f>IF(('Comparison Calculator'!$E$11-AC214)&gt;=0,0,IFERROR(-PPMT($AH$66/12,(AB214-60),($F$1-5)*12,$AH$65),0))</f>
        <v>0</v>
      </c>
      <c r="AE214" s="497">
        <f>IF(('Comparison Calculator'!$E$11-AC214)&gt;=0,$C$1*$AH$66/12,IFERROR(-IPMT($AH$66/12,(AB214-60),($F$1-5)*12,$AH$65,0),0))</f>
        <v>0</v>
      </c>
      <c r="AF214" s="497">
        <f t="shared" si="93"/>
        <v>0</v>
      </c>
      <c r="AG214" s="497">
        <f t="shared" si="80"/>
        <v>1800000</v>
      </c>
      <c r="AH214" s="493"/>
      <c r="AI214" s="493"/>
      <c r="AK214" s="492">
        <v>210</v>
      </c>
      <c r="AL214" s="492">
        <v>18</v>
      </c>
      <c r="AM214" s="497">
        <f>IF(('Comparison Calculator'!$E$11-AL214)&gt;=0,0,IFERROR(-PPMT($AQ$66/12,(AK214-60),($F$1-5)*12,$AQ$65),0))</f>
        <v>0</v>
      </c>
      <c r="AN214" s="497">
        <f>IF(('Comparison Calculator'!$E$11-AL214)&gt;=0,$C$1*$AQ$66/12,IFERROR(-IPMT($AQ$66/12,(AK214-60),($F$1-5)*12,$AQ$65,0),0))</f>
        <v>0</v>
      </c>
      <c r="AO214" s="497">
        <f t="shared" si="94"/>
        <v>0</v>
      </c>
      <c r="AP214" s="497">
        <f t="shared" si="81"/>
        <v>1800000</v>
      </c>
      <c r="AQ214" s="493"/>
      <c r="AR214" s="493"/>
      <c r="AT214" s="492">
        <v>210</v>
      </c>
      <c r="AU214" s="492">
        <v>18</v>
      </c>
      <c r="AV214" s="497">
        <f>IF(('Comparison Calculator'!$E$11-AU214)&gt;=0,0,IFERROR(-PPMT($AZ$66/12,(AT214-60),($F$1-5)*12,$AZ$65),0))</f>
        <v>0</v>
      </c>
      <c r="AW214" s="497">
        <f>IF(('Comparison Calculator'!$E$11-AU214)&gt;=0,$C$1*$AZ$66/12,IFERROR(-IPMT($AZ$66/12,(AT214-60),($F$1-5)*12,$AZ$65,0),0))</f>
        <v>0</v>
      </c>
      <c r="AX214" s="497">
        <f t="shared" si="95"/>
        <v>0</v>
      </c>
      <c r="AY214" s="497">
        <f t="shared" si="82"/>
        <v>1800000</v>
      </c>
      <c r="AZ214" s="493"/>
      <c r="BA214" s="493"/>
      <c r="BC214" s="492">
        <v>210</v>
      </c>
      <c r="BD214" s="492">
        <v>18</v>
      </c>
      <c r="BE214" s="497">
        <f>IF(('Comparison Calculator'!$E$11-BD214)&gt;=0,0,IFERROR(-PPMT($BI$66/12,(BC214-60),($F$1-5)*12,$BI$65),0))</f>
        <v>0</v>
      </c>
      <c r="BF214" s="497">
        <f>IF(('Comparison Calculator'!$E$11-BD214)&gt;=0,$C$1*$BI$66/12,IFERROR(-IPMT($BI$66/12,(BC214-60),($F$1-5)*12,$BI$65,0),0))</f>
        <v>0</v>
      </c>
      <c r="BG214" s="497">
        <f t="shared" si="96"/>
        <v>0</v>
      </c>
      <c r="BH214" s="497">
        <f t="shared" si="83"/>
        <v>1800000</v>
      </c>
      <c r="BI214" s="493"/>
      <c r="BJ214" s="493"/>
      <c r="BK214" s="492">
        <v>210</v>
      </c>
      <c r="BL214" s="492">
        <v>18</v>
      </c>
      <c r="BM214" s="497">
        <f>IF(('Comparison Calculator'!$E$11-BL214)&gt;=0,0,IFERROR(-PPMT($BQ$66/12,(BK214-60),($F$1-5)*12,$BQ$65),0))</f>
        <v>0</v>
      </c>
      <c r="BN214" s="497">
        <f>IF(('Comparison Calculator'!$E$11-BL214)&gt;=0,$C$1*$BQ$66/12,IFERROR(-IPMT($BQ$66/12,(BK214-60),($F$1-5)*12,$BQ$65,0),0))</f>
        <v>0</v>
      </c>
      <c r="BO214" s="497">
        <f t="shared" si="97"/>
        <v>0</v>
      </c>
      <c r="BP214" s="497">
        <f t="shared" si="84"/>
        <v>1800000</v>
      </c>
      <c r="BQ214" s="493"/>
      <c r="BR214" s="493"/>
      <c r="BT214" s="492">
        <v>210</v>
      </c>
      <c r="BU214" s="492">
        <v>18</v>
      </c>
      <c r="BV214" s="497">
        <f>IF(('Comparison Calculator'!$E$11-BU214)&gt;=0,0,IFERROR(-PPMT($BZ$66/12,(BT214-60),($F$1-5)*12,$BZ$65),0))</f>
        <v>0</v>
      </c>
      <c r="BW214" s="497">
        <f>IF(('Comparison Calculator'!$E$11-BU214)&gt;=0,$C$1*$BZ$66/12,IFERROR(-IPMT($BZ$66/12,(BT214-60),($F$1-5)*12,$BZ$65,0),0))</f>
        <v>0</v>
      </c>
      <c r="BX214" s="497">
        <f t="shared" si="98"/>
        <v>0</v>
      </c>
      <c r="BY214" s="497">
        <f t="shared" si="85"/>
        <v>1800000</v>
      </c>
      <c r="BZ214" s="493"/>
      <c r="CA214" s="493"/>
      <c r="CC214" s="492">
        <v>210</v>
      </c>
      <c r="CD214" s="492">
        <v>18</v>
      </c>
      <c r="CE214" s="497">
        <f>IF(('Comparison Calculator'!$E$11-CD214)&gt;=0,0,IFERROR(-PPMT($CI$66/12,(CC214-60),($F$1-5)*12,$CI$65),0))</f>
        <v>0</v>
      </c>
      <c r="CF214" s="497">
        <f>IF(('Comparison Calculator'!$E$11-CD214)&gt;=0,$C$1*$CI$66/12,IFERROR(-IPMT($CI$66/12,(CC214-60),($F$1-5)*12,$CI$65,0),0))</f>
        <v>0</v>
      </c>
      <c r="CG214" s="497">
        <f t="shared" si="99"/>
        <v>0</v>
      </c>
      <c r="CH214" s="497">
        <f t="shared" si="86"/>
        <v>1800000</v>
      </c>
      <c r="CI214" s="493"/>
      <c r="CJ214" s="493"/>
      <c r="CL214" s="492">
        <v>210</v>
      </c>
      <c r="CM214" s="492">
        <v>18</v>
      </c>
      <c r="CN214" s="497">
        <f>IF(('Comparison Calculator'!$E$11-CM214)&gt;=0,0,IFERROR(-PPMT($CR$66/12,(CL214-60),($F$1-5)*12,$CR$65),0))</f>
        <v>0</v>
      </c>
      <c r="CO214" s="497">
        <f>IF(('Comparison Calculator'!$E$11-CM214)&gt;=0,$C$1*$CI$66/12,IFERROR(-IPMT($CI$66/12,(CL214-60),($F$1-5)*12,$CI$65,0),0))</f>
        <v>0</v>
      </c>
      <c r="CP214" s="497">
        <f t="shared" si="100"/>
        <v>0</v>
      </c>
      <c r="CQ214" s="497">
        <f t="shared" si="87"/>
        <v>1800000</v>
      </c>
      <c r="CR214" s="493"/>
      <c r="CS214" s="493"/>
      <c r="CU214" s="492">
        <v>210</v>
      </c>
      <c r="CV214" s="492">
        <v>18</v>
      </c>
      <c r="CW214" s="497">
        <f>IF(('Comparison Calculator'!$E$11-CV214)&gt;=0,0,IFERROR(-PPMT($DA$66/12,(CU214-60),($F$1-5)*12,$DA$65),0))</f>
        <v>0</v>
      </c>
      <c r="CX214" s="497">
        <f>IF(('Comparison Calculator'!$E$11-CV214)&gt;=0,$C$1*$DA$66/12,IFERROR(-IPMT($DA$66/12,(CU214-60),($F$1-5)*12,$DA$65,0),0))</f>
        <v>0</v>
      </c>
      <c r="CY214" s="497">
        <f t="shared" si="101"/>
        <v>0</v>
      </c>
      <c r="CZ214" s="497">
        <f t="shared" si="88"/>
        <v>1800000</v>
      </c>
      <c r="DA214" s="493"/>
      <c r="DB214" s="493"/>
      <c r="DD214" s="492">
        <v>210</v>
      </c>
      <c r="DE214" s="492">
        <v>18</v>
      </c>
      <c r="DF214" s="497">
        <f>IF(('Comparison Calculator'!$E$11-DE214)&gt;=0,0,IFERROR(-PPMT($DJ$66/12,(DD214-60),($F$1-5)*12,$DJ$65),0))</f>
        <v>0</v>
      </c>
      <c r="DG214" s="497">
        <f>IF(('Comparison Calculator'!$E$11-DE214)&gt;=0,$C$1*$DJ$66/12,IFERROR(-IPMT($DJ$66/12,(DD214-60),($F$1-5)*12,$DJ$65,0),0))</f>
        <v>0</v>
      </c>
      <c r="DH214" s="497">
        <f t="shared" si="102"/>
        <v>0</v>
      </c>
      <c r="DI214" s="497">
        <f t="shared" si="89"/>
        <v>1800000</v>
      </c>
      <c r="DJ214" s="493"/>
      <c r="DK214" s="493"/>
    </row>
    <row r="215" spans="1:115">
      <c r="A215" s="492">
        <v>211</v>
      </c>
      <c r="B215" s="492">
        <v>18</v>
      </c>
      <c r="C215" s="497">
        <f>IF(('Comparison Calculator'!$E$11-B215)&gt;=0,0,IFERROR(-PPMT($G$66/12,(A215-60),($F$1-5)*12,$G$65),0))</f>
        <v>0</v>
      </c>
      <c r="D215" s="497">
        <f>IF(('Comparison Calculator'!$E$11-B215)&gt;=0,$C$1*$G$66/12,IFERROR(-IPMT($G$66/12,(A215-60),($F$1-5)*12,$G$65,0),0))</f>
        <v>0</v>
      </c>
      <c r="E215" s="497">
        <f t="shared" si="90"/>
        <v>0</v>
      </c>
      <c r="F215" s="497">
        <f t="shared" si="103"/>
        <v>1800000</v>
      </c>
      <c r="G215" s="493"/>
      <c r="H215" s="493"/>
      <c r="I215" s="489"/>
      <c r="J215" s="492">
        <v>211</v>
      </c>
      <c r="K215" s="492">
        <v>18</v>
      </c>
      <c r="L215" s="497">
        <f>IF(('Comparison Calculator'!$E$11-K215)&gt;=0,0,IFERROR(-PPMT($P$66/12,(J215-60),($F$1-5)*12,$P$65),0))</f>
        <v>0</v>
      </c>
      <c r="M215" s="497">
        <f>IF(('Comparison Calculator'!$E$11-K215)&gt;=0,$C$1*$P$66/12,IFERROR(-IPMT($P$66/12,(J215-60),($F$1-5)*12,$P$65,0),0))</f>
        <v>0</v>
      </c>
      <c r="N215" s="497">
        <f t="shared" si="91"/>
        <v>0</v>
      </c>
      <c r="O215" s="497">
        <f t="shared" si="78"/>
        <v>1800000</v>
      </c>
      <c r="P215" s="493"/>
      <c r="Q215" s="493"/>
      <c r="S215" s="492">
        <v>211</v>
      </c>
      <c r="T215" s="492">
        <v>18</v>
      </c>
      <c r="U215" s="497">
        <f>IF(('Comparison Calculator'!$E$11-T215)&gt;=0,0,IFERROR(-PPMT($Y$66/12,(S215-60),($F$1-5)*12,$Y$65),0))</f>
        <v>0</v>
      </c>
      <c r="V215" s="497">
        <f>IF(('Comparison Calculator'!$E$11-T215)&gt;=0,$C$1*$Y$66/12,IFERROR(-IPMT($Y$66/12,(S215-60),($F$1-5)*12,$Y$65,0),0))</f>
        <v>0</v>
      </c>
      <c r="W215" s="497">
        <f t="shared" si="92"/>
        <v>0</v>
      </c>
      <c r="X215" s="497">
        <f t="shared" si="79"/>
        <v>1800000</v>
      </c>
      <c r="Y215" s="493"/>
      <c r="Z215" s="493"/>
      <c r="AB215" s="492">
        <v>211</v>
      </c>
      <c r="AC215" s="492">
        <v>18</v>
      </c>
      <c r="AD215" s="497">
        <f>IF(('Comparison Calculator'!$E$11-AC215)&gt;=0,0,IFERROR(-PPMT($AH$66/12,(AB215-60),($F$1-5)*12,$AH$65),0))</f>
        <v>0</v>
      </c>
      <c r="AE215" s="497">
        <f>IF(('Comparison Calculator'!$E$11-AC215)&gt;=0,$C$1*$AH$66/12,IFERROR(-IPMT($AH$66/12,(AB215-60),($F$1-5)*12,$AH$65,0),0))</f>
        <v>0</v>
      </c>
      <c r="AF215" s="497">
        <f t="shared" si="93"/>
        <v>0</v>
      </c>
      <c r="AG215" s="497">
        <f t="shared" si="80"/>
        <v>1800000</v>
      </c>
      <c r="AH215" s="493"/>
      <c r="AI215" s="493"/>
      <c r="AK215" s="492">
        <v>211</v>
      </c>
      <c r="AL215" s="492">
        <v>18</v>
      </c>
      <c r="AM215" s="497">
        <f>IF(('Comparison Calculator'!$E$11-AL215)&gt;=0,0,IFERROR(-PPMT($AQ$66/12,(AK215-60),($F$1-5)*12,$AQ$65),0))</f>
        <v>0</v>
      </c>
      <c r="AN215" s="497">
        <f>IF(('Comparison Calculator'!$E$11-AL215)&gt;=0,$C$1*$AQ$66/12,IFERROR(-IPMT($AQ$66/12,(AK215-60),($F$1-5)*12,$AQ$65,0),0))</f>
        <v>0</v>
      </c>
      <c r="AO215" s="497">
        <f t="shared" si="94"/>
        <v>0</v>
      </c>
      <c r="AP215" s="497">
        <f t="shared" si="81"/>
        <v>1800000</v>
      </c>
      <c r="AQ215" s="493"/>
      <c r="AR215" s="493"/>
      <c r="AT215" s="492">
        <v>211</v>
      </c>
      <c r="AU215" s="492">
        <v>18</v>
      </c>
      <c r="AV215" s="497">
        <f>IF(('Comparison Calculator'!$E$11-AU215)&gt;=0,0,IFERROR(-PPMT($AZ$66/12,(AT215-60),($F$1-5)*12,$AZ$65),0))</f>
        <v>0</v>
      </c>
      <c r="AW215" s="497">
        <f>IF(('Comparison Calculator'!$E$11-AU215)&gt;=0,$C$1*$AZ$66/12,IFERROR(-IPMT($AZ$66/12,(AT215-60),($F$1-5)*12,$AZ$65,0),0))</f>
        <v>0</v>
      </c>
      <c r="AX215" s="497">
        <f t="shared" si="95"/>
        <v>0</v>
      </c>
      <c r="AY215" s="497">
        <f t="shared" si="82"/>
        <v>1800000</v>
      </c>
      <c r="AZ215" s="493"/>
      <c r="BA215" s="493"/>
      <c r="BC215" s="492">
        <v>211</v>
      </c>
      <c r="BD215" s="492">
        <v>18</v>
      </c>
      <c r="BE215" s="497">
        <f>IF(('Comparison Calculator'!$E$11-BD215)&gt;=0,0,IFERROR(-PPMT($BI$66/12,(BC215-60),($F$1-5)*12,$BI$65),0))</f>
        <v>0</v>
      </c>
      <c r="BF215" s="497">
        <f>IF(('Comparison Calculator'!$E$11-BD215)&gt;=0,$C$1*$BI$66/12,IFERROR(-IPMT($BI$66/12,(BC215-60),($F$1-5)*12,$BI$65,0),0))</f>
        <v>0</v>
      </c>
      <c r="BG215" s="497">
        <f t="shared" si="96"/>
        <v>0</v>
      </c>
      <c r="BH215" s="497">
        <f t="shared" si="83"/>
        <v>1800000</v>
      </c>
      <c r="BI215" s="493"/>
      <c r="BJ215" s="493"/>
      <c r="BK215" s="492">
        <v>211</v>
      </c>
      <c r="BL215" s="492">
        <v>18</v>
      </c>
      <c r="BM215" s="497">
        <f>IF(('Comparison Calculator'!$E$11-BL215)&gt;=0,0,IFERROR(-PPMT($BQ$66/12,(BK215-60),($F$1-5)*12,$BQ$65),0))</f>
        <v>0</v>
      </c>
      <c r="BN215" s="497">
        <f>IF(('Comparison Calculator'!$E$11-BL215)&gt;=0,$C$1*$BQ$66/12,IFERROR(-IPMT($BQ$66/12,(BK215-60),($F$1-5)*12,$BQ$65,0),0))</f>
        <v>0</v>
      </c>
      <c r="BO215" s="497">
        <f t="shared" si="97"/>
        <v>0</v>
      </c>
      <c r="BP215" s="497">
        <f t="shared" si="84"/>
        <v>1800000</v>
      </c>
      <c r="BQ215" s="493"/>
      <c r="BR215" s="493"/>
      <c r="BT215" s="492">
        <v>211</v>
      </c>
      <c r="BU215" s="492">
        <v>18</v>
      </c>
      <c r="BV215" s="497">
        <f>IF(('Comparison Calculator'!$E$11-BU215)&gt;=0,0,IFERROR(-PPMT($BZ$66/12,(BT215-60),($F$1-5)*12,$BZ$65),0))</f>
        <v>0</v>
      </c>
      <c r="BW215" s="497">
        <f>IF(('Comparison Calculator'!$E$11-BU215)&gt;=0,$C$1*$BZ$66/12,IFERROR(-IPMT($BZ$66/12,(BT215-60),($F$1-5)*12,$BZ$65,0),0))</f>
        <v>0</v>
      </c>
      <c r="BX215" s="497">
        <f t="shared" si="98"/>
        <v>0</v>
      </c>
      <c r="BY215" s="497">
        <f t="shared" si="85"/>
        <v>1800000</v>
      </c>
      <c r="BZ215" s="493"/>
      <c r="CA215" s="493"/>
      <c r="CC215" s="492">
        <v>211</v>
      </c>
      <c r="CD215" s="492">
        <v>18</v>
      </c>
      <c r="CE215" s="497">
        <f>IF(('Comparison Calculator'!$E$11-CD215)&gt;=0,0,IFERROR(-PPMT($CI$66/12,(CC215-60),($F$1-5)*12,$CI$65),0))</f>
        <v>0</v>
      </c>
      <c r="CF215" s="497">
        <f>IF(('Comparison Calculator'!$E$11-CD215)&gt;=0,$C$1*$CI$66/12,IFERROR(-IPMT($CI$66/12,(CC215-60),($F$1-5)*12,$CI$65,0),0))</f>
        <v>0</v>
      </c>
      <c r="CG215" s="497">
        <f t="shared" si="99"/>
        <v>0</v>
      </c>
      <c r="CH215" s="497">
        <f t="shared" si="86"/>
        <v>1800000</v>
      </c>
      <c r="CI215" s="493"/>
      <c r="CJ215" s="493"/>
      <c r="CL215" s="492">
        <v>211</v>
      </c>
      <c r="CM215" s="492">
        <v>18</v>
      </c>
      <c r="CN215" s="497">
        <f>IF(('Comparison Calculator'!$E$11-CM215)&gt;=0,0,IFERROR(-PPMT($CR$66/12,(CL215-60),($F$1-5)*12,$CR$65),0))</f>
        <v>0</v>
      </c>
      <c r="CO215" s="497">
        <f>IF(('Comparison Calculator'!$E$11-CM215)&gt;=0,$C$1*$CI$66/12,IFERROR(-IPMT($CI$66/12,(CL215-60),($F$1-5)*12,$CI$65,0),0))</f>
        <v>0</v>
      </c>
      <c r="CP215" s="497">
        <f t="shared" si="100"/>
        <v>0</v>
      </c>
      <c r="CQ215" s="497">
        <f t="shared" si="87"/>
        <v>1800000</v>
      </c>
      <c r="CR215" s="493"/>
      <c r="CS215" s="493"/>
      <c r="CU215" s="492">
        <v>211</v>
      </c>
      <c r="CV215" s="492">
        <v>18</v>
      </c>
      <c r="CW215" s="497">
        <f>IF(('Comparison Calculator'!$E$11-CV215)&gt;=0,0,IFERROR(-PPMT($DA$66/12,(CU215-60),($F$1-5)*12,$DA$65),0))</f>
        <v>0</v>
      </c>
      <c r="CX215" s="497">
        <f>IF(('Comparison Calculator'!$E$11-CV215)&gt;=0,$C$1*$DA$66/12,IFERROR(-IPMT($DA$66/12,(CU215-60),($F$1-5)*12,$DA$65,0),0))</f>
        <v>0</v>
      </c>
      <c r="CY215" s="497">
        <f t="shared" si="101"/>
        <v>0</v>
      </c>
      <c r="CZ215" s="497">
        <f t="shared" si="88"/>
        <v>1800000</v>
      </c>
      <c r="DA215" s="493"/>
      <c r="DB215" s="493"/>
      <c r="DD215" s="492">
        <v>211</v>
      </c>
      <c r="DE215" s="492">
        <v>18</v>
      </c>
      <c r="DF215" s="497">
        <f>IF(('Comparison Calculator'!$E$11-DE215)&gt;=0,0,IFERROR(-PPMT($DJ$66/12,(DD215-60),($F$1-5)*12,$DJ$65),0))</f>
        <v>0</v>
      </c>
      <c r="DG215" s="497">
        <f>IF(('Comparison Calculator'!$E$11-DE215)&gt;=0,$C$1*$DJ$66/12,IFERROR(-IPMT($DJ$66/12,(DD215-60),($F$1-5)*12,$DJ$65,0),0))</f>
        <v>0</v>
      </c>
      <c r="DH215" s="497">
        <f t="shared" si="102"/>
        <v>0</v>
      </c>
      <c r="DI215" s="497">
        <f t="shared" si="89"/>
        <v>1800000</v>
      </c>
      <c r="DJ215" s="493"/>
      <c r="DK215" s="493"/>
    </row>
    <row r="216" spans="1:115">
      <c r="A216" s="492">
        <v>212</v>
      </c>
      <c r="B216" s="492">
        <v>18</v>
      </c>
      <c r="C216" s="497">
        <f>IF(('Comparison Calculator'!$E$11-B216)&gt;=0,0,IFERROR(-PPMT($G$66/12,(A216-60),($F$1-5)*12,$G$65),0))</f>
        <v>0</v>
      </c>
      <c r="D216" s="497">
        <f>IF(('Comparison Calculator'!$E$11-B216)&gt;=0,$C$1*$G$66/12,IFERROR(-IPMT($G$66/12,(A216-60),($F$1-5)*12,$G$65,0),0))</f>
        <v>0</v>
      </c>
      <c r="E216" s="497">
        <f t="shared" si="90"/>
        <v>0</v>
      </c>
      <c r="F216" s="497">
        <f t="shared" si="103"/>
        <v>1800000</v>
      </c>
      <c r="G216" s="493"/>
      <c r="H216" s="493"/>
      <c r="I216" s="489"/>
      <c r="J216" s="492">
        <v>212</v>
      </c>
      <c r="K216" s="492">
        <v>18</v>
      </c>
      <c r="L216" s="497">
        <f>IF(('Comparison Calculator'!$E$11-K216)&gt;=0,0,IFERROR(-PPMT($P$66/12,(J216-60),($F$1-5)*12,$P$65),0))</f>
        <v>0</v>
      </c>
      <c r="M216" s="497">
        <f>IF(('Comparison Calculator'!$E$11-K216)&gt;=0,$C$1*$P$66/12,IFERROR(-IPMT($P$66/12,(J216-60),($F$1-5)*12,$P$65,0),0))</f>
        <v>0</v>
      </c>
      <c r="N216" s="497">
        <f t="shared" si="91"/>
        <v>0</v>
      </c>
      <c r="O216" s="497">
        <f t="shared" si="78"/>
        <v>1800000</v>
      </c>
      <c r="P216" s="493"/>
      <c r="Q216" s="493"/>
      <c r="S216" s="492">
        <v>212</v>
      </c>
      <c r="T216" s="492">
        <v>18</v>
      </c>
      <c r="U216" s="497">
        <f>IF(('Comparison Calculator'!$E$11-T216)&gt;=0,0,IFERROR(-PPMT($Y$66/12,(S216-60),($F$1-5)*12,$Y$65),0))</f>
        <v>0</v>
      </c>
      <c r="V216" s="497">
        <f>IF(('Comparison Calculator'!$E$11-T216)&gt;=0,$C$1*$Y$66/12,IFERROR(-IPMT($Y$66/12,(S216-60),($F$1-5)*12,$Y$65,0),0))</f>
        <v>0</v>
      </c>
      <c r="W216" s="497">
        <f t="shared" si="92"/>
        <v>0</v>
      </c>
      <c r="X216" s="497">
        <f t="shared" si="79"/>
        <v>1800000</v>
      </c>
      <c r="Y216" s="493"/>
      <c r="Z216" s="493"/>
      <c r="AB216" s="492">
        <v>212</v>
      </c>
      <c r="AC216" s="492">
        <v>18</v>
      </c>
      <c r="AD216" s="497">
        <f>IF(('Comparison Calculator'!$E$11-AC216)&gt;=0,0,IFERROR(-PPMT($AH$66/12,(AB216-60),($F$1-5)*12,$AH$65),0))</f>
        <v>0</v>
      </c>
      <c r="AE216" s="497">
        <f>IF(('Comparison Calculator'!$E$11-AC216)&gt;=0,$C$1*$AH$66/12,IFERROR(-IPMT($AH$66/12,(AB216-60),($F$1-5)*12,$AH$65,0),0))</f>
        <v>0</v>
      </c>
      <c r="AF216" s="497">
        <f t="shared" si="93"/>
        <v>0</v>
      </c>
      <c r="AG216" s="497">
        <f t="shared" si="80"/>
        <v>1800000</v>
      </c>
      <c r="AH216" s="493"/>
      <c r="AI216" s="493"/>
      <c r="AK216" s="492">
        <v>212</v>
      </c>
      <c r="AL216" s="492">
        <v>18</v>
      </c>
      <c r="AM216" s="497">
        <f>IF(('Comparison Calculator'!$E$11-AL216)&gt;=0,0,IFERROR(-PPMT($AQ$66/12,(AK216-60),($F$1-5)*12,$AQ$65),0))</f>
        <v>0</v>
      </c>
      <c r="AN216" s="497">
        <f>IF(('Comparison Calculator'!$E$11-AL216)&gt;=0,$C$1*$AQ$66/12,IFERROR(-IPMT($AQ$66/12,(AK216-60),($F$1-5)*12,$AQ$65,0),0))</f>
        <v>0</v>
      </c>
      <c r="AO216" s="497">
        <f t="shared" si="94"/>
        <v>0</v>
      </c>
      <c r="AP216" s="497">
        <f t="shared" si="81"/>
        <v>1800000</v>
      </c>
      <c r="AQ216" s="493"/>
      <c r="AR216" s="493"/>
      <c r="AT216" s="492">
        <v>212</v>
      </c>
      <c r="AU216" s="492">
        <v>18</v>
      </c>
      <c r="AV216" s="497">
        <f>IF(('Comparison Calculator'!$E$11-AU216)&gt;=0,0,IFERROR(-PPMT($AZ$66/12,(AT216-60),($F$1-5)*12,$AZ$65),0))</f>
        <v>0</v>
      </c>
      <c r="AW216" s="497">
        <f>IF(('Comparison Calculator'!$E$11-AU216)&gt;=0,$C$1*$AZ$66/12,IFERROR(-IPMT($AZ$66/12,(AT216-60),($F$1-5)*12,$AZ$65,0),0))</f>
        <v>0</v>
      </c>
      <c r="AX216" s="497">
        <f t="shared" si="95"/>
        <v>0</v>
      </c>
      <c r="AY216" s="497">
        <f t="shared" si="82"/>
        <v>1800000</v>
      </c>
      <c r="AZ216" s="493"/>
      <c r="BA216" s="493"/>
      <c r="BC216" s="492">
        <v>212</v>
      </c>
      <c r="BD216" s="492">
        <v>18</v>
      </c>
      <c r="BE216" s="497">
        <f>IF(('Comparison Calculator'!$E$11-BD216)&gt;=0,0,IFERROR(-PPMT($BI$66/12,(BC216-60),($F$1-5)*12,$BI$65),0))</f>
        <v>0</v>
      </c>
      <c r="BF216" s="497">
        <f>IF(('Comparison Calculator'!$E$11-BD216)&gt;=0,$C$1*$BI$66/12,IFERROR(-IPMT($BI$66/12,(BC216-60),($F$1-5)*12,$BI$65,0),0))</f>
        <v>0</v>
      </c>
      <c r="BG216" s="497">
        <f t="shared" si="96"/>
        <v>0</v>
      </c>
      <c r="BH216" s="497">
        <f t="shared" si="83"/>
        <v>1800000</v>
      </c>
      <c r="BI216" s="493"/>
      <c r="BJ216" s="493"/>
      <c r="BK216" s="492">
        <v>212</v>
      </c>
      <c r="BL216" s="492">
        <v>18</v>
      </c>
      <c r="BM216" s="497">
        <f>IF(('Comparison Calculator'!$E$11-BL216)&gt;=0,0,IFERROR(-PPMT($BQ$66/12,(BK216-60),($F$1-5)*12,$BQ$65),0))</f>
        <v>0</v>
      </c>
      <c r="BN216" s="497">
        <f>IF(('Comparison Calculator'!$E$11-BL216)&gt;=0,$C$1*$BQ$66/12,IFERROR(-IPMT($BQ$66/12,(BK216-60),($F$1-5)*12,$BQ$65,0),0))</f>
        <v>0</v>
      </c>
      <c r="BO216" s="497">
        <f t="shared" si="97"/>
        <v>0</v>
      </c>
      <c r="BP216" s="497">
        <f t="shared" si="84"/>
        <v>1800000</v>
      </c>
      <c r="BQ216" s="493"/>
      <c r="BR216" s="493"/>
      <c r="BT216" s="492">
        <v>212</v>
      </c>
      <c r="BU216" s="492">
        <v>18</v>
      </c>
      <c r="BV216" s="497">
        <f>IF(('Comparison Calculator'!$E$11-BU216)&gt;=0,0,IFERROR(-PPMT($BZ$66/12,(BT216-60),($F$1-5)*12,$BZ$65),0))</f>
        <v>0</v>
      </c>
      <c r="BW216" s="497">
        <f>IF(('Comparison Calculator'!$E$11-BU216)&gt;=0,$C$1*$BZ$66/12,IFERROR(-IPMT($BZ$66/12,(BT216-60),($F$1-5)*12,$BZ$65,0),0))</f>
        <v>0</v>
      </c>
      <c r="BX216" s="497">
        <f t="shared" si="98"/>
        <v>0</v>
      </c>
      <c r="BY216" s="497">
        <f t="shared" si="85"/>
        <v>1800000</v>
      </c>
      <c r="BZ216" s="493"/>
      <c r="CA216" s="493"/>
      <c r="CC216" s="492">
        <v>212</v>
      </c>
      <c r="CD216" s="492">
        <v>18</v>
      </c>
      <c r="CE216" s="497">
        <f>IF(('Comparison Calculator'!$E$11-CD216)&gt;=0,0,IFERROR(-PPMT($CI$66/12,(CC216-60),($F$1-5)*12,$CI$65),0))</f>
        <v>0</v>
      </c>
      <c r="CF216" s="497">
        <f>IF(('Comparison Calculator'!$E$11-CD216)&gt;=0,$C$1*$CI$66/12,IFERROR(-IPMT($CI$66/12,(CC216-60),($F$1-5)*12,$CI$65,0),0))</f>
        <v>0</v>
      </c>
      <c r="CG216" s="497">
        <f t="shared" si="99"/>
        <v>0</v>
      </c>
      <c r="CH216" s="497">
        <f t="shared" si="86"/>
        <v>1800000</v>
      </c>
      <c r="CI216" s="493"/>
      <c r="CJ216" s="493"/>
      <c r="CL216" s="492">
        <v>212</v>
      </c>
      <c r="CM216" s="492">
        <v>18</v>
      </c>
      <c r="CN216" s="497">
        <f>IF(('Comparison Calculator'!$E$11-CM216)&gt;=0,0,IFERROR(-PPMT($CR$66/12,(CL216-60),($F$1-5)*12,$CR$65),0))</f>
        <v>0</v>
      </c>
      <c r="CO216" s="497">
        <f>IF(('Comparison Calculator'!$E$11-CM216)&gt;=0,$C$1*$CI$66/12,IFERROR(-IPMT($CI$66/12,(CL216-60),($F$1-5)*12,$CI$65,0),0))</f>
        <v>0</v>
      </c>
      <c r="CP216" s="497">
        <f t="shared" si="100"/>
        <v>0</v>
      </c>
      <c r="CQ216" s="497">
        <f t="shared" si="87"/>
        <v>1800000</v>
      </c>
      <c r="CR216" s="493"/>
      <c r="CS216" s="493"/>
      <c r="CU216" s="492">
        <v>212</v>
      </c>
      <c r="CV216" s="492">
        <v>18</v>
      </c>
      <c r="CW216" s="497">
        <f>IF(('Comparison Calculator'!$E$11-CV216)&gt;=0,0,IFERROR(-PPMT($DA$66/12,(CU216-60),($F$1-5)*12,$DA$65),0))</f>
        <v>0</v>
      </c>
      <c r="CX216" s="497">
        <f>IF(('Comparison Calculator'!$E$11-CV216)&gt;=0,$C$1*$DA$66/12,IFERROR(-IPMT($DA$66/12,(CU216-60),($F$1-5)*12,$DA$65,0),0))</f>
        <v>0</v>
      </c>
      <c r="CY216" s="497">
        <f t="shared" si="101"/>
        <v>0</v>
      </c>
      <c r="CZ216" s="497">
        <f t="shared" si="88"/>
        <v>1800000</v>
      </c>
      <c r="DA216" s="493"/>
      <c r="DB216" s="493"/>
      <c r="DD216" s="492">
        <v>212</v>
      </c>
      <c r="DE216" s="492">
        <v>18</v>
      </c>
      <c r="DF216" s="497">
        <f>IF(('Comparison Calculator'!$E$11-DE216)&gt;=0,0,IFERROR(-PPMT($DJ$66/12,(DD216-60),($F$1-5)*12,$DJ$65),0))</f>
        <v>0</v>
      </c>
      <c r="DG216" s="497">
        <f>IF(('Comparison Calculator'!$E$11-DE216)&gt;=0,$C$1*$DJ$66/12,IFERROR(-IPMT($DJ$66/12,(DD216-60),($F$1-5)*12,$DJ$65,0),0))</f>
        <v>0</v>
      </c>
      <c r="DH216" s="497">
        <f t="shared" si="102"/>
        <v>0</v>
      </c>
      <c r="DI216" s="497">
        <f t="shared" si="89"/>
        <v>1800000</v>
      </c>
      <c r="DJ216" s="493"/>
      <c r="DK216" s="493"/>
    </row>
    <row r="217" spans="1:115">
      <c r="A217" s="492">
        <v>213</v>
      </c>
      <c r="B217" s="492">
        <v>18</v>
      </c>
      <c r="C217" s="497">
        <f>IF(('Comparison Calculator'!$E$11-B217)&gt;=0,0,IFERROR(-PPMT($G$66/12,(A217-60),($F$1-5)*12,$G$65),0))</f>
        <v>0</v>
      </c>
      <c r="D217" s="497">
        <f>IF(('Comparison Calculator'!$E$11-B217)&gt;=0,$C$1*$G$66/12,IFERROR(-IPMT($G$66/12,(A217-60),($F$1-5)*12,$G$65,0),0))</f>
        <v>0</v>
      </c>
      <c r="E217" s="497">
        <f t="shared" si="90"/>
        <v>0</v>
      </c>
      <c r="F217" s="497">
        <f t="shared" si="103"/>
        <v>1800000</v>
      </c>
      <c r="G217" s="493"/>
      <c r="H217" s="493"/>
      <c r="I217" s="489"/>
      <c r="J217" s="492">
        <v>213</v>
      </c>
      <c r="K217" s="492">
        <v>18</v>
      </c>
      <c r="L217" s="497">
        <f>IF(('Comparison Calculator'!$E$11-K217)&gt;=0,0,IFERROR(-PPMT($P$66/12,(J217-60),($F$1-5)*12,$P$65),0))</f>
        <v>0</v>
      </c>
      <c r="M217" s="497">
        <f>IF(('Comparison Calculator'!$E$11-K217)&gt;=0,$C$1*$P$66/12,IFERROR(-IPMT($P$66/12,(J217-60),($F$1-5)*12,$P$65,0),0))</f>
        <v>0</v>
      </c>
      <c r="N217" s="497">
        <f t="shared" si="91"/>
        <v>0</v>
      </c>
      <c r="O217" s="497">
        <f t="shared" ref="O217:O280" si="104">O216-L217</f>
        <v>1800000</v>
      </c>
      <c r="P217" s="493"/>
      <c r="Q217" s="493"/>
      <c r="S217" s="492">
        <v>213</v>
      </c>
      <c r="T217" s="492">
        <v>18</v>
      </c>
      <c r="U217" s="497">
        <f>IF(('Comparison Calculator'!$E$11-T217)&gt;=0,0,IFERROR(-PPMT($Y$66/12,(S217-60),($F$1-5)*12,$Y$65),0))</f>
        <v>0</v>
      </c>
      <c r="V217" s="497">
        <f>IF(('Comparison Calculator'!$E$11-T217)&gt;=0,$C$1*$Y$66/12,IFERROR(-IPMT($Y$66/12,(S217-60),($F$1-5)*12,$Y$65,0),0))</f>
        <v>0</v>
      </c>
      <c r="W217" s="497">
        <f t="shared" si="92"/>
        <v>0</v>
      </c>
      <c r="X217" s="497">
        <f t="shared" ref="X217:X280" si="105">X216-U217</f>
        <v>1800000</v>
      </c>
      <c r="Y217" s="493"/>
      <c r="Z217" s="493"/>
      <c r="AB217" s="492">
        <v>213</v>
      </c>
      <c r="AC217" s="492">
        <v>18</v>
      </c>
      <c r="AD217" s="497">
        <f>IF(('Comparison Calculator'!$E$11-AC217)&gt;=0,0,IFERROR(-PPMT($AH$66/12,(AB217-60),($F$1-5)*12,$AH$65),0))</f>
        <v>0</v>
      </c>
      <c r="AE217" s="497">
        <f>IF(('Comparison Calculator'!$E$11-AC217)&gt;=0,$C$1*$AH$66/12,IFERROR(-IPMT($AH$66/12,(AB217-60),($F$1-5)*12,$AH$65,0),0))</f>
        <v>0</v>
      </c>
      <c r="AF217" s="497">
        <f t="shared" si="93"/>
        <v>0</v>
      </c>
      <c r="AG217" s="497">
        <f t="shared" ref="AG217:AG280" si="106">AG216-AD217</f>
        <v>1800000</v>
      </c>
      <c r="AH217" s="493"/>
      <c r="AI217" s="493"/>
      <c r="AK217" s="492">
        <v>213</v>
      </c>
      <c r="AL217" s="492">
        <v>18</v>
      </c>
      <c r="AM217" s="497">
        <f>IF(('Comparison Calculator'!$E$11-AL217)&gt;=0,0,IFERROR(-PPMT($AQ$66/12,(AK217-60),($F$1-5)*12,$AQ$65),0))</f>
        <v>0</v>
      </c>
      <c r="AN217" s="497">
        <f>IF(('Comparison Calculator'!$E$11-AL217)&gt;=0,$C$1*$AQ$66/12,IFERROR(-IPMT($AQ$66/12,(AK217-60),($F$1-5)*12,$AQ$65,0),0))</f>
        <v>0</v>
      </c>
      <c r="AO217" s="497">
        <f t="shared" si="94"/>
        <v>0</v>
      </c>
      <c r="AP217" s="497">
        <f t="shared" ref="AP217:AP280" si="107">AP216-AM217</f>
        <v>1800000</v>
      </c>
      <c r="AQ217" s="493"/>
      <c r="AR217" s="493"/>
      <c r="AT217" s="492">
        <v>213</v>
      </c>
      <c r="AU217" s="492">
        <v>18</v>
      </c>
      <c r="AV217" s="497">
        <f>IF(('Comparison Calculator'!$E$11-AU217)&gt;=0,0,IFERROR(-PPMT($AZ$66/12,(AT217-60),($F$1-5)*12,$AZ$65),0))</f>
        <v>0</v>
      </c>
      <c r="AW217" s="497">
        <f>IF(('Comparison Calculator'!$E$11-AU217)&gt;=0,$C$1*$AZ$66/12,IFERROR(-IPMT($AZ$66/12,(AT217-60),($F$1-5)*12,$AZ$65,0),0))</f>
        <v>0</v>
      </c>
      <c r="AX217" s="497">
        <f t="shared" si="95"/>
        <v>0</v>
      </c>
      <c r="AY217" s="497">
        <f t="shared" ref="AY217:AY280" si="108">AY216-AV217</f>
        <v>1800000</v>
      </c>
      <c r="AZ217" s="493"/>
      <c r="BA217" s="493"/>
      <c r="BC217" s="492">
        <v>213</v>
      </c>
      <c r="BD217" s="492">
        <v>18</v>
      </c>
      <c r="BE217" s="497">
        <f>IF(('Comparison Calculator'!$E$11-BD217)&gt;=0,0,IFERROR(-PPMT($BI$66/12,(BC217-60),($F$1-5)*12,$BI$65),0))</f>
        <v>0</v>
      </c>
      <c r="BF217" s="497">
        <f>IF(('Comparison Calculator'!$E$11-BD217)&gt;=0,$C$1*$BI$66/12,IFERROR(-IPMT($BI$66/12,(BC217-60),($F$1-5)*12,$BI$65,0),0))</f>
        <v>0</v>
      </c>
      <c r="BG217" s="497">
        <f t="shared" si="96"/>
        <v>0</v>
      </c>
      <c r="BH217" s="497">
        <f t="shared" ref="BH217:BH280" si="109">BH216-BE217</f>
        <v>1800000</v>
      </c>
      <c r="BI217" s="493"/>
      <c r="BJ217" s="493"/>
      <c r="BK217" s="492">
        <v>213</v>
      </c>
      <c r="BL217" s="492">
        <v>18</v>
      </c>
      <c r="BM217" s="497">
        <f>IF(('Comparison Calculator'!$E$11-BL217)&gt;=0,0,IFERROR(-PPMT($BQ$66/12,(BK217-60),($F$1-5)*12,$BQ$65),0))</f>
        <v>0</v>
      </c>
      <c r="BN217" s="497">
        <f>IF(('Comparison Calculator'!$E$11-BL217)&gt;=0,$C$1*$BQ$66/12,IFERROR(-IPMT($BQ$66/12,(BK217-60),($F$1-5)*12,$BQ$65,0),0))</f>
        <v>0</v>
      </c>
      <c r="BO217" s="497">
        <f t="shared" si="97"/>
        <v>0</v>
      </c>
      <c r="BP217" s="497">
        <f t="shared" ref="BP217:BP280" si="110">BP216-BM217</f>
        <v>1800000</v>
      </c>
      <c r="BQ217" s="493"/>
      <c r="BR217" s="493"/>
      <c r="BT217" s="492">
        <v>213</v>
      </c>
      <c r="BU217" s="492">
        <v>18</v>
      </c>
      <c r="BV217" s="497">
        <f>IF(('Comparison Calculator'!$E$11-BU217)&gt;=0,0,IFERROR(-PPMT($BZ$66/12,(BT217-60),($F$1-5)*12,$BZ$65),0))</f>
        <v>0</v>
      </c>
      <c r="BW217" s="497">
        <f>IF(('Comparison Calculator'!$E$11-BU217)&gt;=0,$C$1*$BZ$66/12,IFERROR(-IPMT($BZ$66/12,(BT217-60),($F$1-5)*12,$BZ$65,0),0))</f>
        <v>0</v>
      </c>
      <c r="BX217" s="497">
        <f t="shared" si="98"/>
        <v>0</v>
      </c>
      <c r="BY217" s="497">
        <f t="shared" ref="BY217:BY280" si="111">BY216-BV217</f>
        <v>1800000</v>
      </c>
      <c r="BZ217" s="493"/>
      <c r="CA217" s="493"/>
      <c r="CC217" s="492">
        <v>213</v>
      </c>
      <c r="CD217" s="492">
        <v>18</v>
      </c>
      <c r="CE217" s="497">
        <f>IF(('Comparison Calculator'!$E$11-CD217)&gt;=0,0,IFERROR(-PPMT($CI$66/12,(CC217-60),($F$1-5)*12,$CI$65),0))</f>
        <v>0</v>
      </c>
      <c r="CF217" s="497">
        <f>IF(('Comparison Calculator'!$E$11-CD217)&gt;=0,$C$1*$CI$66/12,IFERROR(-IPMT($CI$66/12,(CC217-60),($F$1-5)*12,$CI$65,0),0))</f>
        <v>0</v>
      </c>
      <c r="CG217" s="497">
        <f t="shared" si="99"/>
        <v>0</v>
      </c>
      <c r="CH217" s="497">
        <f t="shared" ref="CH217:CH280" si="112">CH216-CE217</f>
        <v>1800000</v>
      </c>
      <c r="CI217" s="493"/>
      <c r="CJ217" s="493"/>
      <c r="CL217" s="492">
        <v>213</v>
      </c>
      <c r="CM217" s="492">
        <v>18</v>
      </c>
      <c r="CN217" s="497">
        <f>IF(('Comparison Calculator'!$E$11-CM217)&gt;=0,0,IFERROR(-PPMT($CR$66/12,(CL217-60),($F$1-5)*12,$CR$65),0))</f>
        <v>0</v>
      </c>
      <c r="CO217" s="497">
        <f>IF(('Comparison Calculator'!$E$11-CM217)&gt;=0,$C$1*$CI$66/12,IFERROR(-IPMT($CI$66/12,(CL217-60),($F$1-5)*12,$CI$65,0),0))</f>
        <v>0</v>
      </c>
      <c r="CP217" s="497">
        <f t="shared" si="100"/>
        <v>0</v>
      </c>
      <c r="CQ217" s="497">
        <f t="shared" ref="CQ217:CQ280" si="113">CQ216-CN217</f>
        <v>1800000</v>
      </c>
      <c r="CR217" s="493"/>
      <c r="CS217" s="493"/>
      <c r="CU217" s="492">
        <v>213</v>
      </c>
      <c r="CV217" s="492">
        <v>18</v>
      </c>
      <c r="CW217" s="497">
        <f>IF(('Comparison Calculator'!$E$11-CV217)&gt;=0,0,IFERROR(-PPMT($DA$66/12,(CU217-60),($F$1-5)*12,$DA$65),0))</f>
        <v>0</v>
      </c>
      <c r="CX217" s="497">
        <f>IF(('Comparison Calculator'!$E$11-CV217)&gt;=0,$C$1*$DA$66/12,IFERROR(-IPMT($DA$66/12,(CU217-60),($F$1-5)*12,$DA$65,0),0))</f>
        <v>0</v>
      </c>
      <c r="CY217" s="497">
        <f t="shared" si="101"/>
        <v>0</v>
      </c>
      <c r="CZ217" s="497">
        <f t="shared" ref="CZ217:CZ280" si="114">CZ216-CW217</f>
        <v>1800000</v>
      </c>
      <c r="DA217" s="493"/>
      <c r="DB217" s="493"/>
      <c r="DD217" s="492">
        <v>213</v>
      </c>
      <c r="DE217" s="492">
        <v>18</v>
      </c>
      <c r="DF217" s="497">
        <f>IF(('Comparison Calculator'!$E$11-DE217)&gt;=0,0,IFERROR(-PPMT($DJ$66/12,(DD217-60),($F$1-5)*12,$DJ$65),0))</f>
        <v>0</v>
      </c>
      <c r="DG217" s="497">
        <f>IF(('Comparison Calculator'!$E$11-DE217)&gt;=0,$C$1*$DJ$66/12,IFERROR(-IPMT($DJ$66/12,(DD217-60),($F$1-5)*12,$DJ$65,0),0))</f>
        <v>0</v>
      </c>
      <c r="DH217" s="497">
        <f t="shared" si="102"/>
        <v>0</v>
      </c>
      <c r="DI217" s="497">
        <f t="shared" ref="DI217:DI280" si="115">DI216-DF217</f>
        <v>1800000</v>
      </c>
      <c r="DJ217" s="493"/>
      <c r="DK217" s="493"/>
    </row>
    <row r="218" spans="1:115">
      <c r="A218" s="492">
        <v>214</v>
      </c>
      <c r="B218" s="492">
        <v>18</v>
      </c>
      <c r="C218" s="497">
        <f>IF(('Comparison Calculator'!$E$11-B218)&gt;=0,0,IFERROR(-PPMT($G$66/12,(A218-60),($F$1-5)*12,$G$65),0))</f>
        <v>0</v>
      </c>
      <c r="D218" s="497">
        <f>IF(('Comparison Calculator'!$E$11-B218)&gt;=0,$C$1*$G$66/12,IFERROR(-IPMT($G$66/12,(A218-60),($F$1-5)*12,$G$65,0),0))</f>
        <v>0</v>
      </c>
      <c r="E218" s="497">
        <f t="shared" si="90"/>
        <v>0</v>
      </c>
      <c r="F218" s="497">
        <f t="shared" si="103"/>
        <v>1800000</v>
      </c>
      <c r="G218" s="493"/>
      <c r="H218" s="493"/>
      <c r="I218" s="489"/>
      <c r="J218" s="492">
        <v>214</v>
      </c>
      <c r="K218" s="492">
        <v>18</v>
      </c>
      <c r="L218" s="497">
        <f>IF(('Comparison Calculator'!$E$11-K218)&gt;=0,0,IFERROR(-PPMT($P$66/12,(J218-60),($F$1-5)*12,$P$65),0))</f>
        <v>0</v>
      </c>
      <c r="M218" s="497">
        <f>IF(('Comparison Calculator'!$E$11-K218)&gt;=0,$C$1*$P$66/12,IFERROR(-IPMT($P$66/12,(J218-60),($F$1-5)*12,$P$65,0),0))</f>
        <v>0</v>
      </c>
      <c r="N218" s="497">
        <f t="shared" si="91"/>
        <v>0</v>
      </c>
      <c r="O218" s="497">
        <f t="shared" si="104"/>
        <v>1800000</v>
      </c>
      <c r="P218" s="493"/>
      <c r="Q218" s="493"/>
      <c r="S218" s="492">
        <v>214</v>
      </c>
      <c r="T218" s="492">
        <v>18</v>
      </c>
      <c r="U218" s="497">
        <f>IF(('Comparison Calculator'!$E$11-T218)&gt;=0,0,IFERROR(-PPMT($Y$66/12,(S218-60),($F$1-5)*12,$Y$65),0))</f>
        <v>0</v>
      </c>
      <c r="V218" s="497">
        <f>IF(('Comparison Calculator'!$E$11-T218)&gt;=0,$C$1*$Y$66/12,IFERROR(-IPMT($Y$66/12,(S218-60),($F$1-5)*12,$Y$65,0),0))</f>
        <v>0</v>
      </c>
      <c r="W218" s="497">
        <f t="shared" si="92"/>
        <v>0</v>
      </c>
      <c r="X218" s="497">
        <f t="shared" si="105"/>
        <v>1800000</v>
      </c>
      <c r="Y218" s="493"/>
      <c r="Z218" s="493"/>
      <c r="AB218" s="492">
        <v>214</v>
      </c>
      <c r="AC218" s="492">
        <v>18</v>
      </c>
      <c r="AD218" s="497">
        <f>IF(('Comparison Calculator'!$E$11-AC218)&gt;=0,0,IFERROR(-PPMT($AH$66/12,(AB218-60),($F$1-5)*12,$AH$65),0))</f>
        <v>0</v>
      </c>
      <c r="AE218" s="497">
        <f>IF(('Comparison Calculator'!$E$11-AC218)&gt;=0,$C$1*$AH$66/12,IFERROR(-IPMT($AH$66/12,(AB218-60),($F$1-5)*12,$AH$65,0),0))</f>
        <v>0</v>
      </c>
      <c r="AF218" s="497">
        <f t="shared" si="93"/>
        <v>0</v>
      </c>
      <c r="AG218" s="497">
        <f t="shared" si="106"/>
        <v>1800000</v>
      </c>
      <c r="AH218" s="493"/>
      <c r="AI218" s="493"/>
      <c r="AK218" s="492">
        <v>214</v>
      </c>
      <c r="AL218" s="492">
        <v>18</v>
      </c>
      <c r="AM218" s="497">
        <f>IF(('Comparison Calculator'!$E$11-AL218)&gt;=0,0,IFERROR(-PPMT($AQ$66/12,(AK218-60),($F$1-5)*12,$AQ$65),0))</f>
        <v>0</v>
      </c>
      <c r="AN218" s="497">
        <f>IF(('Comparison Calculator'!$E$11-AL218)&gt;=0,$C$1*$AQ$66/12,IFERROR(-IPMT($AQ$66/12,(AK218-60),($F$1-5)*12,$AQ$65,0),0))</f>
        <v>0</v>
      </c>
      <c r="AO218" s="497">
        <f t="shared" si="94"/>
        <v>0</v>
      </c>
      <c r="AP218" s="497">
        <f t="shared" si="107"/>
        <v>1800000</v>
      </c>
      <c r="AQ218" s="493"/>
      <c r="AR218" s="493"/>
      <c r="AT218" s="492">
        <v>214</v>
      </c>
      <c r="AU218" s="492">
        <v>18</v>
      </c>
      <c r="AV218" s="497">
        <f>IF(('Comparison Calculator'!$E$11-AU218)&gt;=0,0,IFERROR(-PPMT($AZ$66/12,(AT218-60),($F$1-5)*12,$AZ$65),0))</f>
        <v>0</v>
      </c>
      <c r="AW218" s="497">
        <f>IF(('Comparison Calculator'!$E$11-AU218)&gt;=0,$C$1*$AZ$66/12,IFERROR(-IPMT($AZ$66/12,(AT218-60),($F$1-5)*12,$AZ$65,0),0))</f>
        <v>0</v>
      </c>
      <c r="AX218" s="497">
        <f t="shared" si="95"/>
        <v>0</v>
      </c>
      <c r="AY218" s="497">
        <f t="shared" si="108"/>
        <v>1800000</v>
      </c>
      <c r="AZ218" s="493"/>
      <c r="BA218" s="493"/>
      <c r="BC218" s="492">
        <v>214</v>
      </c>
      <c r="BD218" s="492">
        <v>18</v>
      </c>
      <c r="BE218" s="497">
        <f>IF(('Comparison Calculator'!$E$11-BD218)&gt;=0,0,IFERROR(-PPMT($BI$66/12,(BC218-60),($F$1-5)*12,$BI$65),0))</f>
        <v>0</v>
      </c>
      <c r="BF218" s="497">
        <f>IF(('Comparison Calculator'!$E$11-BD218)&gt;=0,$C$1*$BI$66/12,IFERROR(-IPMT($BI$66/12,(BC218-60),($F$1-5)*12,$BI$65,0),0))</f>
        <v>0</v>
      </c>
      <c r="BG218" s="497">
        <f t="shared" si="96"/>
        <v>0</v>
      </c>
      <c r="BH218" s="497">
        <f t="shared" si="109"/>
        <v>1800000</v>
      </c>
      <c r="BI218" s="493"/>
      <c r="BJ218" s="493"/>
      <c r="BK218" s="492">
        <v>214</v>
      </c>
      <c r="BL218" s="492">
        <v>18</v>
      </c>
      <c r="BM218" s="497">
        <f>IF(('Comparison Calculator'!$E$11-BL218)&gt;=0,0,IFERROR(-PPMT($BQ$66/12,(BK218-60),($F$1-5)*12,$BQ$65),0))</f>
        <v>0</v>
      </c>
      <c r="BN218" s="497">
        <f>IF(('Comparison Calculator'!$E$11-BL218)&gt;=0,$C$1*$BQ$66/12,IFERROR(-IPMT($BQ$66/12,(BK218-60),($F$1-5)*12,$BQ$65,0),0))</f>
        <v>0</v>
      </c>
      <c r="BO218" s="497">
        <f t="shared" si="97"/>
        <v>0</v>
      </c>
      <c r="BP218" s="497">
        <f t="shared" si="110"/>
        <v>1800000</v>
      </c>
      <c r="BQ218" s="493"/>
      <c r="BR218" s="493"/>
      <c r="BT218" s="492">
        <v>214</v>
      </c>
      <c r="BU218" s="492">
        <v>18</v>
      </c>
      <c r="BV218" s="497">
        <f>IF(('Comparison Calculator'!$E$11-BU218)&gt;=0,0,IFERROR(-PPMT($BZ$66/12,(BT218-60),($F$1-5)*12,$BZ$65),0))</f>
        <v>0</v>
      </c>
      <c r="BW218" s="497">
        <f>IF(('Comparison Calculator'!$E$11-BU218)&gt;=0,$C$1*$BZ$66/12,IFERROR(-IPMT($BZ$66/12,(BT218-60),($F$1-5)*12,$BZ$65,0),0))</f>
        <v>0</v>
      </c>
      <c r="BX218" s="497">
        <f t="shared" si="98"/>
        <v>0</v>
      </c>
      <c r="BY218" s="497">
        <f t="shared" si="111"/>
        <v>1800000</v>
      </c>
      <c r="BZ218" s="493"/>
      <c r="CA218" s="493"/>
      <c r="CC218" s="492">
        <v>214</v>
      </c>
      <c r="CD218" s="492">
        <v>18</v>
      </c>
      <c r="CE218" s="497">
        <f>IF(('Comparison Calculator'!$E$11-CD218)&gt;=0,0,IFERROR(-PPMT($CI$66/12,(CC218-60),($F$1-5)*12,$CI$65),0))</f>
        <v>0</v>
      </c>
      <c r="CF218" s="497">
        <f>IF(('Comparison Calculator'!$E$11-CD218)&gt;=0,$C$1*$CI$66/12,IFERROR(-IPMT($CI$66/12,(CC218-60),($F$1-5)*12,$CI$65,0),0))</f>
        <v>0</v>
      </c>
      <c r="CG218" s="497">
        <f t="shared" si="99"/>
        <v>0</v>
      </c>
      <c r="CH218" s="497">
        <f t="shared" si="112"/>
        <v>1800000</v>
      </c>
      <c r="CI218" s="493"/>
      <c r="CJ218" s="493"/>
      <c r="CL218" s="492">
        <v>214</v>
      </c>
      <c r="CM218" s="492">
        <v>18</v>
      </c>
      <c r="CN218" s="497">
        <f>IF(('Comparison Calculator'!$E$11-CM218)&gt;=0,0,IFERROR(-PPMT($CR$66/12,(CL218-60),($F$1-5)*12,$CR$65),0))</f>
        <v>0</v>
      </c>
      <c r="CO218" s="497">
        <f>IF(('Comparison Calculator'!$E$11-CM218)&gt;=0,$C$1*$CI$66/12,IFERROR(-IPMT($CI$66/12,(CL218-60),($F$1-5)*12,$CI$65,0),0))</f>
        <v>0</v>
      </c>
      <c r="CP218" s="497">
        <f t="shared" si="100"/>
        <v>0</v>
      </c>
      <c r="CQ218" s="497">
        <f t="shared" si="113"/>
        <v>1800000</v>
      </c>
      <c r="CR218" s="493"/>
      <c r="CS218" s="493"/>
      <c r="CU218" s="492">
        <v>214</v>
      </c>
      <c r="CV218" s="492">
        <v>18</v>
      </c>
      <c r="CW218" s="497">
        <f>IF(('Comparison Calculator'!$E$11-CV218)&gt;=0,0,IFERROR(-PPMT($DA$66/12,(CU218-60),($F$1-5)*12,$DA$65),0))</f>
        <v>0</v>
      </c>
      <c r="CX218" s="497">
        <f>IF(('Comparison Calculator'!$E$11-CV218)&gt;=0,$C$1*$DA$66/12,IFERROR(-IPMT($DA$66/12,(CU218-60),($F$1-5)*12,$DA$65,0),0))</f>
        <v>0</v>
      </c>
      <c r="CY218" s="497">
        <f t="shared" si="101"/>
        <v>0</v>
      </c>
      <c r="CZ218" s="497">
        <f t="shared" si="114"/>
        <v>1800000</v>
      </c>
      <c r="DA218" s="493"/>
      <c r="DB218" s="493"/>
      <c r="DD218" s="492">
        <v>214</v>
      </c>
      <c r="DE218" s="492">
        <v>18</v>
      </c>
      <c r="DF218" s="497">
        <f>IF(('Comparison Calculator'!$E$11-DE218)&gt;=0,0,IFERROR(-PPMT($DJ$66/12,(DD218-60),($F$1-5)*12,$DJ$65),0))</f>
        <v>0</v>
      </c>
      <c r="DG218" s="497">
        <f>IF(('Comparison Calculator'!$E$11-DE218)&gt;=0,$C$1*$DJ$66/12,IFERROR(-IPMT($DJ$66/12,(DD218-60),($F$1-5)*12,$DJ$65,0),0))</f>
        <v>0</v>
      </c>
      <c r="DH218" s="497">
        <f t="shared" si="102"/>
        <v>0</v>
      </c>
      <c r="DI218" s="497">
        <f t="shared" si="115"/>
        <v>1800000</v>
      </c>
      <c r="DJ218" s="493"/>
      <c r="DK218" s="493"/>
    </row>
    <row r="219" spans="1:115">
      <c r="A219" s="492">
        <v>215</v>
      </c>
      <c r="B219" s="492">
        <v>18</v>
      </c>
      <c r="C219" s="497">
        <f>IF(('Comparison Calculator'!$E$11-B219)&gt;=0,0,IFERROR(-PPMT($G$66/12,(A219-60),($F$1-5)*12,$G$65),0))</f>
        <v>0</v>
      </c>
      <c r="D219" s="497">
        <f>IF(('Comparison Calculator'!$E$11-B219)&gt;=0,$C$1*$G$66/12,IFERROR(-IPMT($G$66/12,(A219-60),($F$1-5)*12,$G$65,0),0))</f>
        <v>0</v>
      </c>
      <c r="E219" s="497">
        <f t="shared" si="90"/>
        <v>0</v>
      </c>
      <c r="F219" s="497">
        <f t="shared" si="103"/>
        <v>1800000</v>
      </c>
      <c r="G219" s="493"/>
      <c r="H219" s="493"/>
      <c r="I219" s="489"/>
      <c r="J219" s="492">
        <v>215</v>
      </c>
      <c r="K219" s="492">
        <v>18</v>
      </c>
      <c r="L219" s="497">
        <f>IF(('Comparison Calculator'!$E$11-K219)&gt;=0,0,IFERROR(-PPMT($P$66/12,(J219-60),($F$1-5)*12,$P$65),0))</f>
        <v>0</v>
      </c>
      <c r="M219" s="497">
        <f>IF(('Comparison Calculator'!$E$11-K219)&gt;=0,$C$1*$P$66/12,IFERROR(-IPMT($P$66/12,(J219-60),($F$1-5)*12,$P$65,0),0))</f>
        <v>0</v>
      </c>
      <c r="N219" s="497">
        <f t="shared" si="91"/>
        <v>0</v>
      </c>
      <c r="O219" s="497">
        <f t="shared" si="104"/>
        <v>1800000</v>
      </c>
      <c r="P219" s="493"/>
      <c r="Q219" s="493"/>
      <c r="S219" s="492">
        <v>215</v>
      </c>
      <c r="T219" s="492">
        <v>18</v>
      </c>
      <c r="U219" s="497">
        <f>IF(('Comparison Calculator'!$E$11-T219)&gt;=0,0,IFERROR(-PPMT($Y$66/12,(S219-60),($F$1-5)*12,$Y$65),0))</f>
        <v>0</v>
      </c>
      <c r="V219" s="497">
        <f>IF(('Comparison Calculator'!$E$11-T219)&gt;=0,$C$1*$Y$66/12,IFERROR(-IPMT($Y$66/12,(S219-60),($F$1-5)*12,$Y$65,0),0))</f>
        <v>0</v>
      </c>
      <c r="W219" s="497">
        <f t="shared" si="92"/>
        <v>0</v>
      </c>
      <c r="X219" s="497">
        <f t="shared" si="105"/>
        <v>1800000</v>
      </c>
      <c r="Y219" s="493"/>
      <c r="Z219" s="493"/>
      <c r="AB219" s="492">
        <v>215</v>
      </c>
      <c r="AC219" s="492">
        <v>18</v>
      </c>
      <c r="AD219" s="497">
        <f>IF(('Comparison Calculator'!$E$11-AC219)&gt;=0,0,IFERROR(-PPMT($AH$66/12,(AB219-60),($F$1-5)*12,$AH$65),0))</f>
        <v>0</v>
      </c>
      <c r="AE219" s="497">
        <f>IF(('Comparison Calculator'!$E$11-AC219)&gt;=0,$C$1*$AH$66/12,IFERROR(-IPMT($AH$66/12,(AB219-60),($F$1-5)*12,$AH$65,0),0))</f>
        <v>0</v>
      </c>
      <c r="AF219" s="497">
        <f t="shared" si="93"/>
        <v>0</v>
      </c>
      <c r="AG219" s="497">
        <f t="shared" si="106"/>
        <v>1800000</v>
      </c>
      <c r="AH219" s="493"/>
      <c r="AI219" s="493"/>
      <c r="AK219" s="492">
        <v>215</v>
      </c>
      <c r="AL219" s="492">
        <v>18</v>
      </c>
      <c r="AM219" s="497">
        <f>IF(('Comparison Calculator'!$E$11-AL219)&gt;=0,0,IFERROR(-PPMT($AQ$66/12,(AK219-60),($F$1-5)*12,$AQ$65),0))</f>
        <v>0</v>
      </c>
      <c r="AN219" s="497">
        <f>IF(('Comparison Calculator'!$E$11-AL219)&gt;=0,$C$1*$AQ$66/12,IFERROR(-IPMT($AQ$66/12,(AK219-60),($F$1-5)*12,$AQ$65,0),0))</f>
        <v>0</v>
      </c>
      <c r="AO219" s="497">
        <f t="shared" si="94"/>
        <v>0</v>
      </c>
      <c r="AP219" s="497">
        <f t="shared" si="107"/>
        <v>1800000</v>
      </c>
      <c r="AQ219" s="493"/>
      <c r="AR219" s="493"/>
      <c r="AT219" s="492">
        <v>215</v>
      </c>
      <c r="AU219" s="492">
        <v>18</v>
      </c>
      <c r="AV219" s="497">
        <f>IF(('Comparison Calculator'!$E$11-AU219)&gt;=0,0,IFERROR(-PPMT($AZ$66/12,(AT219-60),($F$1-5)*12,$AZ$65),0))</f>
        <v>0</v>
      </c>
      <c r="AW219" s="497">
        <f>IF(('Comparison Calculator'!$E$11-AU219)&gt;=0,$C$1*$AZ$66/12,IFERROR(-IPMT($AZ$66/12,(AT219-60),($F$1-5)*12,$AZ$65,0),0))</f>
        <v>0</v>
      </c>
      <c r="AX219" s="497">
        <f t="shared" si="95"/>
        <v>0</v>
      </c>
      <c r="AY219" s="497">
        <f t="shared" si="108"/>
        <v>1800000</v>
      </c>
      <c r="AZ219" s="493"/>
      <c r="BA219" s="493"/>
      <c r="BC219" s="492">
        <v>215</v>
      </c>
      <c r="BD219" s="492">
        <v>18</v>
      </c>
      <c r="BE219" s="497">
        <f>IF(('Comparison Calculator'!$E$11-BD219)&gt;=0,0,IFERROR(-PPMT($BI$66/12,(BC219-60),($F$1-5)*12,$BI$65),0))</f>
        <v>0</v>
      </c>
      <c r="BF219" s="497">
        <f>IF(('Comparison Calculator'!$E$11-BD219)&gt;=0,$C$1*$BI$66/12,IFERROR(-IPMT($BI$66/12,(BC219-60),($F$1-5)*12,$BI$65,0),0))</f>
        <v>0</v>
      </c>
      <c r="BG219" s="497">
        <f t="shared" si="96"/>
        <v>0</v>
      </c>
      <c r="BH219" s="497">
        <f t="shared" si="109"/>
        <v>1800000</v>
      </c>
      <c r="BI219" s="493"/>
      <c r="BJ219" s="493"/>
      <c r="BK219" s="492">
        <v>215</v>
      </c>
      <c r="BL219" s="492">
        <v>18</v>
      </c>
      <c r="BM219" s="497">
        <f>IF(('Comparison Calculator'!$E$11-BL219)&gt;=0,0,IFERROR(-PPMT($BQ$66/12,(BK219-60),($F$1-5)*12,$BQ$65),0))</f>
        <v>0</v>
      </c>
      <c r="BN219" s="497">
        <f>IF(('Comparison Calculator'!$E$11-BL219)&gt;=0,$C$1*$BQ$66/12,IFERROR(-IPMT($BQ$66/12,(BK219-60),($F$1-5)*12,$BQ$65,0),0))</f>
        <v>0</v>
      </c>
      <c r="BO219" s="497">
        <f t="shared" si="97"/>
        <v>0</v>
      </c>
      <c r="BP219" s="497">
        <f t="shared" si="110"/>
        <v>1800000</v>
      </c>
      <c r="BQ219" s="493"/>
      <c r="BR219" s="493"/>
      <c r="BT219" s="492">
        <v>215</v>
      </c>
      <c r="BU219" s="492">
        <v>18</v>
      </c>
      <c r="BV219" s="497">
        <f>IF(('Comparison Calculator'!$E$11-BU219)&gt;=0,0,IFERROR(-PPMT($BZ$66/12,(BT219-60),($F$1-5)*12,$BZ$65),0))</f>
        <v>0</v>
      </c>
      <c r="BW219" s="497">
        <f>IF(('Comparison Calculator'!$E$11-BU219)&gt;=0,$C$1*$BZ$66/12,IFERROR(-IPMT($BZ$66/12,(BT219-60),($F$1-5)*12,$BZ$65,0),0))</f>
        <v>0</v>
      </c>
      <c r="BX219" s="497">
        <f t="shared" si="98"/>
        <v>0</v>
      </c>
      <c r="BY219" s="497">
        <f t="shared" si="111"/>
        <v>1800000</v>
      </c>
      <c r="BZ219" s="493"/>
      <c r="CA219" s="493"/>
      <c r="CC219" s="492">
        <v>215</v>
      </c>
      <c r="CD219" s="492">
        <v>18</v>
      </c>
      <c r="CE219" s="497">
        <f>IF(('Comparison Calculator'!$E$11-CD219)&gt;=0,0,IFERROR(-PPMT($CI$66/12,(CC219-60),($F$1-5)*12,$CI$65),0))</f>
        <v>0</v>
      </c>
      <c r="CF219" s="497">
        <f>IF(('Comparison Calculator'!$E$11-CD219)&gt;=0,$C$1*$CI$66/12,IFERROR(-IPMT($CI$66/12,(CC219-60),($F$1-5)*12,$CI$65,0),0))</f>
        <v>0</v>
      </c>
      <c r="CG219" s="497">
        <f t="shared" si="99"/>
        <v>0</v>
      </c>
      <c r="CH219" s="497">
        <f t="shared" si="112"/>
        <v>1800000</v>
      </c>
      <c r="CI219" s="493"/>
      <c r="CJ219" s="493"/>
      <c r="CL219" s="492">
        <v>215</v>
      </c>
      <c r="CM219" s="492">
        <v>18</v>
      </c>
      <c r="CN219" s="497">
        <f>IF(('Comparison Calculator'!$E$11-CM219)&gt;=0,0,IFERROR(-PPMT($CR$66/12,(CL219-60),($F$1-5)*12,$CR$65),0))</f>
        <v>0</v>
      </c>
      <c r="CO219" s="497">
        <f>IF(('Comparison Calculator'!$E$11-CM219)&gt;=0,$C$1*$CI$66/12,IFERROR(-IPMT($CI$66/12,(CL219-60),($F$1-5)*12,$CI$65,0),0))</f>
        <v>0</v>
      </c>
      <c r="CP219" s="497">
        <f t="shared" si="100"/>
        <v>0</v>
      </c>
      <c r="CQ219" s="497">
        <f t="shared" si="113"/>
        <v>1800000</v>
      </c>
      <c r="CR219" s="493"/>
      <c r="CS219" s="493"/>
      <c r="CU219" s="492">
        <v>215</v>
      </c>
      <c r="CV219" s="492">
        <v>18</v>
      </c>
      <c r="CW219" s="497">
        <f>IF(('Comparison Calculator'!$E$11-CV219)&gt;=0,0,IFERROR(-PPMT($DA$66/12,(CU219-60),($F$1-5)*12,$DA$65),0))</f>
        <v>0</v>
      </c>
      <c r="CX219" s="497">
        <f>IF(('Comparison Calculator'!$E$11-CV219)&gt;=0,$C$1*$DA$66/12,IFERROR(-IPMT($DA$66/12,(CU219-60),($F$1-5)*12,$DA$65,0),0))</f>
        <v>0</v>
      </c>
      <c r="CY219" s="497">
        <f t="shared" si="101"/>
        <v>0</v>
      </c>
      <c r="CZ219" s="497">
        <f t="shared" si="114"/>
        <v>1800000</v>
      </c>
      <c r="DA219" s="493"/>
      <c r="DB219" s="493"/>
      <c r="DD219" s="492">
        <v>215</v>
      </c>
      <c r="DE219" s="492">
        <v>18</v>
      </c>
      <c r="DF219" s="497">
        <f>IF(('Comparison Calculator'!$E$11-DE219)&gt;=0,0,IFERROR(-PPMT($DJ$66/12,(DD219-60),($F$1-5)*12,$DJ$65),0))</f>
        <v>0</v>
      </c>
      <c r="DG219" s="497">
        <f>IF(('Comparison Calculator'!$E$11-DE219)&gt;=0,$C$1*$DJ$66/12,IFERROR(-IPMT($DJ$66/12,(DD219-60),($F$1-5)*12,$DJ$65,0),0))</f>
        <v>0</v>
      </c>
      <c r="DH219" s="497">
        <f t="shared" si="102"/>
        <v>0</v>
      </c>
      <c r="DI219" s="497">
        <f t="shared" si="115"/>
        <v>1800000</v>
      </c>
      <c r="DJ219" s="493"/>
      <c r="DK219" s="493"/>
    </row>
    <row r="220" spans="1:115">
      <c r="A220" s="492">
        <v>216</v>
      </c>
      <c r="B220" s="492">
        <v>18</v>
      </c>
      <c r="C220" s="497">
        <f>IF(('Comparison Calculator'!$E$11-B220)&gt;=0,0,IFERROR(-PPMT($G$66/12,(A220-60),($F$1-5)*12,$G$65),0))</f>
        <v>0</v>
      </c>
      <c r="D220" s="497">
        <f>IF(('Comparison Calculator'!$E$11-B220)&gt;=0,$C$1*$G$66/12,IFERROR(-IPMT($G$66/12,(A220-60),($F$1-5)*12,$G$65,0),0))</f>
        <v>0</v>
      </c>
      <c r="E220" s="497">
        <f t="shared" si="90"/>
        <v>0</v>
      </c>
      <c r="F220" s="497">
        <f t="shared" si="103"/>
        <v>1800000</v>
      </c>
      <c r="G220" s="493"/>
      <c r="H220" s="493"/>
      <c r="I220" s="489"/>
      <c r="J220" s="492">
        <v>216</v>
      </c>
      <c r="K220" s="492">
        <v>18</v>
      </c>
      <c r="L220" s="497">
        <f>IF(('Comparison Calculator'!$E$11-K220)&gt;=0,0,IFERROR(-PPMT($P$66/12,(J220-60),($F$1-5)*12,$P$65),0))</f>
        <v>0</v>
      </c>
      <c r="M220" s="497">
        <f>IF(('Comparison Calculator'!$E$11-K220)&gt;=0,$C$1*$P$66/12,IFERROR(-IPMT($P$66/12,(J220-60),($F$1-5)*12,$P$65,0),0))</f>
        <v>0</v>
      </c>
      <c r="N220" s="497">
        <f t="shared" si="91"/>
        <v>0</v>
      </c>
      <c r="O220" s="497">
        <f t="shared" si="104"/>
        <v>1800000</v>
      </c>
      <c r="P220" s="493"/>
      <c r="Q220" s="493"/>
      <c r="S220" s="492">
        <v>216</v>
      </c>
      <c r="T220" s="492">
        <v>18</v>
      </c>
      <c r="U220" s="497">
        <f>IF(('Comparison Calculator'!$E$11-T220)&gt;=0,0,IFERROR(-PPMT($Y$66/12,(S220-60),($F$1-5)*12,$Y$65),0))</f>
        <v>0</v>
      </c>
      <c r="V220" s="497">
        <f>IF(('Comparison Calculator'!$E$11-T220)&gt;=0,$C$1*$Y$66/12,IFERROR(-IPMT($Y$66/12,(S220-60),($F$1-5)*12,$Y$65,0),0))</f>
        <v>0</v>
      </c>
      <c r="W220" s="497">
        <f t="shared" si="92"/>
        <v>0</v>
      </c>
      <c r="X220" s="497">
        <f t="shared" si="105"/>
        <v>1800000</v>
      </c>
      <c r="Y220" s="493"/>
      <c r="Z220" s="493"/>
      <c r="AB220" s="492">
        <v>216</v>
      </c>
      <c r="AC220" s="492">
        <v>18</v>
      </c>
      <c r="AD220" s="497">
        <f>IF(('Comparison Calculator'!$E$11-AC220)&gt;=0,0,IFERROR(-PPMT($AH$66/12,(AB220-60),($F$1-5)*12,$AH$65),0))</f>
        <v>0</v>
      </c>
      <c r="AE220" s="497">
        <f>IF(('Comparison Calculator'!$E$11-AC220)&gt;=0,$C$1*$AH$66/12,IFERROR(-IPMT($AH$66/12,(AB220-60),($F$1-5)*12,$AH$65,0),0))</f>
        <v>0</v>
      </c>
      <c r="AF220" s="497">
        <f t="shared" si="93"/>
        <v>0</v>
      </c>
      <c r="AG220" s="497">
        <f t="shared" si="106"/>
        <v>1800000</v>
      </c>
      <c r="AH220" s="493"/>
      <c r="AI220" s="493"/>
      <c r="AK220" s="492">
        <v>216</v>
      </c>
      <c r="AL220" s="492">
        <v>18</v>
      </c>
      <c r="AM220" s="497">
        <f>IF(('Comparison Calculator'!$E$11-AL220)&gt;=0,0,IFERROR(-PPMT($AQ$66/12,(AK220-60),($F$1-5)*12,$AQ$65),0))</f>
        <v>0</v>
      </c>
      <c r="AN220" s="497">
        <f>IF(('Comparison Calculator'!$E$11-AL220)&gt;=0,$C$1*$AQ$66/12,IFERROR(-IPMT($AQ$66/12,(AK220-60),($F$1-5)*12,$AQ$65,0),0))</f>
        <v>0</v>
      </c>
      <c r="AO220" s="497">
        <f t="shared" si="94"/>
        <v>0</v>
      </c>
      <c r="AP220" s="497">
        <f t="shared" si="107"/>
        <v>1800000</v>
      </c>
      <c r="AQ220" s="493"/>
      <c r="AR220" s="493"/>
      <c r="AT220" s="492">
        <v>216</v>
      </c>
      <c r="AU220" s="492">
        <v>18</v>
      </c>
      <c r="AV220" s="497">
        <f>IF(('Comparison Calculator'!$E$11-AU220)&gt;=0,0,IFERROR(-PPMT($AZ$66/12,(AT220-60),($F$1-5)*12,$AZ$65),0))</f>
        <v>0</v>
      </c>
      <c r="AW220" s="497">
        <f>IF(('Comparison Calculator'!$E$11-AU220)&gt;=0,$C$1*$AZ$66/12,IFERROR(-IPMT($AZ$66/12,(AT220-60),($F$1-5)*12,$AZ$65,0),0))</f>
        <v>0</v>
      </c>
      <c r="AX220" s="497">
        <f t="shared" si="95"/>
        <v>0</v>
      </c>
      <c r="AY220" s="497">
        <f t="shared" si="108"/>
        <v>1800000</v>
      </c>
      <c r="AZ220" s="493"/>
      <c r="BA220" s="493"/>
      <c r="BC220" s="492">
        <v>216</v>
      </c>
      <c r="BD220" s="492">
        <v>18</v>
      </c>
      <c r="BE220" s="497">
        <f>IF(('Comparison Calculator'!$E$11-BD220)&gt;=0,0,IFERROR(-PPMT($BI$66/12,(BC220-60),($F$1-5)*12,$BI$65),0))</f>
        <v>0</v>
      </c>
      <c r="BF220" s="497">
        <f>IF(('Comparison Calculator'!$E$11-BD220)&gt;=0,$C$1*$BI$66/12,IFERROR(-IPMT($BI$66/12,(BC220-60),($F$1-5)*12,$BI$65,0),0))</f>
        <v>0</v>
      </c>
      <c r="BG220" s="497">
        <f t="shared" si="96"/>
        <v>0</v>
      </c>
      <c r="BH220" s="497">
        <f t="shared" si="109"/>
        <v>1800000</v>
      </c>
      <c r="BI220" s="493"/>
      <c r="BJ220" s="493"/>
      <c r="BK220" s="492">
        <v>216</v>
      </c>
      <c r="BL220" s="492">
        <v>18</v>
      </c>
      <c r="BM220" s="497">
        <f>IF(('Comparison Calculator'!$E$11-BL220)&gt;=0,0,IFERROR(-PPMT($BQ$66/12,(BK220-60),($F$1-5)*12,$BQ$65),0))</f>
        <v>0</v>
      </c>
      <c r="BN220" s="497">
        <f>IF(('Comparison Calculator'!$E$11-BL220)&gt;=0,$C$1*$BQ$66/12,IFERROR(-IPMT($BQ$66/12,(BK220-60),($F$1-5)*12,$BQ$65,0),0))</f>
        <v>0</v>
      </c>
      <c r="BO220" s="497">
        <f t="shared" si="97"/>
        <v>0</v>
      </c>
      <c r="BP220" s="497">
        <f t="shared" si="110"/>
        <v>1800000</v>
      </c>
      <c r="BQ220" s="493"/>
      <c r="BR220" s="493"/>
      <c r="BT220" s="492">
        <v>216</v>
      </c>
      <c r="BU220" s="492">
        <v>18</v>
      </c>
      <c r="BV220" s="497">
        <f>IF(('Comparison Calculator'!$E$11-BU220)&gt;=0,0,IFERROR(-PPMT($BZ$66/12,(BT220-60),($F$1-5)*12,$BZ$65),0))</f>
        <v>0</v>
      </c>
      <c r="BW220" s="497">
        <f>IF(('Comparison Calculator'!$E$11-BU220)&gt;=0,$C$1*$BZ$66/12,IFERROR(-IPMT($BZ$66/12,(BT220-60),($F$1-5)*12,$BZ$65,0),0))</f>
        <v>0</v>
      </c>
      <c r="BX220" s="497">
        <f t="shared" si="98"/>
        <v>0</v>
      </c>
      <c r="BY220" s="497">
        <f t="shared" si="111"/>
        <v>1800000</v>
      </c>
      <c r="BZ220" s="493"/>
      <c r="CA220" s="493"/>
      <c r="CC220" s="492">
        <v>216</v>
      </c>
      <c r="CD220" s="492">
        <v>18</v>
      </c>
      <c r="CE220" s="497">
        <f>IF(('Comparison Calculator'!$E$11-CD220)&gt;=0,0,IFERROR(-PPMT($CI$66/12,(CC220-60),($F$1-5)*12,$CI$65),0))</f>
        <v>0</v>
      </c>
      <c r="CF220" s="497">
        <f>IF(('Comparison Calculator'!$E$11-CD220)&gt;=0,$C$1*$CI$66/12,IFERROR(-IPMT($CI$66/12,(CC220-60),($F$1-5)*12,$CI$65,0),0))</f>
        <v>0</v>
      </c>
      <c r="CG220" s="497">
        <f t="shared" si="99"/>
        <v>0</v>
      </c>
      <c r="CH220" s="497">
        <f t="shared" si="112"/>
        <v>1800000</v>
      </c>
      <c r="CI220" s="493"/>
      <c r="CJ220" s="493"/>
      <c r="CL220" s="492">
        <v>216</v>
      </c>
      <c r="CM220" s="492">
        <v>18</v>
      </c>
      <c r="CN220" s="497">
        <f>IF(('Comparison Calculator'!$E$11-CM220)&gt;=0,0,IFERROR(-PPMT($CR$66/12,(CL220-60),($F$1-5)*12,$CR$65),0))</f>
        <v>0</v>
      </c>
      <c r="CO220" s="497">
        <f>IF(('Comparison Calculator'!$E$11-CM220)&gt;=0,$C$1*$CI$66/12,IFERROR(-IPMT($CI$66/12,(CL220-60),($F$1-5)*12,$CI$65,0),0))</f>
        <v>0</v>
      </c>
      <c r="CP220" s="497">
        <f t="shared" si="100"/>
        <v>0</v>
      </c>
      <c r="CQ220" s="497">
        <f t="shared" si="113"/>
        <v>1800000</v>
      </c>
      <c r="CR220" s="493"/>
      <c r="CS220" s="493"/>
      <c r="CU220" s="492">
        <v>216</v>
      </c>
      <c r="CV220" s="492">
        <v>18</v>
      </c>
      <c r="CW220" s="497">
        <f>IF(('Comparison Calculator'!$E$11-CV220)&gt;=0,0,IFERROR(-PPMT($DA$66/12,(CU220-60),($F$1-5)*12,$DA$65),0))</f>
        <v>0</v>
      </c>
      <c r="CX220" s="497">
        <f>IF(('Comparison Calculator'!$E$11-CV220)&gt;=0,$C$1*$DA$66/12,IFERROR(-IPMT($DA$66/12,(CU220-60),($F$1-5)*12,$DA$65,0),0))</f>
        <v>0</v>
      </c>
      <c r="CY220" s="497">
        <f t="shared" si="101"/>
        <v>0</v>
      </c>
      <c r="CZ220" s="497">
        <f t="shared" si="114"/>
        <v>1800000</v>
      </c>
      <c r="DA220" s="493"/>
      <c r="DB220" s="493"/>
      <c r="DD220" s="492">
        <v>216</v>
      </c>
      <c r="DE220" s="492">
        <v>18</v>
      </c>
      <c r="DF220" s="497">
        <f>IF(('Comparison Calculator'!$E$11-DE220)&gt;=0,0,IFERROR(-PPMT($DJ$66/12,(DD220-60),($F$1-5)*12,$DJ$65),0))</f>
        <v>0</v>
      </c>
      <c r="DG220" s="497">
        <f>IF(('Comparison Calculator'!$E$11-DE220)&gt;=0,$C$1*$DJ$66/12,IFERROR(-IPMT($DJ$66/12,(DD220-60),($F$1-5)*12,$DJ$65,0),0))</f>
        <v>0</v>
      </c>
      <c r="DH220" s="497">
        <f t="shared" si="102"/>
        <v>0</v>
      </c>
      <c r="DI220" s="497">
        <f t="shared" si="115"/>
        <v>1800000</v>
      </c>
      <c r="DJ220" s="493"/>
      <c r="DK220" s="493"/>
    </row>
    <row r="221" spans="1:115">
      <c r="A221" s="492">
        <v>217</v>
      </c>
      <c r="B221" s="492">
        <v>19</v>
      </c>
      <c r="C221" s="497">
        <f>IF(('Comparison Calculator'!$E$11-B221)&gt;=0,0,IFERROR(-PPMT($G$66/12,(A221-60),($F$1-5)*12,$G$65),0))</f>
        <v>0</v>
      </c>
      <c r="D221" s="497">
        <f>IF(('Comparison Calculator'!$E$11-B221)&gt;=0,$C$1*$G$66/12,IFERROR(-IPMT($G$66/12,(A221-60),($F$1-5)*12,$G$65,0),0))</f>
        <v>0</v>
      </c>
      <c r="E221" s="497">
        <f t="shared" si="90"/>
        <v>0</v>
      </c>
      <c r="F221" s="497">
        <f t="shared" si="103"/>
        <v>1800000</v>
      </c>
      <c r="G221" s="493"/>
      <c r="H221" s="493"/>
      <c r="I221" s="489"/>
      <c r="J221" s="492">
        <v>217</v>
      </c>
      <c r="K221" s="492">
        <v>19</v>
      </c>
      <c r="L221" s="497">
        <f>IF(('Comparison Calculator'!$E$11-K221)&gt;=0,0,IFERROR(-PPMT($P$66/12,(J221-60),($F$1-5)*12,$P$65),0))</f>
        <v>0</v>
      </c>
      <c r="M221" s="497">
        <f>IF(('Comparison Calculator'!$E$11-K221)&gt;=0,$C$1*$P$66/12,IFERROR(-IPMT($P$66/12,(J221-60),($F$1-5)*12,$P$65,0),0))</f>
        <v>0</v>
      </c>
      <c r="N221" s="497">
        <f t="shared" si="91"/>
        <v>0</v>
      </c>
      <c r="O221" s="497">
        <f t="shared" si="104"/>
        <v>1800000</v>
      </c>
      <c r="P221" s="493"/>
      <c r="Q221" s="493"/>
      <c r="S221" s="492">
        <v>217</v>
      </c>
      <c r="T221" s="492">
        <v>19</v>
      </c>
      <c r="U221" s="497">
        <f>IF(('Comparison Calculator'!$E$11-T221)&gt;=0,0,IFERROR(-PPMT($Y$66/12,(S221-60),($F$1-5)*12,$Y$65),0))</f>
        <v>0</v>
      </c>
      <c r="V221" s="497">
        <f>IF(('Comparison Calculator'!$E$11-T221)&gt;=0,$C$1*$Y$66/12,IFERROR(-IPMT($Y$66/12,(S221-60),($F$1-5)*12,$Y$65,0),0))</f>
        <v>0</v>
      </c>
      <c r="W221" s="497">
        <f t="shared" si="92"/>
        <v>0</v>
      </c>
      <c r="X221" s="497">
        <f t="shared" si="105"/>
        <v>1800000</v>
      </c>
      <c r="Y221" s="493"/>
      <c r="Z221" s="493"/>
      <c r="AB221" s="492">
        <v>217</v>
      </c>
      <c r="AC221" s="492">
        <v>19</v>
      </c>
      <c r="AD221" s="497">
        <f>IF(('Comparison Calculator'!$E$11-AC221)&gt;=0,0,IFERROR(-PPMT($AH$66/12,(AB221-60),($F$1-5)*12,$AH$65),0))</f>
        <v>0</v>
      </c>
      <c r="AE221" s="497">
        <f>IF(('Comparison Calculator'!$E$11-AC221)&gt;=0,$C$1*$AH$66/12,IFERROR(-IPMT($AH$66/12,(AB221-60),($F$1-5)*12,$AH$65,0),0))</f>
        <v>0</v>
      </c>
      <c r="AF221" s="497">
        <f t="shared" si="93"/>
        <v>0</v>
      </c>
      <c r="AG221" s="497">
        <f t="shared" si="106"/>
        <v>1800000</v>
      </c>
      <c r="AH221" s="493"/>
      <c r="AI221" s="493"/>
      <c r="AK221" s="492">
        <v>217</v>
      </c>
      <c r="AL221" s="492">
        <v>19</v>
      </c>
      <c r="AM221" s="497">
        <f>IF(('Comparison Calculator'!$E$11-AL221)&gt;=0,0,IFERROR(-PPMT($AQ$66/12,(AK221-60),($F$1-5)*12,$AQ$65),0))</f>
        <v>0</v>
      </c>
      <c r="AN221" s="497">
        <f>IF(('Comparison Calculator'!$E$11-AL221)&gt;=0,$C$1*$AQ$66/12,IFERROR(-IPMT($AQ$66/12,(AK221-60),($F$1-5)*12,$AQ$65,0),0))</f>
        <v>0</v>
      </c>
      <c r="AO221" s="497">
        <f t="shared" si="94"/>
        <v>0</v>
      </c>
      <c r="AP221" s="497">
        <f t="shared" si="107"/>
        <v>1800000</v>
      </c>
      <c r="AQ221" s="493"/>
      <c r="AR221" s="493"/>
      <c r="AT221" s="492">
        <v>217</v>
      </c>
      <c r="AU221" s="492">
        <v>19</v>
      </c>
      <c r="AV221" s="497">
        <f>IF(('Comparison Calculator'!$E$11-AU221)&gt;=0,0,IFERROR(-PPMT($AZ$66/12,(AT221-60),($F$1-5)*12,$AZ$65),0))</f>
        <v>0</v>
      </c>
      <c r="AW221" s="497">
        <f>IF(('Comparison Calculator'!$E$11-AU221)&gt;=0,$C$1*$AZ$66/12,IFERROR(-IPMT($AZ$66/12,(AT221-60),($F$1-5)*12,$AZ$65,0),0))</f>
        <v>0</v>
      </c>
      <c r="AX221" s="497">
        <f t="shared" si="95"/>
        <v>0</v>
      </c>
      <c r="AY221" s="497">
        <f t="shared" si="108"/>
        <v>1800000</v>
      </c>
      <c r="AZ221" s="493"/>
      <c r="BA221" s="493"/>
      <c r="BC221" s="492">
        <v>217</v>
      </c>
      <c r="BD221" s="492">
        <v>19</v>
      </c>
      <c r="BE221" s="497">
        <f>IF(('Comparison Calculator'!$E$11-BD221)&gt;=0,0,IFERROR(-PPMT($BI$66/12,(BC221-60),($F$1-5)*12,$BI$65),0))</f>
        <v>0</v>
      </c>
      <c r="BF221" s="497">
        <f>IF(('Comparison Calculator'!$E$11-BD221)&gt;=0,$C$1*$BI$66/12,IFERROR(-IPMT($BI$66/12,(BC221-60),($F$1-5)*12,$BI$65,0),0))</f>
        <v>0</v>
      </c>
      <c r="BG221" s="497">
        <f t="shared" si="96"/>
        <v>0</v>
      </c>
      <c r="BH221" s="497">
        <f t="shared" si="109"/>
        <v>1800000</v>
      </c>
      <c r="BI221" s="493"/>
      <c r="BJ221" s="493"/>
      <c r="BK221" s="492">
        <v>217</v>
      </c>
      <c r="BL221" s="492">
        <v>19</v>
      </c>
      <c r="BM221" s="497">
        <f>IF(('Comparison Calculator'!$E$11-BL221)&gt;=0,0,IFERROR(-PPMT($BQ$66/12,(BK221-60),($F$1-5)*12,$BQ$65),0))</f>
        <v>0</v>
      </c>
      <c r="BN221" s="497">
        <f>IF(('Comparison Calculator'!$E$11-BL221)&gt;=0,$C$1*$BQ$66/12,IFERROR(-IPMT($BQ$66/12,(BK221-60),($F$1-5)*12,$BQ$65,0),0))</f>
        <v>0</v>
      </c>
      <c r="BO221" s="497">
        <f t="shared" si="97"/>
        <v>0</v>
      </c>
      <c r="BP221" s="497">
        <f t="shared" si="110"/>
        <v>1800000</v>
      </c>
      <c r="BQ221" s="493"/>
      <c r="BR221" s="493"/>
      <c r="BT221" s="492">
        <v>217</v>
      </c>
      <c r="BU221" s="492">
        <v>19</v>
      </c>
      <c r="BV221" s="497">
        <f>IF(('Comparison Calculator'!$E$11-BU221)&gt;=0,0,IFERROR(-PPMT($BZ$66/12,(BT221-60),($F$1-5)*12,$BZ$65),0))</f>
        <v>0</v>
      </c>
      <c r="BW221" s="497">
        <f>IF(('Comparison Calculator'!$E$11-BU221)&gt;=0,$C$1*$BZ$66/12,IFERROR(-IPMT($BZ$66/12,(BT221-60),($F$1-5)*12,$BZ$65,0),0))</f>
        <v>0</v>
      </c>
      <c r="BX221" s="497">
        <f t="shared" si="98"/>
        <v>0</v>
      </c>
      <c r="BY221" s="497">
        <f t="shared" si="111"/>
        <v>1800000</v>
      </c>
      <c r="BZ221" s="493"/>
      <c r="CA221" s="493"/>
      <c r="CC221" s="492">
        <v>217</v>
      </c>
      <c r="CD221" s="492">
        <v>19</v>
      </c>
      <c r="CE221" s="497">
        <f>IF(('Comparison Calculator'!$E$11-CD221)&gt;=0,0,IFERROR(-PPMT($CI$66/12,(CC221-60),($F$1-5)*12,$CI$65),0))</f>
        <v>0</v>
      </c>
      <c r="CF221" s="497">
        <f>IF(('Comparison Calculator'!$E$11-CD221)&gt;=0,$C$1*$CI$66/12,IFERROR(-IPMT($CI$66/12,(CC221-60),($F$1-5)*12,$CI$65,0),0))</f>
        <v>0</v>
      </c>
      <c r="CG221" s="497">
        <f t="shared" si="99"/>
        <v>0</v>
      </c>
      <c r="CH221" s="497">
        <f t="shared" si="112"/>
        <v>1800000</v>
      </c>
      <c r="CI221" s="493"/>
      <c r="CJ221" s="493"/>
      <c r="CL221" s="492">
        <v>217</v>
      </c>
      <c r="CM221" s="492">
        <v>19</v>
      </c>
      <c r="CN221" s="497">
        <f>IF(('Comparison Calculator'!$E$11-CM221)&gt;=0,0,IFERROR(-PPMT($CR$66/12,(CL221-60),($F$1-5)*12,$CR$65),0))</f>
        <v>0</v>
      </c>
      <c r="CO221" s="497">
        <f>IF(('Comparison Calculator'!$E$11-CM221)&gt;=0,$C$1*$CI$66/12,IFERROR(-IPMT($CI$66/12,(CL221-60),($F$1-5)*12,$CI$65,0),0))</f>
        <v>0</v>
      </c>
      <c r="CP221" s="497">
        <f t="shared" si="100"/>
        <v>0</v>
      </c>
      <c r="CQ221" s="497">
        <f t="shared" si="113"/>
        <v>1800000</v>
      </c>
      <c r="CR221" s="493"/>
      <c r="CS221" s="493"/>
      <c r="CU221" s="492">
        <v>217</v>
      </c>
      <c r="CV221" s="492">
        <v>19</v>
      </c>
      <c r="CW221" s="497">
        <f>IF(('Comparison Calculator'!$E$11-CV221)&gt;=0,0,IFERROR(-PPMT($DA$66/12,(CU221-60),($F$1-5)*12,$DA$65),0))</f>
        <v>0</v>
      </c>
      <c r="CX221" s="497">
        <f>IF(('Comparison Calculator'!$E$11-CV221)&gt;=0,$C$1*$DA$66/12,IFERROR(-IPMT($DA$66/12,(CU221-60),($F$1-5)*12,$DA$65,0),0))</f>
        <v>0</v>
      </c>
      <c r="CY221" s="497">
        <f t="shared" si="101"/>
        <v>0</v>
      </c>
      <c r="CZ221" s="497">
        <f t="shared" si="114"/>
        <v>1800000</v>
      </c>
      <c r="DA221" s="493"/>
      <c r="DB221" s="493"/>
      <c r="DD221" s="492">
        <v>217</v>
      </c>
      <c r="DE221" s="492">
        <v>19</v>
      </c>
      <c r="DF221" s="497">
        <f>IF(('Comparison Calculator'!$E$11-DE221)&gt;=0,0,IFERROR(-PPMT($DJ$66/12,(DD221-60),($F$1-5)*12,$DJ$65),0))</f>
        <v>0</v>
      </c>
      <c r="DG221" s="497">
        <f>IF(('Comparison Calculator'!$E$11-DE221)&gt;=0,$C$1*$DJ$66/12,IFERROR(-IPMT($DJ$66/12,(DD221-60),($F$1-5)*12,$DJ$65,0),0))</f>
        <v>0</v>
      </c>
      <c r="DH221" s="497">
        <f t="shared" si="102"/>
        <v>0</v>
      </c>
      <c r="DI221" s="497">
        <f t="shared" si="115"/>
        <v>1800000</v>
      </c>
      <c r="DJ221" s="493"/>
      <c r="DK221" s="493"/>
    </row>
    <row r="222" spans="1:115">
      <c r="A222" s="492">
        <v>218</v>
      </c>
      <c r="B222" s="492">
        <v>19</v>
      </c>
      <c r="C222" s="497">
        <f>IF(('Comparison Calculator'!$E$11-B222)&gt;=0,0,IFERROR(-PPMT($G$66/12,(A222-60),($F$1-5)*12,$G$65),0))</f>
        <v>0</v>
      </c>
      <c r="D222" s="497">
        <f>IF(('Comparison Calculator'!$E$11-B222)&gt;=0,$C$1*$G$66/12,IFERROR(-IPMT($G$66/12,(A222-60),($F$1-5)*12,$G$65,0),0))</f>
        <v>0</v>
      </c>
      <c r="E222" s="497">
        <f t="shared" si="90"/>
        <v>0</v>
      </c>
      <c r="F222" s="497">
        <f t="shared" si="103"/>
        <v>1800000</v>
      </c>
      <c r="G222" s="493"/>
      <c r="H222" s="493"/>
      <c r="I222" s="489"/>
      <c r="J222" s="492">
        <v>218</v>
      </c>
      <c r="K222" s="492">
        <v>19</v>
      </c>
      <c r="L222" s="497">
        <f>IF(('Comparison Calculator'!$E$11-K222)&gt;=0,0,IFERROR(-PPMT($P$66/12,(J222-60),($F$1-5)*12,$P$65),0))</f>
        <v>0</v>
      </c>
      <c r="M222" s="497">
        <f>IF(('Comparison Calculator'!$E$11-K222)&gt;=0,$C$1*$P$66/12,IFERROR(-IPMT($P$66/12,(J222-60),($F$1-5)*12,$P$65,0),0))</f>
        <v>0</v>
      </c>
      <c r="N222" s="497">
        <f t="shared" si="91"/>
        <v>0</v>
      </c>
      <c r="O222" s="497">
        <f t="shared" si="104"/>
        <v>1800000</v>
      </c>
      <c r="P222" s="493"/>
      <c r="Q222" s="493"/>
      <c r="S222" s="492">
        <v>218</v>
      </c>
      <c r="T222" s="492">
        <v>19</v>
      </c>
      <c r="U222" s="497">
        <f>IF(('Comparison Calculator'!$E$11-T222)&gt;=0,0,IFERROR(-PPMT($Y$66/12,(S222-60),($F$1-5)*12,$Y$65),0))</f>
        <v>0</v>
      </c>
      <c r="V222" s="497">
        <f>IF(('Comparison Calculator'!$E$11-T222)&gt;=0,$C$1*$Y$66/12,IFERROR(-IPMT($Y$66/12,(S222-60),($F$1-5)*12,$Y$65,0),0))</f>
        <v>0</v>
      </c>
      <c r="W222" s="497">
        <f t="shared" si="92"/>
        <v>0</v>
      </c>
      <c r="X222" s="497">
        <f t="shared" si="105"/>
        <v>1800000</v>
      </c>
      <c r="Y222" s="493"/>
      <c r="Z222" s="493"/>
      <c r="AB222" s="492">
        <v>218</v>
      </c>
      <c r="AC222" s="492">
        <v>19</v>
      </c>
      <c r="AD222" s="497">
        <f>IF(('Comparison Calculator'!$E$11-AC222)&gt;=0,0,IFERROR(-PPMT($AH$66/12,(AB222-60),($F$1-5)*12,$AH$65),0))</f>
        <v>0</v>
      </c>
      <c r="AE222" s="497">
        <f>IF(('Comparison Calculator'!$E$11-AC222)&gt;=0,$C$1*$AH$66/12,IFERROR(-IPMT($AH$66/12,(AB222-60),($F$1-5)*12,$AH$65,0),0))</f>
        <v>0</v>
      </c>
      <c r="AF222" s="497">
        <f t="shared" si="93"/>
        <v>0</v>
      </c>
      <c r="AG222" s="497">
        <f t="shared" si="106"/>
        <v>1800000</v>
      </c>
      <c r="AH222" s="493"/>
      <c r="AI222" s="493"/>
      <c r="AK222" s="492">
        <v>218</v>
      </c>
      <c r="AL222" s="492">
        <v>19</v>
      </c>
      <c r="AM222" s="497">
        <f>IF(('Comparison Calculator'!$E$11-AL222)&gt;=0,0,IFERROR(-PPMT($AQ$66/12,(AK222-60),($F$1-5)*12,$AQ$65),0))</f>
        <v>0</v>
      </c>
      <c r="AN222" s="497">
        <f>IF(('Comparison Calculator'!$E$11-AL222)&gt;=0,$C$1*$AQ$66/12,IFERROR(-IPMT($AQ$66/12,(AK222-60),($F$1-5)*12,$AQ$65,0),0))</f>
        <v>0</v>
      </c>
      <c r="AO222" s="497">
        <f t="shared" si="94"/>
        <v>0</v>
      </c>
      <c r="AP222" s="497">
        <f t="shared" si="107"/>
        <v>1800000</v>
      </c>
      <c r="AQ222" s="493"/>
      <c r="AR222" s="493"/>
      <c r="AT222" s="492">
        <v>218</v>
      </c>
      <c r="AU222" s="492">
        <v>19</v>
      </c>
      <c r="AV222" s="497">
        <f>IF(('Comparison Calculator'!$E$11-AU222)&gt;=0,0,IFERROR(-PPMT($AZ$66/12,(AT222-60),($F$1-5)*12,$AZ$65),0))</f>
        <v>0</v>
      </c>
      <c r="AW222" s="497">
        <f>IF(('Comparison Calculator'!$E$11-AU222)&gt;=0,$C$1*$AZ$66/12,IFERROR(-IPMT($AZ$66/12,(AT222-60),($F$1-5)*12,$AZ$65,0),0))</f>
        <v>0</v>
      </c>
      <c r="AX222" s="497">
        <f t="shared" si="95"/>
        <v>0</v>
      </c>
      <c r="AY222" s="497">
        <f t="shared" si="108"/>
        <v>1800000</v>
      </c>
      <c r="AZ222" s="493"/>
      <c r="BA222" s="493"/>
      <c r="BC222" s="492">
        <v>218</v>
      </c>
      <c r="BD222" s="492">
        <v>19</v>
      </c>
      <c r="BE222" s="497">
        <f>IF(('Comparison Calculator'!$E$11-BD222)&gt;=0,0,IFERROR(-PPMT($BI$66/12,(BC222-60),($F$1-5)*12,$BI$65),0))</f>
        <v>0</v>
      </c>
      <c r="BF222" s="497">
        <f>IF(('Comparison Calculator'!$E$11-BD222)&gt;=0,$C$1*$BI$66/12,IFERROR(-IPMT($BI$66/12,(BC222-60),($F$1-5)*12,$BI$65,0),0))</f>
        <v>0</v>
      </c>
      <c r="BG222" s="497">
        <f t="shared" si="96"/>
        <v>0</v>
      </c>
      <c r="BH222" s="497">
        <f t="shared" si="109"/>
        <v>1800000</v>
      </c>
      <c r="BI222" s="493"/>
      <c r="BJ222" s="493"/>
      <c r="BK222" s="492">
        <v>218</v>
      </c>
      <c r="BL222" s="492">
        <v>19</v>
      </c>
      <c r="BM222" s="497">
        <f>IF(('Comparison Calculator'!$E$11-BL222)&gt;=0,0,IFERROR(-PPMT($BQ$66/12,(BK222-60),($F$1-5)*12,$BQ$65),0))</f>
        <v>0</v>
      </c>
      <c r="BN222" s="497">
        <f>IF(('Comparison Calculator'!$E$11-BL222)&gt;=0,$C$1*$BQ$66/12,IFERROR(-IPMT($BQ$66/12,(BK222-60),($F$1-5)*12,$BQ$65,0),0))</f>
        <v>0</v>
      </c>
      <c r="BO222" s="497">
        <f t="shared" si="97"/>
        <v>0</v>
      </c>
      <c r="BP222" s="497">
        <f t="shared" si="110"/>
        <v>1800000</v>
      </c>
      <c r="BQ222" s="493"/>
      <c r="BR222" s="493"/>
      <c r="BT222" s="492">
        <v>218</v>
      </c>
      <c r="BU222" s="492">
        <v>19</v>
      </c>
      <c r="BV222" s="497">
        <f>IF(('Comparison Calculator'!$E$11-BU222)&gt;=0,0,IFERROR(-PPMT($BZ$66/12,(BT222-60),($F$1-5)*12,$BZ$65),0))</f>
        <v>0</v>
      </c>
      <c r="BW222" s="497">
        <f>IF(('Comparison Calculator'!$E$11-BU222)&gt;=0,$C$1*$BZ$66/12,IFERROR(-IPMT($BZ$66/12,(BT222-60),($F$1-5)*12,$BZ$65,0),0))</f>
        <v>0</v>
      </c>
      <c r="BX222" s="497">
        <f t="shared" si="98"/>
        <v>0</v>
      </c>
      <c r="BY222" s="497">
        <f t="shared" si="111"/>
        <v>1800000</v>
      </c>
      <c r="BZ222" s="493"/>
      <c r="CA222" s="493"/>
      <c r="CC222" s="492">
        <v>218</v>
      </c>
      <c r="CD222" s="492">
        <v>19</v>
      </c>
      <c r="CE222" s="497">
        <f>IF(('Comparison Calculator'!$E$11-CD222)&gt;=0,0,IFERROR(-PPMT($CI$66/12,(CC222-60),($F$1-5)*12,$CI$65),0))</f>
        <v>0</v>
      </c>
      <c r="CF222" s="497">
        <f>IF(('Comparison Calculator'!$E$11-CD222)&gt;=0,$C$1*$CI$66/12,IFERROR(-IPMT($CI$66/12,(CC222-60),($F$1-5)*12,$CI$65,0),0))</f>
        <v>0</v>
      </c>
      <c r="CG222" s="497">
        <f t="shared" si="99"/>
        <v>0</v>
      </c>
      <c r="CH222" s="497">
        <f t="shared" si="112"/>
        <v>1800000</v>
      </c>
      <c r="CI222" s="493"/>
      <c r="CJ222" s="493"/>
      <c r="CL222" s="492">
        <v>218</v>
      </c>
      <c r="CM222" s="492">
        <v>19</v>
      </c>
      <c r="CN222" s="497">
        <f>IF(('Comparison Calculator'!$E$11-CM222)&gt;=0,0,IFERROR(-PPMT($CR$66/12,(CL222-60),($F$1-5)*12,$CR$65),0))</f>
        <v>0</v>
      </c>
      <c r="CO222" s="497">
        <f>IF(('Comparison Calculator'!$E$11-CM222)&gt;=0,$C$1*$CI$66/12,IFERROR(-IPMT($CI$66/12,(CL222-60),($F$1-5)*12,$CI$65,0),0))</f>
        <v>0</v>
      </c>
      <c r="CP222" s="497">
        <f t="shared" si="100"/>
        <v>0</v>
      </c>
      <c r="CQ222" s="497">
        <f t="shared" si="113"/>
        <v>1800000</v>
      </c>
      <c r="CR222" s="493"/>
      <c r="CS222" s="493"/>
      <c r="CU222" s="492">
        <v>218</v>
      </c>
      <c r="CV222" s="492">
        <v>19</v>
      </c>
      <c r="CW222" s="497">
        <f>IF(('Comparison Calculator'!$E$11-CV222)&gt;=0,0,IFERROR(-PPMT($DA$66/12,(CU222-60),($F$1-5)*12,$DA$65),0))</f>
        <v>0</v>
      </c>
      <c r="CX222" s="497">
        <f>IF(('Comparison Calculator'!$E$11-CV222)&gt;=0,$C$1*$DA$66/12,IFERROR(-IPMT($DA$66/12,(CU222-60),($F$1-5)*12,$DA$65,0),0))</f>
        <v>0</v>
      </c>
      <c r="CY222" s="497">
        <f t="shared" si="101"/>
        <v>0</v>
      </c>
      <c r="CZ222" s="497">
        <f t="shared" si="114"/>
        <v>1800000</v>
      </c>
      <c r="DA222" s="493"/>
      <c r="DB222" s="493"/>
      <c r="DD222" s="492">
        <v>218</v>
      </c>
      <c r="DE222" s="492">
        <v>19</v>
      </c>
      <c r="DF222" s="497">
        <f>IF(('Comparison Calculator'!$E$11-DE222)&gt;=0,0,IFERROR(-PPMT($DJ$66/12,(DD222-60),($F$1-5)*12,$DJ$65),0))</f>
        <v>0</v>
      </c>
      <c r="DG222" s="497">
        <f>IF(('Comparison Calculator'!$E$11-DE222)&gt;=0,$C$1*$DJ$66/12,IFERROR(-IPMT($DJ$66/12,(DD222-60),($F$1-5)*12,$DJ$65,0),0))</f>
        <v>0</v>
      </c>
      <c r="DH222" s="497">
        <f t="shared" si="102"/>
        <v>0</v>
      </c>
      <c r="DI222" s="497">
        <f t="shared" si="115"/>
        <v>1800000</v>
      </c>
      <c r="DJ222" s="493"/>
      <c r="DK222" s="493"/>
    </row>
    <row r="223" spans="1:115">
      <c r="A223" s="492">
        <v>219</v>
      </c>
      <c r="B223" s="492">
        <v>19</v>
      </c>
      <c r="C223" s="497">
        <f>IF(('Comparison Calculator'!$E$11-B223)&gt;=0,0,IFERROR(-PPMT($G$66/12,(A223-60),($F$1-5)*12,$G$65),0))</f>
        <v>0</v>
      </c>
      <c r="D223" s="497">
        <f>IF(('Comparison Calculator'!$E$11-B223)&gt;=0,$C$1*$G$66/12,IFERROR(-IPMT($G$66/12,(A223-60),($F$1-5)*12,$G$65,0),0))</f>
        <v>0</v>
      </c>
      <c r="E223" s="497">
        <f t="shared" si="90"/>
        <v>0</v>
      </c>
      <c r="F223" s="497">
        <f t="shared" si="103"/>
        <v>1800000</v>
      </c>
      <c r="G223" s="493"/>
      <c r="H223" s="493"/>
      <c r="I223" s="489"/>
      <c r="J223" s="492">
        <v>219</v>
      </c>
      <c r="K223" s="492">
        <v>19</v>
      </c>
      <c r="L223" s="497">
        <f>IF(('Comparison Calculator'!$E$11-K223)&gt;=0,0,IFERROR(-PPMT($P$66/12,(J223-60),($F$1-5)*12,$P$65),0))</f>
        <v>0</v>
      </c>
      <c r="M223" s="497">
        <f>IF(('Comparison Calculator'!$E$11-K223)&gt;=0,$C$1*$P$66/12,IFERROR(-IPMT($P$66/12,(J223-60),($F$1-5)*12,$P$65,0),0))</f>
        <v>0</v>
      </c>
      <c r="N223" s="497">
        <f t="shared" si="91"/>
        <v>0</v>
      </c>
      <c r="O223" s="497">
        <f t="shared" si="104"/>
        <v>1800000</v>
      </c>
      <c r="P223" s="493"/>
      <c r="Q223" s="493"/>
      <c r="S223" s="492">
        <v>219</v>
      </c>
      <c r="T223" s="492">
        <v>19</v>
      </c>
      <c r="U223" s="497">
        <f>IF(('Comparison Calculator'!$E$11-T223)&gt;=0,0,IFERROR(-PPMT($Y$66/12,(S223-60),($F$1-5)*12,$Y$65),0))</f>
        <v>0</v>
      </c>
      <c r="V223" s="497">
        <f>IF(('Comparison Calculator'!$E$11-T223)&gt;=0,$C$1*$Y$66/12,IFERROR(-IPMT($Y$66/12,(S223-60),($F$1-5)*12,$Y$65,0),0))</f>
        <v>0</v>
      </c>
      <c r="W223" s="497">
        <f t="shared" si="92"/>
        <v>0</v>
      </c>
      <c r="X223" s="497">
        <f t="shared" si="105"/>
        <v>1800000</v>
      </c>
      <c r="Y223" s="493"/>
      <c r="Z223" s="493"/>
      <c r="AB223" s="492">
        <v>219</v>
      </c>
      <c r="AC223" s="492">
        <v>19</v>
      </c>
      <c r="AD223" s="497">
        <f>IF(('Comparison Calculator'!$E$11-AC223)&gt;=0,0,IFERROR(-PPMT($AH$66/12,(AB223-60),($F$1-5)*12,$AH$65),0))</f>
        <v>0</v>
      </c>
      <c r="AE223" s="497">
        <f>IF(('Comparison Calculator'!$E$11-AC223)&gt;=0,$C$1*$AH$66/12,IFERROR(-IPMT($AH$66/12,(AB223-60),($F$1-5)*12,$AH$65,0),0))</f>
        <v>0</v>
      </c>
      <c r="AF223" s="497">
        <f t="shared" si="93"/>
        <v>0</v>
      </c>
      <c r="AG223" s="497">
        <f t="shared" si="106"/>
        <v>1800000</v>
      </c>
      <c r="AH223" s="493"/>
      <c r="AI223" s="493"/>
      <c r="AK223" s="492">
        <v>219</v>
      </c>
      <c r="AL223" s="492">
        <v>19</v>
      </c>
      <c r="AM223" s="497">
        <f>IF(('Comparison Calculator'!$E$11-AL223)&gt;=0,0,IFERROR(-PPMT($AQ$66/12,(AK223-60),($F$1-5)*12,$AQ$65),0))</f>
        <v>0</v>
      </c>
      <c r="AN223" s="497">
        <f>IF(('Comparison Calculator'!$E$11-AL223)&gt;=0,$C$1*$AQ$66/12,IFERROR(-IPMT($AQ$66/12,(AK223-60),($F$1-5)*12,$AQ$65,0),0))</f>
        <v>0</v>
      </c>
      <c r="AO223" s="497">
        <f t="shared" si="94"/>
        <v>0</v>
      </c>
      <c r="AP223" s="497">
        <f t="shared" si="107"/>
        <v>1800000</v>
      </c>
      <c r="AQ223" s="493"/>
      <c r="AR223" s="493"/>
      <c r="AT223" s="492">
        <v>219</v>
      </c>
      <c r="AU223" s="492">
        <v>19</v>
      </c>
      <c r="AV223" s="497">
        <f>IF(('Comparison Calculator'!$E$11-AU223)&gt;=0,0,IFERROR(-PPMT($AZ$66/12,(AT223-60),($F$1-5)*12,$AZ$65),0))</f>
        <v>0</v>
      </c>
      <c r="AW223" s="497">
        <f>IF(('Comparison Calculator'!$E$11-AU223)&gt;=0,$C$1*$AZ$66/12,IFERROR(-IPMT($AZ$66/12,(AT223-60),($F$1-5)*12,$AZ$65,0),0))</f>
        <v>0</v>
      </c>
      <c r="AX223" s="497">
        <f t="shared" si="95"/>
        <v>0</v>
      </c>
      <c r="AY223" s="497">
        <f t="shared" si="108"/>
        <v>1800000</v>
      </c>
      <c r="AZ223" s="493"/>
      <c r="BA223" s="493"/>
      <c r="BC223" s="492">
        <v>219</v>
      </c>
      <c r="BD223" s="492">
        <v>19</v>
      </c>
      <c r="BE223" s="497">
        <f>IF(('Comparison Calculator'!$E$11-BD223)&gt;=0,0,IFERROR(-PPMT($BI$66/12,(BC223-60),($F$1-5)*12,$BI$65),0))</f>
        <v>0</v>
      </c>
      <c r="BF223" s="497">
        <f>IF(('Comparison Calculator'!$E$11-BD223)&gt;=0,$C$1*$BI$66/12,IFERROR(-IPMT($BI$66/12,(BC223-60),($F$1-5)*12,$BI$65,0),0))</f>
        <v>0</v>
      </c>
      <c r="BG223" s="497">
        <f t="shared" si="96"/>
        <v>0</v>
      </c>
      <c r="BH223" s="497">
        <f t="shared" si="109"/>
        <v>1800000</v>
      </c>
      <c r="BI223" s="493"/>
      <c r="BJ223" s="493"/>
      <c r="BK223" s="492">
        <v>219</v>
      </c>
      <c r="BL223" s="492">
        <v>19</v>
      </c>
      <c r="BM223" s="497">
        <f>IF(('Comparison Calculator'!$E$11-BL223)&gt;=0,0,IFERROR(-PPMT($BQ$66/12,(BK223-60),($F$1-5)*12,$BQ$65),0))</f>
        <v>0</v>
      </c>
      <c r="BN223" s="497">
        <f>IF(('Comparison Calculator'!$E$11-BL223)&gt;=0,$C$1*$BQ$66/12,IFERROR(-IPMT($BQ$66/12,(BK223-60),($F$1-5)*12,$BQ$65,0),0))</f>
        <v>0</v>
      </c>
      <c r="BO223" s="497">
        <f t="shared" si="97"/>
        <v>0</v>
      </c>
      <c r="BP223" s="497">
        <f t="shared" si="110"/>
        <v>1800000</v>
      </c>
      <c r="BQ223" s="493"/>
      <c r="BR223" s="493"/>
      <c r="BT223" s="492">
        <v>219</v>
      </c>
      <c r="BU223" s="492">
        <v>19</v>
      </c>
      <c r="BV223" s="497">
        <f>IF(('Comparison Calculator'!$E$11-BU223)&gt;=0,0,IFERROR(-PPMT($BZ$66/12,(BT223-60),($F$1-5)*12,$BZ$65),0))</f>
        <v>0</v>
      </c>
      <c r="BW223" s="497">
        <f>IF(('Comparison Calculator'!$E$11-BU223)&gt;=0,$C$1*$BZ$66/12,IFERROR(-IPMT($BZ$66/12,(BT223-60),($F$1-5)*12,$BZ$65,0),0))</f>
        <v>0</v>
      </c>
      <c r="BX223" s="497">
        <f t="shared" si="98"/>
        <v>0</v>
      </c>
      <c r="BY223" s="497">
        <f t="shared" si="111"/>
        <v>1800000</v>
      </c>
      <c r="BZ223" s="493"/>
      <c r="CA223" s="493"/>
      <c r="CC223" s="492">
        <v>219</v>
      </c>
      <c r="CD223" s="492">
        <v>19</v>
      </c>
      <c r="CE223" s="497">
        <f>IF(('Comparison Calculator'!$E$11-CD223)&gt;=0,0,IFERROR(-PPMT($CI$66/12,(CC223-60),($F$1-5)*12,$CI$65),0))</f>
        <v>0</v>
      </c>
      <c r="CF223" s="497">
        <f>IF(('Comparison Calculator'!$E$11-CD223)&gt;=0,$C$1*$CI$66/12,IFERROR(-IPMT($CI$66/12,(CC223-60),($F$1-5)*12,$CI$65,0),0))</f>
        <v>0</v>
      </c>
      <c r="CG223" s="497">
        <f t="shared" si="99"/>
        <v>0</v>
      </c>
      <c r="CH223" s="497">
        <f t="shared" si="112"/>
        <v>1800000</v>
      </c>
      <c r="CI223" s="493"/>
      <c r="CJ223" s="493"/>
      <c r="CL223" s="492">
        <v>219</v>
      </c>
      <c r="CM223" s="492">
        <v>19</v>
      </c>
      <c r="CN223" s="497">
        <f>IF(('Comparison Calculator'!$E$11-CM223)&gt;=0,0,IFERROR(-PPMT($CR$66/12,(CL223-60),($F$1-5)*12,$CR$65),0))</f>
        <v>0</v>
      </c>
      <c r="CO223" s="497">
        <f>IF(('Comparison Calculator'!$E$11-CM223)&gt;=0,$C$1*$CI$66/12,IFERROR(-IPMT($CI$66/12,(CL223-60),($F$1-5)*12,$CI$65,0),0))</f>
        <v>0</v>
      </c>
      <c r="CP223" s="497">
        <f t="shared" si="100"/>
        <v>0</v>
      </c>
      <c r="CQ223" s="497">
        <f t="shared" si="113"/>
        <v>1800000</v>
      </c>
      <c r="CR223" s="493"/>
      <c r="CS223" s="493"/>
      <c r="CU223" s="492">
        <v>219</v>
      </c>
      <c r="CV223" s="492">
        <v>19</v>
      </c>
      <c r="CW223" s="497">
        <f>IF(('Comparison Calculator'!$E$11-CV223)&gt;=0,0,IFERROR(-PPMT($DA$66/12,(CU223-60),($F$1-5)*12,$DA$65),0))</f>
        <v>0</v>
      </c>
      <c r="CX223" s="497">
        <f>IF(('Comparison Calculator'!$E$11-CV223)&gt;=0,$C$1*$DA$66/12,IFERROR(-IPMT($DA$66/12,(CU223-60),($F$1-5)*12,$DA$65,0),0))</f>
        <v>0</v>
      </c>
      <c r="CY223" s="497">
        <f t="shared" si="101"/>
        <v>0</v>
      </c>
      <c r="CZ223" s="497">
        <f t="shared" si="114"/>
        <v>1800000</v>
      </c>
      <c r="DA223" s="493"/>
      <c r="DB223" s="493"/>
      <c r="DD223" s="492">
        <v>219</v>
      </c>
      <c r="DE223" s="492">
        <v>19</v>
      </c>
      <c r="DF223" s="497">
        <f>IF(('Comparison Calculator'!$E$11-DE223)&gt;=0,0,IFERROR(-PPMT($DJ$66/12,(DD223-60),($F$1-5)*12,$DJ$65),0))</f>
        <v>0</v>
      </c>
      <c r="DG223" s="497">
        <f>IF(('Comparison Calculator'!$E$11-DE223)&gt;=0,$C$1*$DJ$66/12,IFERROR(-IPMT($DJ$66/12,(DD223-60),($F$1-5)*12,$DJ$65,0),0))</f>
        <v>0</v>
      </c>
      <c r="DH223" s="497">
        <f t="shared" si="102"/>
        <v>0</v>
      </c>
      <c r="DI223" s="497">
        <f t="shared" si="115"/>
        <v>1800000</v>
      </c>
      <c r="DJ223" s="493"/>
      <c r="DK223" s="493"/>
    </row>
    <row r="224" spans="1:115">
      <c r="A224" s="492">
        <v>220</v>
      </c>
      <c r="B224" s="492">
        <v>19</v>
      </c>
      <c r="C224" s="497">
        <f>IF(('Comparison Calculator'!$E$11-B224)&gt;=0,0,IFERROR(-PPMT($G$66/12,(A224-60),($F$1-5)*12,$G$65),0))</f>
        <v>0</v>
      </c>
      <c r="D224" s="497">
        <f>IF(('Comparison Calculator'!$E$11-B224)&gt;=0,$C$1*$G$66/12,IFERROR(-IPMT($G$66/12,(A224-60),($F$1-5)*12,$G$65,0),0))</f>
        <v>0</v>
      </c>
      <c r="E224" s="497">
        <f t="shared" si="90"/>
        <v>0</v>
      </c>
      <c r="F224" s="497">
        <f t="shared" si="103"/>
        <v>1800000</v>
      </c>
      <c r="G224" s="493"/>
      <c r="H224" s="493"/>
      <c r="I224" s="489"/>
      <c r="J224" s="492">
        <v>220</v>
      </c>
      <c r="K224" s="492">
        <v>19</v>
      </c>
      <c r="L224" s="497">
        <f>IF(('Comparison Calculator'!$E$11-K224)&gt;=0,0,IFERROR(-PPMT($P$66/12,(J224-60),($F$1-5)*12,$P$65),0))</f>
        <v>0</v>
      </c>
      <c r="M224" s="497">
        <f>IF(('Comparison Calculator'!$E$11-K224)&gt;=0,$C$1*$P$66/12,IFERROR(-IPMT($P$66/12,(J224-60),($F$1-5)*12,$P$65,0),0))</f>
        <v>0</v>
      </c>
      <c r="N224" s="497">
        <f t="shared" si="91"/>
        <v>0</v>
      </c>
      <c r="O224" s="497">
        <f t="shared" si="104"/>
        <v>1800000</v>
      </c>
      <c r="P224" s="493"/>
      <c r="Q224" s="493"/>
      <c r="S224" s="492">
        <v>220</v>
      </c>
      <c r="T224" s="492">
        <v>19</v>
      </c>
      <c r="U224" s="497">
        <f>IF(('Comparison Calculator'!$E$11-T224)&gt;=0,0,IFERROR(-PPMT($Y$66/12,(S224-60),($F$1-5)*12,$Y$65),0))</f>
        <v>0</v>
      </c>
      <c r="V224" s="497">
        <f>IF(('Comparison Calculator'!$E$11-T224)&gt;=0,$C$1*$Y$66/12,IFERROR(-IPMT($Y$66/12,(S224-60),($F$1-5)*12,$Y$65,0),0))</f>
        <v>0</v>
      </c>
      <c r="W224" s="497">
        <f t="shared" si="92"/>
        <v>0</v>
      </c>
      <c r="X224" s="497">
        <f t="shared" si="105"/>
        <v>1800000</v>
      </c>
      <c r="Y224" s="493"/>
      <c r="Z224" s="493"/>
      <c r="AB224" s="492">
        <v>220</v>
      </c>
      <c r="AC224" s="492">
        <v>19</v>
      </c>
      <c r="AD224" s="497">
        <f>IF(('Comparison Calculator'!$E$11-AC224)&gt;=0,0,IFERROR(-PPMT($AH$66/12,(AB224-60),($F$1-5)*12,$AH$65),0))</f>
        <v>0</v>
      </c>
      <c r="AE224" s="497">
        <f>IF(('Comparison Calculator'!$E$11-AC224)&gt;=0,$C$1*$AH$66/12,IFERROR(-IPMT($AH$66/12,(AB224-60),($F$1-5)*12,$AH$65,0),0))</f>
        <v>0</v>
      </c>
      <c r="AF224" s="497">
        <f t="shared" si="93"/>
        <v>0</v>
      </c>
      <c r="AG224" s="497">
        <f t="shared" si="106"/>
        <v>1800000</v>
      </c>
      <c r="AH224" s="493"/>
      <c r="AI224" s="493"/>
      <c r="AK224" s="492">
        <v>220</v>
      </c>
      <c r="AL224" s="492">
        <v>19</v>
      </c>
      <c r="AM224" s="497">
        <f>IF(('Comparison Calculator'!$E$11-AL224)&gt;=0,0,IFERROR(-PPMT($AQ$66/12,(AK224-60),($F$1-5)*12,$AQ$65),0))</f>
        <v>0</v>
      </c>
      <c r="AN224" s="497">
        <f>IF(('Comparison Calculator'!$E$11-AL224)&gt;=0,$C$1*$AQ$66/12,IFERROR(-IPMT($AQ$66/12,(AK224-60),($F$1-5)*12,$AQ$65,0),0))</f>
        <v>0</v>
      </c>
      <c r="AO224" s="497">
        <f t="shared" si="94"/>
        <v>0</v>
      </c>
      <c r="AP224" s="497">
        <f t="shared" si="107"/>
        <v>1800000</v>
      </c>
      <c r="AQ224" s="493"/>
      <c r="AR224" s="493"/>
      <c r="AT224" s="492">
        <v>220</v>
      </c>
      <c r="AU224" s="492">
        <v>19</v>
      </c>
      <c r="AV224" s="497">
        <f>IF(('Comparison Calculator'!$E$11-AU224)&gt;=0,0,IFERROR(-PPMT($AZ$66/12,(AT224-60),($F$1-5)*12,$AZ$65),0))</f>
        <v>0</v>
      </c>
      <c r="AW224" s="497">
        <f>IF(('Comparison Calculator'!$E$11-AU224)&gt;=0,$C$1*$AZ$66/12,IFERROR(-IPMT($AZ$66/12,(AT224-60),($F$1-5)*12,$AZ$65,0),0))</f>
        <v>0</v>
      </c>
      <c r="AX224" s="497">
        <f t="shared" si="95"/>
        <v>0</v>
      </c>
      <c r="AY224" s="497">
        <f t="shared" si="108"/>
        <v>1800000</v>
      </c>
      <c r="AZ224" s="493"/>
      <c r="BA224" s="493"/>
      <c r="BC224" s="492">
        <v>220</v>
      </c>
      <c r="BD224" s="492">
        <v>19</v>
      </c>
      <c r="BE224" s="497">
        <f>IF(('Comparison Calculator'!$E$11-BD224)&gt;=0,0,IFERROR(-PPMT($BI$66/12,(BC224-60),($F$1-5)*12,$BI$65),0))</f>
        <v>0</v>
      </c>
      <c r="BF224" s="497">
        <f>IF(('Comparison Calculator'!$E$11-BD224)&gt;=0,$C$1*$BI$66/12,IFERROR(-IPMT($BI$66/12,(BC224-60),($F$1-5)*12,$BI$65,0),0))</f>
        <v>0</v>
      </c>
      <c r="BG224" s="497">
        <f t="shared" si="96"/>
        <v>0</v>
      </c>
      <c r="BH224" s="497">
        <f t="shared" si="109"/>
        <v>1800000</v>
      </c>
      <c r="BI224" s="493"/>
      <c r="BJ224" s="493"/>
      <c r="BK224" s="492">
        <v>220</v>
      </c>
      <c r="BL224" s="492">
        <v>19</v>
      </c>
      <c r="BM224" s="497">
        <f>IF(('Comparison Calculator'!$E$11-BL224)&gt;=0,0,IFERROR(-PPMT($BQ$66/12,(BK224-60),($F$1-5)*12,$BQ$65),0))</f>
        <v>0</v>
      </c>
      <c r="BN224" s="497">
        <f>IF(('Comparison Calculator'!$E$11-BL224)&gt;=0,$C$1*$BQ$66/12,IFERROR(-IPMT($BQ$66/12,(BK224-60),($F$1-5)*12,$BQ$65,0),0))</f>
        <v>0</v>
      </c>
      <c r="BO224" s="497">
        <f t="shared" si="97"/>
        <v>0</v>
      </c>
      <c r="BP224" s="497">
        <f t="shared" si="110"/>
        <v>1800000</v>
      </c>
      <c r="BQ224" s="493"/>
      <c r="BR224" s="493"/>
      <c r="BT224" s="492">
        <v>220</v>
      </c>
      <c r="BU224" s="492">
        <v>19</v>
      </c>
      <c r="BV224" s="497">
        <f>IF(('Comparison Calculator'!$E$11-BU224)&gt;=0,0,IFERROR(-PPMT($BZ$66/12,(BT224-60),($F$1-5)*12,$BZ$65),0))</f>
        <v>0</v>
      </c>
      <c r="BW224" s="497">
        <f>IF(('Comparison Calculator'!$E$11-BU224)&gt;=0,$C$1*$BZ$66/12,IFERROR(-IPMT($BZ$66/12,(BT224-60),($F$1-5)*12,$BZ$65,0),0))</f>
        <v>0</v>
      </c>
      <c r="BX224" s="497">
        <f t="shared" si="98"/>
        <v>0</v>
      </c>
      <c r="BY224" s="497">
        <f t="shared" si="111"/>
        <v>1800000</v>
      </c>
      <c r="BZ224" s="493"/>
      <c r="CA224" s="493"/>
      <c r="CC224" s="492">
        <v>220</v>
      </c>
      <c r="CD224" s="492">
        <v>19</v>
      </c>
      <c r="CE224" s="497">
        <f>IF(('Comparison Calculator'!$E$11-CD224)&gt;=0,0,IFERROR(-PPMT($CI$66/12,(CC224-60),($F$1-5)*12,$CI$65),0))</f>
        <v>0</v>
      </c>
      <c r="CF224" s="497">
        <f>IF(('Comparison Calculator'!$E$11-CD224)&gt;=0,$C$1*$CI$66/12,IFERROR(-IPMT($CI$66/12,(CC224-60),($F$1-5)*12,$CI$65,0),0))</f>
        <v>0</v>
      </c>
      <c r="CG224" s="497">
        <f t="shared" si="99"/>
        <v>0</v>
      </c>
      <c r="CH224" s="497">
        <f t="shared" si="112"/>
        <v>1800000</v>
      </c>
      <c r="CI224" s="493"/>
      <c r="CJ224" s="493"/>
      <c r="CL224" s="492">
        <v>220</v>
      </c>
      <c r="CM224" s="492">
        <v>19</v>
      </c>
      <c r="CN224" s="497">
        <f>IF(('Comparison Calculator'!$E$11-CM224)&gt;=0,0,IFERROR(-PPMT($CR$66/12,(CL224-60),($F$1-5)*12,$CR$65),0))</f>
        <v>0</v>
      </c>
      <c r="CO224" s="497">
        <f>IF(('Comparison Calculator'!$E$11-CM224)&gt;=0,$C$1*$CI$66/12,IFERROR(-IPMT($CI$66/12,(CL224-60),($F$1-5)*12,$CI$65,0),0))</f>
        <v>0</v>
      </c>
      <c r="CP224" s="497">
        <f t="shared" si="100"/>
        <v>0</v>
      </c>
      <c r="CQ224" s="497">
        <f t="shared" si="113"/>
        <v>1800000</v>
      </c>
      <c r="CR224" s="493"/>
      <c r="CS224" s="493"/>
      <c r="CU224" s="492">
        <v>220</v>
      </c>
      <c r="CV224" s="492">
        <v>19</v>
      </c>
      <c r="CW224" s="497">
        <f>IF(('Comparison Calculator'!$E$11-CV224)&gt;=0,0,IFERROR(-PPMT($DA$66/12,(CU224-60),($F$1-5)*12,$DA$65),0))</f>
        <v>0</v>
      </c>
      <c r="CX224" s="497">
        <f>IF(('Comparison Calculator'!$E$11-CV224)&gt;=0,$C$1*$DA$66/12,IFERROR(-IPMT($DA$66/12,(CU224-60),($F$1-5)*12,$DA$65,0),0))</f>
        <v>0</v>
      </c>
      <c r="CY224" s="497">
        <f t="shared" si="101"/>
        <v>0</v>
      </c>
      <c r="CZ224" s="497">
        <f t="shared" si="114"/>
        <v>1800000</v>
      </c>
      <c r="DA224" s="493"/>
      <c r="DB224" s="493"/>
      <c r="DD224" s="492">
        <v>220</v>
      </c>
      <c r="DE224" s="492">
        <v>19</v>
      </c>
      <c r="DF224" s="497">
        <f>IF(('Comparison Calculator'!$E$11-DE224)&gt;=0,0,IFERROR(-PPMT($DJ$66/12,(DD224-60),($F$1-5)*12,$DJ$65),0))</f>
        <v>0</v>
      </c>
      <c r="DG224" s="497">
        <f>IF(('Comparison Calculator'!$E$11-DE224)&gt;=0,$C$1*$DJ$66/12,IFERROR(-IPMT($DJ$66/12,(DD224-60),($F$1-5)*12,$DJ$65,0),0))</f>
        <v>0</v>
      </c>
      <c r="DH224" s="497">
        <f t="shared" si="102"/>
        <v>0</v>
      </c>
      <c r="DI224" s="497">
        <f t="shared" si="115"/>
        <v>1800000</v>
      </c>
      <c r="DJ224" s="493"/>
      <c r="DK224" s="493"/>
    </row>
    <row r="225" spans="1:115">
      <c r="A225" s="492">
        <v>221</v>
      </c>
      <c r="B225" s="492">
        <v>19</v>
      </c>
      <c r="C225" s="497">
        <f>IF(('Comparison Calculator'!$E$11-B225)&gt;=0,0,IFERROR(-PPMT($G$66/12,(A225-60),($F$1-5)*12,$G$65),0))</f>
        <v>0</v>
      </c>
      <c r="D225" s="497">
        <f>IF(('Comparison Calculator'!$E$11-B225)&gt;=0,$C$1*$G$66/12,IFERROR(-IPMT($G$66/12,(A225-60),($F$1-5)*12,$G$65,0),0))</f>
        <v>0</v>
      </c>
      <c r="E225" s="497">
        <f t="shared" si="90"/>
        <v>0</v>
      </c>
      <c r="F225" s="497">
        <f t="shared" si="103"/>
        <v>1800000</v>
      </c>
      <c r="G225" s="493"/>
      <c r="H225" s="493"/>
      <c r="I225" s="489"/>
      <c r="J225" s="492">
        <v>221</v>
      </c>
      <c r="K225" s="492">
        <v>19</v>
      </c>
      <c r="L225" s="497">
        <f>IF(('Comparison Calculator'!$E$11-K225)&gt;=0,0,IFERROR(-PPMT($P$66/12,(J225-60),($F$1-5)*12,$P$65),0))</f>
        <v>0</v>
      </c>
      <c r="M225" s="497">
        <f>IF(('Comparison Calculator'!$E$11-K225)&gt;=0,$C$1*$P$66/12,IFERROR(-IPMT($P$66/12,(J225-60),($F$1-5)*12,$P$65,0),0))</f>
        <v>0</v>
      </c>
      <c r="N225" s="497">
        <f t="shared" si="91"/>
        <v>0</v>
      </c>
      <c r="O225" s="497">
        <f t="shared" si="104"/>
        <v>1800000</v>
      </c>
      <c r="P225" s="493"/>
      <c r="Q225" s="493"/>
      <c r="S225" s="492">
        <v>221</v>
      </c>
      <c r="T225" s="492">
        <v>19</v>
      </c>
      <c r="U225" s="497">
        <f>IF(('Comparison Calculator'!$E$11-T225)&gt;=0,0,IFERROR(-PPMT($Y$66/12,(S225-60),($F$1-5)*12,$Y$65),0))</f>
        <v>0</v>
      </c>
      <c r="V225" s="497">
        <f>IF(('Comparison Calculator'!$E$11-T225)&gt;=0,$C$1*$Y$66/12,IFERROR(-IPMT($Y$66/12,(S225-60),($F$1-5)*12,$Y$65,0),0))</f>
        <v>0</v>
      </c>
      <c r="W225" s="497">
        <f t="shared" si="92"/>
        <v>0</v>
      </c>
      <c r="X225" s="497">
        <f t="shared" si="105"/>
        <v>1800000</v>
      </c>
      <c r="Y225" s="493"/>
      <c r="Z225" s="493"/>
      <c r="AB225" s="492">
        <v>221</v>
      </c>
      <c r="AC225" s="492">
        <v>19</v>
      </c>
      <c r="AD225" s="497">
        <f>IF(('Comparison Calculator'!$E$11-AC225)&gt;=0,0,IFERROR(-PPMT($AH$66/12,(AB225-60),($F$1-5)*12,$AH$65),0))</f>
        <v>0</v>
      </c>
      <c r="AE225" s="497">
        <f>IF(('Comparison Calculator'!$E$11-AC225)&gt;=0,$C$1*$AH$66/12,IFERROR(-IPMT($AH$66/12,(AB225-60),($F$1-5)*12,$AH$65,0),0))</f>
        <v>0</v>
      </c>
      <c r="AF225" s="497">
        <f t="shared" si="93"/>
        <v>0</v>
      </c>
      <c r="AG225" s="497">
        <f t="shared" si="106"/>
        <v>1800000</v>
      </c>
      <c r="AH225" s="493"/>
      <c r="AI225" s="493"/>
      <c r="AK225" s="492">
        <v>221</v>
      </c>
      <c r="AL225" s="492">
        <v>19</v>
      </c>
      <c r="AM225" s="497">
        <f>IF(('Comparison Calculator'!$E$11-AL225)&gt;=0,0,IFERROR(-PPMT($AQ$66/12,(AK225-60),($F$1-5)*12,$AQ$65),0))</f>
        <v>0</v>
      </c>
      <c r="AN225" s="497">
        <f>IF(('Comparison Calculator'!$E$11-AL225)&gt;=0,$C$1*$AQ$66/12,IFERROR(-IPMT($AQ$66/12,(AK225-60),($F$1-5)*12,$AQ$65,0),0))</f>
        <v>0</v>
      </c>
      <c r="AO225" s="497">
        <f t="shared" si="94"/>
        <v>0</v>
      </c>
      <c r="AP225" s="497">
        <f t="shared" si="107"/>
        <v>1800000</v>
      </c>
      <c r="AQ225" s="493"/>
      <c r="AR225" s="493"/>
      <c r="AT225" s="492">
        <v>221</v>
      </c>
      <c r="AU225" s="492">
        <v>19</v>
      </c>
      <c r="AV225" s="497">
        <f>IF(('Comparison Calculator'!$E$11-AU225)&gt;=0,0,IFERROR(-PPMT($AZ$66/12,(AT225-60),($F$1-5)*12,$AZ$65),0))</f>
        <v>0</v>
      </c>
      <c r="AW225" s="497">
        <f>IF(('Comparison Calculator'!$E$11-AU225)&gt;=0,$C$1*$AZ$66/12,IFERROR(-IPMT($AZ$66/12,(AT225-60),($F$1-5)*12,$AZ$65,0),0))</f>
        <v>0</v>
      </c>
      <c r="AX225" s="497">
        <f t="shared" si="95"/>
        <v>0</v>
      </c>
      <c r="AY225" s="497">
        <f t="shared" si="108"/>
        <v>1800000</v>
      </c>
      <c r="AZ225" s="493"/>
      <c r="BA225" s="493"/>
      <c r="BC225" s="492">
        <v>221</v>
      </c>
      <c r="BD225" s="492">
        <v>19</v>
      </c>
      <c r="BE225" s="497">
        <f>IF(('Comparison Calculator'!$E$11-BD225)&gt;=0,0,IFERROR(-PPMT($BI$66/12,(BC225-60),($F$1-5)*12,$BI$65),0))</f>
        <v>0</v>
      </c>
      <c r="BF225" s="497">
        <f>IF(('Comparison Calculator'!$E$11-BD225)&gt;=0,$C$1*$BI$66/12,IFERROR(-IPMT($BI$66/12,(BC225-60),($F$1-5)*12,$BI$65,0),0))</f>
        <v>0</v>
      </c>
      <c r="BG225" s="497">
        <f t="shared" si="96"/>
        <v>0</v>
      </c>
      <c r="BH225" s="497">
        <f t="shared" si="109"/>
        <v>1800000</v>
      </c>
      <c r="BI225" s="493"/>
      <c r="BJ225" s="493"/>
      <c r="BK225" s="492">
        <v>221</v>
      </c>
      <c r="BL225" s="492">
        <v>19</v>
      </c>
      <c r="BM225" s="497">
        <f>IF(('Comparison Calculator'!$E$11-BL225)&gt;=0,0,IFERROR(-PPMT($BQ$66/12,(BK225-60),($F$1-5)*12,$BQ$65),0))</f>
        <v>0</v>
      </c>
      <c r="BN225" s="497">
        <f>IF(('Comparison Calculator'!$E$11-BL225)&gt;=0,$C$1*$BQ$66/12,IFERROR(-IPMT($BQ$66/12,(BK225-60),($F$1-5)*12,$BQ$65,0),0))</f>
        <v>0</v>
      </c>
      <c r="BO225" s="497">
        <f t="shared" si="97"/>
        <v>0</v>
      </c>
      <c r="BP225" s="497">
        <f t="shared" si="110"/>
        <v>1800000</v>
      </c>
      <c r="BQ225" s="493"/>
      <c r="BR225" s="493"/>
      <c r="BT225" s="492">
        <v>221</v>
      </c>
      <c r="BU225" s="492">
        <v>19</v>
      </c>
      <c r="BV225" s="497">
        <f>IF(('Comparison Calculator'!$E$11-BU225)&gt;=0,0,IFERROR(-PPMT($BZ$66/12,(BT225-60),($F$1-5)*12,$BZ$65),0))</f>
        <v>0</v>
      </c>
      <c r="BW225" s="497">
        <f>IF(('Comparison Calculator'!$E$11-BU225)&gt;=0,$C$1*$BZ$66/12,IFERROR(-IPMT($BZ$66/12,(BT225-60),($F$1-5)*12,$BZ$65,0),0))</f>
        <v>0</v>
      </c>
      <c r="BX225" s="497">
        <f t="shared" si="98"/>
        <v>0</v>
      </c>
      <c r="BY225" s="497">
        <f t="shared" si="111"/>
        <v>1800000</v>
      </c>
      <c r="BZ225" s="493"/>
      <c r="CA225" s="493"/>
      <c r="CC225" s="492">
        <v>221</v>
      </c>
      <c r="CD225" s="492">
        <v>19</v>
      </c>
      <c r="CE225" s="497">
        <f>IF(('Comparison Calculator'!$E$11-CD225)&gt;=0,0,IFERROR(-PPMT($CI$66/12,(CC225-60),($F$1-5)*12,$CI$65),0))</f>
        <v>0</v>
      </c>
      <c r="CF225" s="497">
        <f>IF(('Comparison Calculator'!$E$11-CD225)&gt;=0,$C$1*$CI$66/12,IFERROR(-IPMT($CI$66/12,(CC225-60),($F$1-5)*12,$CI$65,0),0))</f>
        <v>0</v>
      </c>
      <c r="CG225" s="497">
        <f t="shared" si="99"/>
        <v>0</v>
      </c>
      <c r="CH225" s="497">
        <f t="shared" si="112"/>
        <v>1800000</v>
      </c>
      <c r="CI225" s="493"/>
      <c r="CJ225" s="493"/>
      <c r="CL225" s="492">
        <v>221</v>
      </c>
      <c r="CM225" s="492">
        <v>19</v>
      </c>
      <c r="CN225" s="497">
        <f>IF(('Comparison Calculator'!$E$11-CM225)&gt;=0,0,IFERROR(-PPMT($CR$66/12,(CL225-60),($F$1-5)*12,$CR$65),0))</f>
        <v>0</v>
      </c>
      <c r="CO225" s="497">
        <f>IF(('Comparison Calculator'!$E$11-CM225)&gt;=0,$C$1*$CI$66/12,IFERROR(-IPMT($CI$66/12,(CL225-60),($F$1-5)*12,$CI$65,0),0))</f>
        <v>0</v>
      </c>
      <c r="CP225" s="497">
        <f t="shared" si="100"/>
        <v>0</v>
      </c>
      <c r="CQ225" s="497">
        <f t="shared" si="113"/>
        <v>1800000</v>
      </c>
      <c r="CR225" s="493"/>
      <c r="CS225" s="493"/>
      <c r="CU225" s="492">
        <v>221</v>
      </c>
      <c r="CV225" s="492">
        <v>19</v>
      </c>
      <c r="CW225" s="497">
        <f>IF(('Comparison Calculator'!$E$11-CV225)&gt;=0,0,IFERROR(-PPMT($DA$66/12,(CU225-60),($F$1-5)*12,$DA$65),0))</f>
        <v>0</v>
      </c>
      <c r="CX225" s="497">
        <f>IF(('Comparison Calculator'!$E$11-CV225)&gt;=0,$C$1*$DA$66/12,IFERROR(-IPMT($DA$66/12,(CU225-60),($F$1-5)*12,$DA$65,0),0))</f>
        <v>0</v>
      </c>
      <c r="CY225" s="497">
        <f t="shared" si="101"/>
        <v>0</v>
      </c>
      <c r="CZ225" s="497">
        <f t="shared" si="114"/>
        <v>1800000</v>
      </c>
      <c r="DA225" s="493"/>
      <c r="DB225" s="493"/>
      <c r="DD225" s="492">
        <v>221</v>
      </c>
      <c r="DE225" s="492">
        <v>19</v>
      </c>
      <c r="DF225" s="497">
        <f>IF(('Comparison Calculator'!$E$11-DE225)&gt;=0,0,IFERROR(-PPMT($DJ$66/12,(DD225-60),($F$1-5)*12,$DJ$65),0))</f>
        <v>0</v>
      </c>
      <c r="DG225" s="497">
        <f>IF(('Comparison Calculator'!$E$11-DE225)&gt;=0,$C$1*$DJ$66/12,IFERROR(-IPMT($DJ$66/12,(DD225-60),($F$1-5)*12,$DJ$65,0),0))</f>
        <v>0</v>
      </c>
      <c r="DH225" s="497">
        <f t="shared" si="102"/>
        <v>0</v>
      </c>
      <c r="DI225" s="497">
        <f t="shared" si="115"/>
        <v>1800000</v>
      </c>
      <c r="DJ225" s="493"/>
      <c r="DK225" s="493"/>
    </row>
    <row r="226" spans="1:115">
      <c r="A226" s="492">
        <v>222</v>
      </c>
      <c r="B226" s="492">
        <v>19</v>
      </c>
      <c r="C226" s="497">
        <f>IF(('Comparison Calculator'!$E$11-B226)&gt;=0,0,IFERROR(-PPMT($G$66/12,(A226-60),($F$1-5)*12,$G$65),0))</f>
        <v>0</v>
      </c>
      <c r="D226" s="497">
        <f>IF(('Comparison Calculator'!$E$11-B226)&gt;=0,$C$1*$G$66/12,IFERROR(-IPMT($G$66/12,(A226-60),($F$1-5)*12,$G$65,0),0))</f>
        <v>0</v>
      </c>
      <c r="E226" s="497">
        <f t="shared" si="90"/>
        <v>0</v>
      </c>
      <c r="F226" s="497">
        <f t="shared" si="103"/>
        <v>1800000</v>
      </c>
      <c r="G226" s="493"/>
      <c r="H226" s="493"/>
      <c r="I226" s="489"/>
      <c r="J226" s="492">
        <v>222</v>
      </c>
      <c r="K226" s="492">
        <v>19</v>
      </c>
      <c r="L226" s="497">
        <f>IF(('Comparison Calculator'!$E$11-K226)&gt;=0,0,IFERROR(-PPMT($P$66/12,(J226-60),($F$1-5)*12,$P$65),0))</f>
        <v>0</v>
      </c>
      <c r="M226" s="497">
        <f>IF(('Comparison Calculator'!$E$11-K226)&gt;=0,$C$1*$P$66/12,IFERROR(-IPMT($P$66/12,(J226-60),($F$1-5)*12,$P$65,0),0))</f>
        <v>0</v>
      </c>
      <c r="N226" s="497">
        <f t="shared" si="91"/>
        <v>0</v>
      </c>
      <c r="O226" s="497">
        <f t="shared" si="104"/>
        <v>1800000</v>
      </c>
      <c r="P226" s="493"/>
      <c r="Q226" s="493"/>
      <c r="S226" s="492">
        <v>222</v>
      </c>
      <c r="T226" s="492">
        <v>19</v>
      </c>
      <c r="U226" s="497">
        <f>IF(('Comparison Calculator'!$E$11-T226)&gt;=0,0,IFERROR(-PPMT($Y$66/12,(S226-60),($F$1-5)*12,$Y$65),0))</f>
        <v>0</v>
      </c>
      <c r="V226" s="497">
        <f>IF(('Comparison Calculator'!$E$11-T226)&gt;=0,$C$1*$Y$66/12,IFERROR(-IPMT($Y$66/12,(S226-60),($F$1-5)*12,$Y$65,0),0))</f>
        <v>0</v>
      </c>
      <c r="W226" s="497">
        <f t="shared" si="92"/>
        <v>0</v>
      </c>
      <c r="X226" s="497">
        <f t="shared" si="105"/>
        <v>1800000</v>
      </c>
      <c r="Y226" s="493"/>
      <c r="Z226" s="493"/>
      <c r="AB226" s="492">
        <v>222</v>
      </c>
      <c r="AC226" s="492">
        <v>19</v>
      </c>
      <c r="AD226" s="497">
        <f>IF(('Comparison Calculator'!$E$11-AC226)&gt;=0,0,IFERROR(-PPMT($AH$66/12,(AB226-60),($F$1-5)*12,$AH$65),0))</f>
        <v>0</v>
      </c>
      <c r="AE226" s="497">
        <f>IF(('Comparison Calculator'!$E$11-AC226)&gt;=0,$C$1*$AH$66/12,IFERROR(-IPMT($AH$66/12,(AB226-60),($F$1-5)*12,$AH$65,0),0))</f>
        <v>0</v>
      </c>
      <c r="AF226" s="497">
        <f t="shared" si="93"/>
        <v>0</v>
      </c>
      <c r="AG226" s="497">
        <f t="shared" si="106"/>
        <v>1800000</v>
      </c>
      <c r="AH226" s="493"/>
      <c r="AI226" s="493"/>
      <c r="AK226" s="492">
        <v>222</v>
      </c>
      <c r="AL226" s="492">
        <v>19</v>
      </c>
      <c r="AM226" s="497">
        <f>IF(('Comparison Calculator'!$E$11-AL226)&gt;=0,0,IFERROR(-PPMT($AQ$66/12,(AK226-60),($F$1-5)*12,$AQ$65),0))</f>
        <v>0</v>
      </c>
      <c r="AN226" s="497">
        <f>IF(('Comparison Calculator'!$E$11-AL226)&gt;=0,$C$1*$AQ$66/12,IFERROR(-IPMT($AQ$66/12,(AK226-60),($F$1-5)*12,$AQ$65,0),0))</f>
        <v>0</v>
      </c>
      <c r="AO226" s="497">
        <f t="shared" si="94"/>
        <v>0</v>
      </c>
      <c r="AP226" s="497">
        <f t="shared" si="107"/>
        <v>1800000</v>
      </c>
      <c r="AQ226" s="493"/>
      <c r="AR226" s="493"/>
      <c r="AT226" s="492">
        <v>222</v>
      </c>
      <c r="AU226" s="492">
        <v>19</v>
      </c>
      <c r="AV226" s="497">
        <f>IF(('Comparison Calculator'!$E$11-AU226)&gt;=0,0,IFERROR(-PPMT($AZ$66/12,(AT226-60),($F$1-5)*12,$AZ$65),0))</f>
        <v>0</v>
      </c>
      <c r="AW226" s="497">
        <f>IF(('Comparison Calculator'!$E$11-AU226)&gt;=0,$C$1*$AZ$66/12,IFERROR(-IPMT($AZ$66/12,(AT226-60),($F$1-5)*12,$AZ$65,0),0))</f>
        <v>0</v>
      </c>
      <c r="AX226" s="497">
        <f t="shared" si="95"/>
        <v>0</v>
      </c>
      <c r="AY226" s="497">
        <f t="shared" si="108"/>
        <v>1800000</v>
      </c>
      <c r="AZ226" s="493"/>
      <c r="BA226" s="493"/>
      <c r="BC226" s="492">
        <v>222</v>
      </c>
      <c r="BD226" s="492">
        <v>19</v>
      </c>
      <c r="BE226" s="497">
        <f>IF(('Comparison Calculator'!$E$11-BD226)&gt;=0,0,IFERROR(-PPMT($BI$66/12,(BC226-60),($F$1-5)*12,$BI$65),0))</f>
        <v>0</v>
      </c>
      <c r="BF226" s="497">
        <f>IF(('Comparison Calculator'!$E$11-BD226)&gt;=0,$C$1*$BI$66/12,IFERROR(-IPMT($BI$66/12,(BC226-60),($F$1-5)*12,$BI$65,0),0))</f>
        <v>0</v>
      </c>
      <c r="BG226" s="497">
        <f t="shared" si="96"/>
        <v>0</v>
      </c>
      <c r="BH226" s="497">
        <f t="shared" si="109"/>
        <v>1800000</v>
      </c>
      <c r="BI226" s="493"/>
      <c r="BJ226" s="493"/>
      <c r="BK226" s="492">
        <v>222</v>
      </c>
      <c r="BL226" s="492">
        <v>19</v>
      </c>
      <c r="BM226" s="497">
        <f>IF(('Comparison Calculator'!$E$11-BL226)&gt;=0,0,IFERROR(-PPMT($BQ$66/12,(BK226-60),($F$1-5)*12,$BQ$65),0))</f>
        <v>0</v>
      </c>
      <c r="BN226" s="497">
        <f>IF(('Comparison Calculator'!$E$11-BL226)&gt;=0,$C$1*$BQ$66/12,IFERROR(-IPMT($BQ$66/12,(BK226-60),($F$1-5)*12,$BQ$65,0),0))</f>
        <v>0</v>
      </c>
      <c r="BO226" s="497">
        <f t="shared" si="97"/>
        <v>0</v>
      </c>
      <c r="BP226" s="497">
        <f t="shared" si="110"/>
        <v>1800000</v>
      </c>
      <c r="BQ226" s="493"/>
      <c r="BR226" s="493"/>
      <c r="BT226" s="492">
        <v>222</v>
      </c>
      <c r="BU226" s="492">
        <v>19</v>
      </c>
      <c r="BV226" s="497">
        <f>IF(('Comparison Calculator'!$E$11-BU226)&gt;=0,0,IFERROR(-PPMT($BZ$66/12,(BT226-60),($F$1-5)*12,$BZ$65),0))</f>
        <v>0</v>
      </c>
      <c r="BW226" s="497">
        <f>IF(('Comparison Calculator'!$E$11-BU226)&gt;=0,$C$1*$BZ$66/12,IFERROR(-IPMT($BZ$66/12,(BT226-60),($F$1-5)*12,$BZ$65,0),0))</f>
        <v>0</v>
      </c>
      <c r="BX226" s="497">
        <f t="shared" si="98"/>
        <v>0</v>
      </c>
      <c r="BY226" s="497">
        <f t="shared" si="111"/>
        <v>1800000</v>
      </c>
      <c r="BZ226" s="493"/>
      <c r="CA226" s="493"/>
      <c r="CC226" s="492">
        <v>222</v>
      </c>
      <c r="CD226" s="492">
        <v>19</v>
      </c>
      <c r="CE226" s="497">
        <f>IF(('Comparison Calculator'!$E$11-CD226)&gt;=0,0,IFERROR(-PPMT($CI$66/12,(CC226-60),($F$1-5)*12,$CI$65),0))</f>
        <v>0</v>
      </c>
      <c r="CF226" s="497">
        <f>IF(('Comparison Calculator'!$E$11-CD226)&gt;=0,$C$1*$CI$66/12,IFERROR(-IPMT($CI$66/12,(CC226-60),($F$1-5)*12,$CI$65,0),0))</f>
        <v>0</v>
      </c>
      <c r="CG226" s="497">
        <f t="shared" si="99"/>
        <v>0</v>
      </c>
      <c r="CH226" s="497">
        <f t="shared" si="112"/>
        <v>1800000</v>
      </c>
      <c r="CI226" s="493"/>
      <c r="CJ226" s="493"/>
      <c r="CL226" s="492">
        <v>222</v>
      </c>
      <c r="CM226" s="492">
        <v>19</v>
      </c>
      <c r="CN226" s="497">
        <f>IF(('Comparison Calculator'!$E$11-CM226)&gt;=0,0,IFERROR(-PPMT($CR$66/12,(CL226-60),($F$1-5)*12,$CR$65),0))</f>
        <v>0</v>
      </c>
      <c r="CO226" s="497">
        <f>IF(('Comparison Calculator'!$E$11-CM226)&gt;=0,$C$1*$CI$66/12,IFERROR(-IPMT($CI$66/12,(CL226-60),($F$1-5)*12,$CI$65,0),0))</f>
        <v>0</v>
      </c>
      <c r="CP226" s="497">
        <f t="shared" si="100"/>
        <v>0</v>
      </c>
      <c r="CQ226" s="497">
        <f t="shared" si="113"/>
        <v>1800000</v>
      </c>
      <c r="CR226" s="493"/>
      <c r="CS226" s="493"/>
      <c r="CU226" s="492">
        <v>222</v>
      </c>
      <c r="CV226" s="492">
        <v>19</v>
      </c>
      <c r="CW226" s="497">
        <f>IF(('Comparison Calculator'!$E$11-CV226)&gt;=0,0,IFERROR(-PPMT($DA$66/12,(CU226-60),($F$1-5)*12,$DA$65),0))</f>
        <v>0</v>
      </c>
      <c r="CX226" s="497">
        <f>IF(('Comparison Calculator'!$E$11-CV226)&gt;=0,$C$1*$DA$66/12,IFERROR(-IPMT($DA$66/12,(CU226-60),($F$1-5)*12,$DA$65,0),0))</f>
        <v>0</v>
      </c>
      <c r="CY226" s="497">
        <f t="shared" si="101"/>
        <v>0</v>
      </c>
      <c r="CZ226" s="497">
        <f t="shared" si="114"/>
        <v>1800000</v>
      </c>
      <c r="DA226" s="493"/>
      <c r="DB226" s="493"/>
      <c r="DD226" s="492">
        <v>222</v>
      </c>
      <c r="DE226" s="492">
        <v>19</v>
      </c>
      <c r="DF226" s="497">
        <f>IF(('Comparison Calculator'!$E$11-DE226)&gt;=0,0,IFERROR(-PPMT($DJ$66/12,(DD226-60),($F$1-5)*12,$DJ$65),0))</f>
        <v>0</v>
      </c>
      <c r="DG226" s="497">
        <f>IF(('Comparison Calculator'!$E$11-DE226)&gt;=0,$C$1*$DJ$66/12,IFERROR(-IPMT($DJ$66/12,(DD226-60),($F$1-5)*12,$DJ$65,0),0))</f>
        <v>0</v>
      </c>
      <c r="DH226" s="497">
        <f t="shared" si="102"/>
        <v>0</v>
      </c>
      <c r="DI226" s="497">
        <f t="shared" si="115"/>
        <v>1800000</v>
      </c>
      <c r="DJ226" s="493"/>
      <c r="DK226" s="493"/>
    </row>
    <row r="227" spans="1:115">
      <c r="A227" s="492">
        <v>223</v>
      </c>
      <c r="B227" s="492">
        <v>19</v>
      </c>
      <c r="C227" s="497">
        <f>IF(('Comparison Calculator'!$E$11-B227)&gt;=0,0,IFERROR(-PPMT($G$66/12,(A227-60),($F$1-5)*12,$G$65),0))</f>
        <v>0</v>
      </c>
      <c r="D227" s="497">
        <f>IF(('Comparison Calculator'!$E$11-B227)&gt;=0,$C$1*$G$66/12,IFERROR(-IPMT($G$66/12,(A227-60),($F$1-5)*12,$G$65,0),0))</f>
        <v>0</v>
      </c>
      <c r="E227" s="497">
        <f t="shared" si="90"/>
        <v>0</v>
      </c>
      <c r="F227" s="497">
        <f t="shared" si="103"/>
        <v>1800000</v>
      </c>
      <c r="G227" s="493"/>
      <c r="H227" s="493"/>
      <c r="I227" s="489"/>
      <c r="J227" s="492">
        <v>223</v>
      </c>
      <c r="K227" s="492">
        <v>19</v>
      </c>
      <c r="L227" s="497">
        <f>IF(('Comparison Calculator'!$E$11-K227)&gt;=0,0,IFERROR(-PPMT($P$66/12,(J227-60),($F$1-5)*12,$P$65),0))</f>
        <v>0</v>
      </c>
      <c r="M227" s="497">
        <f>IF(('Comparison Calculator'!$E$11-K227)&gt;=0,$C$1*$P$66/12,IFERROR(-IPMT($P$66/12,(J227-60),($F$1-5)*12,$P$65,0),0))</f>
        <v>0</v>
      </c>
      <c r="N227" s="497">
        <f t="shared" si="91"/>
        <v>0</v>
      </c>
      <c r="O227" s="497">
        <f t="shared" si="104"/>
        <v>1800000</v>
      </c>
      <c r="P227" s="493"/>
      <c r="Q227" s="493"/>
      <c r="S227" s="492">
        <v>223</v>
      </c>
      <c r="T227" s="492">
        <v>19</v>
      </c>
      <c r="U227" s="497">
        <f>IF(('Comparison Calculator'!$E$11-T227)&gt;=0,0,IFERROR(-PPMT($Y$66/12,(S227-60),($F$1-5)*12,$Y$65),0))</f>
        <v>0</v>
      </c>
      <c r="V227" s="497">
        <f>IF(('Comparison Calculator'!$E$11-T227)&gt;=0,$C$1*$Y$66/12,IFERROR(-IPMT($Y$66/12,(S227-60),($F$1-5)*12,$Y$65,0),0))</f>
        <v>0</v>
      </c>
      <c r="W227" s="497">
        <f t="shared" si="92"/>
        <v>0</v>
      </c>
      <c r="X227" s="497">
        <f t="shared" si="105"/>
        <v>1800000</v>
      </c>
      <c r="Y227" s="493"/>
      <c r="Z227" s="493"/>
      <c r="AB227" s="492">
        <v>223</v>
      </c>
      <c r="AC227" s="492">
        <v>19</v>
      </c>
      <c r="AD227" s="497">
        <f>IF(('Comparison Calculator'!$E$11-AC227)&gt;=0,0,IFERROR(-PPMT($AH$66/12,(AB227-60),($F$1-5)*12,$AH$65),0))</f>
        <v>0</v>
      </c>
      <c r="AE227" s="497">
        <f>IF(('Comparison Calculator'!$E$11-AC227)&gt;=0,$C$1*$AH$66/12,IFERROR(-IPMT($AH$66/12,(AB227-60),($F$1-5)*12,$AH$65,0),0))</f>
        <v>0</v>
      </c>
      <c r="AF227" s="497">
        <f t="shared" si="93"/>
        <v>0</v>
      </c>
      <c r="AG227" s="497">
        <f t="shared" si="106"/>
        <v>1800000</v>
      </c>
      <c r="AH227" s="493"/>
      <c r="AI227" s="493"/>
      <c r="AK227" s="492">
        <v>223</v>
      </c>
      <c r="AL227" s="492">
        <v>19</v>
      </c>
      <c r="AM227" s="497">
        <f>IF(('Comparison Calculator'!$E$11-AL227)&gt;=0,0,IFERROR(-PPMT($AQ$66/12,(AK227-60),($F$1-5)*12,$AQ$65),0))</f>
        <v>0</v>
      </c>
      <c r="AN227" s="497">
        <f>IF(('Comparison Calculator'!$E$11-AL227)&gt;=0,$C$1*$AQ$66/12,IFERROR(-IPMT($AQ$66/12,(AK227-60),($F$1-5)*12,$AQ$65,0),0))</f>
        <v>0</v>
      </c>
      <c r="AO227" s="497">
        <f t="shared" si="94"/>
        <v>0</v>
      </c>
      <c r="AP227" s="497">
        <f t="shared" si="107"/>
        <v>1800000</v>
      </c>
      <c r="AQ227" s="493"/>
      <c r="AR227" s="493"/>
      <c r="AT227" s="492">
        <v>223</v>
      </c>
      <c r="AU227" s="492">
        <v>19</v>
      </c>
      <c r="AV227" s="497">
        <f>IF(('Comparison Calculator'!$E$11-AU227)&gt;=0,0,IFERROR(-PPMT($AZ$66/12,(AT227-60),($F$1-5)*12,$AZ$65),0))</f>
        <v>0</v>
      </c>
      <c r="AW227" s="497">
        <f>IF(('Comparison Calculator'!$E$11-AU227)&gt;=0,$C$1*$AZ$66/12,IFERROR(-IPMT($AZ$66/12,(AT227-60),($F$1-5)*12,$AZ$65,0),0))</f>
        <v>0</v>
      </c>
      <c r="AX227" s="497">
        <f t="shared" si="95"/>
        <v>0</v>
      </c>
      <c r="AY227" s="497">
        <f t="shared" si="108"/>
        <v>1800000</v>
      </c>
      <c r="AZ227" s="493"/>
      <c r="BA227" s="493"/>
      <c r="BC227" s="492">
        <v>223</v>
      </c>
      <c r="BD227" s="492">
        <v>19</v>
      </c>
      <c r="BE227" s="497">
        <f>IF(('Comparison Calculator'!$E$11-BD227)&gt;=0,0,IFERROR(-PPMT($BI$66/12,(BC227-60),($F$1-5)*12,$BI$65),0))</f>
        <v>0</v>
      </c>
      <c r="BF227" s="497">
        <f>IF(('Comparison Calculator'!$E$11-BD227)&gt;=0,$C$1*$BI$66/12,IFERROR(-IPMT($BI$66/12,(BC227-60),($F$1-5)*12,$BI$65,0),0))</f>
        <v>0</v>
      </c>
      <c r="BG227" s="497">
        <f t="shared" si="96"/>
        <v>0</v>
      </c>
      <c r="BH227" s="497">
        <f t="shared" si="109"/>
        <v>1800000</v>
      </c>
      <c r="BI227" s="493"/>
      <c r="BJ227" s="493"/>
      <c r="BK227" s="492">
        <v>223</v>
      </c>
      <c r="BL227" s="492">
        <v>19</v>
      </c>
      <c r="BM227" s="497">
        <f>IF(('Comparison Calculator'!$E$11-BL227)&gt;=0,0,IFERROR(-PPMT($BQ$66/12,(BK227-60),($F$1-5)*12,$BQ$65),0))</f>
        <v>0</v>
      </c>
      <c r="BN227" s="497">
        <f>IF(('Comparison Calculator'!$E$11-BL227)&gt;=0,$C$1*$BQ$66/12,IFERROR(-IPMT($BQ$66/12,(BK227-60),($F$1-5)*12,$BQ$65,0),0))</f>
        <v>0</v>
      </c>
      <c r="BO227" s="497">
        <f t="shared" si="97"/>
        <v>0</v>
      </c>
      <c r="BP227" s="497">
        <f t="shared" si="110"/>
        <v>1800000</v>
      </c>
      <c r="BQ227" s="493"/>
      <c r="BR227" s="493"/>
      <c r="BT227" s="492">
        <v>223</v>
      </c>
      <c r="BU227" s="492">
        <v>19</v>
      </c>
      <c r="BV227" s="497">
        <f>IF(('Comparison Calculator'!$E$11-BU227)&gt;=0,0,IFERROR(-PPMT($BZ$66/12,(BT227-60),($F$1-5)*12,$BZ$65),0))</f>
        <v>0</v>
      </c>
      <c r="BW227" s="497">
        <f>IF(('Comparison Calculator'!$E$11-BU227)&gt;=0,$C$1*$BZ$66/12,IFERROR(-IPMT($BZ$66/12,(BT227-60),($F$1-5)*12,$BZ$65,0),0))</f>
        <v>0</v>
      </c>
      <c r="BX227" s="497">
        <f t="shared" si="98"/>
        <v>0</v>
      </c>
      <c r="BY227" s="497">
        <f t="shared" si="111"/>
        <v>1800000</v>
      </c>
      <c r="BZ227" s="493"/>
      <c r="CA227" s="493"/>
      <c r="CC227" s="492">
        <v>223</v>
      </c>
      <c r="CD227" s="492">
        <v>19</v>
      </c>
      <c r="CE227" s="497">
        <f>IF(('Comparison Calculator'!$E$11-CD227)&gt;=0,0,IFERROR(-PPMT($CI$66/12,(CC227-60),($F$1-5)*12,$CI$65),0))</f>
        <v>0</v>
      </c>
      <c r="CF227" s="497">
        <f>IF(('Comparison Calculator'!$E$11-CD227)&gt;=0,$C$1*$CI$66/12,IFERROR(-IPMT($CI$66/12,(CC227-60),($F$1-5)*12,$CI$65,0),0))</f>
        <v>0</v>
      </c>
      <c r="CG227" s="497">
        <f t="shared" si="99"/>
        <v>0</v>
      </c>
      <c r="CH227" s="497">
        <f t="shared" si="112"/>
        <v>1800000</v>
      </c>
      <c r="CI227" s="493"/>
      <c r="CJ227" s="493"/>
      <c r="CL227" s="492">
        <v>223</v>
      </c>
      <c r="CM227" s="492">
        <v>19</v>
      </c>
      <c r="CN227" s="497">
        <f>IF(('Comparison Calculator'!$E$11-CM227)&gt;=0,0,IFERROR(-PPMT($CR$66/12,(CL227-60),($F$1-5)*12,$CR$65),0))</f>
        <v>0</v>
      </c>
      <c r="CO227" s="497">
        <f>IF(('Comparison Calculator'!$E$11-CM227)&gt;=0,$C$1*$CI$66/12,IFERROR(-IPMT($CI$66/12,(CL227-60),($F$1-5)*12,$CI$65,0),0))</f>
        <v>0</v>
      </c>
      <c r="CP227" s="497">
        <f t="shared" si="100"/>
        <v>0</v>
      </c>
      <c r="CQ227" s="497">
        <f t="shared" si="113"/>
        <v>1800000</v>
      </c>
      <c r="CR227" s="493"/>
      <c r="CS227" s="493"/>
      <c r="CU227" s="492">
        <v>223</v>
      </c>
      <c r="CV227" s="492">
        <v>19</v>
      </c>
      <c r="CW227" s="497">
        <f>IF(('Comparison Calculator'!$E$11-CV227)&gt;=0,0,IFERROR(-PPMT($DA$66/12,(CU227-60),($F$1-5)*12,$DA$65),0))</f>
        <v>0</v>
      </c>
      <c r="CX227" s="497">
        <f>IF(('Comparison Calculator'!$E$11-CV227)&gt;=0,$C$1*$DA$66/12,IFERROR(-IPMT($DA$66/12,(CU227-60),($F$1-5)*12,$DA$65,0),0))</f>
        <v>0</v>
      </c>
      <c r="CY227" s="497">
        <f t="shared" si="101"/>
        <v>0</v>
      </c>
      <c r="CZ227" s="497">
        <f t="shared" si="114"/>
        <v>1800000</v>
      </c>
      <c r="DA227" s="493"/>
      <c r="DB227" s="493"/>
      <c r="DD227" s="492">
        <v>223</v>
      </c>
      <c r="DE227" s="492">
        <v>19</v>
      </c>
      <c r="DF227" s="497">
        <f>IF(('Comparison Calculator'!$E$11-DE227)&gt;=0,0,IFERROR(-PPMT($DJ$66/12,(DD227-60),($F$1-5)*12,$DJ$65),0))</f>
        <v>0</v>
      </c>
      <c r="DG227" s="497">
        <f>IF(('Comparison Calculator'!$E$11-DE227)&gt;=0,$C$1*$DJ$66/12,IFERROR(-IPMT($DJ$66/12,(DD227-60),($F$1-5)*12,$DJ$65,0),0))</f>
        <v>0</v>
      </c>
      <c r="DH227" s="497">
        <f t="shared" si="102"/>
        <v>0</v>
      </c>
      <c r="DI227" s="497">
        <f t="shared" si="115"/>
        <v>1800000</v>
      </c>
      <c r="DJ227" s="493"/>
      <c r="DK227" s="493"/>
    </row>
    <row r="228" spans="1:115">
      <c r="A228" s="492">
        <v>224</v>
      </c>
      <c r="B228" s="492">
        <v>19</v>
      </c>
      <c r="C228" s="497">
        <f>IF(('Comparison Calculator'!$E$11-B228)&gt;=0,0,IFERROR(-PPMT($G$66/12,(A228-60),($F$1-5)*12,$G$65),0))</f>
        <v>0</v>
      </c>
      <c r="D228" s="497">
        <f>IF(('Comparison Calculator'!$E$11-B228)&gt;=0,$C$1*$G$66/12,IFERROR(-IPMT($G$66/12,(A228-60),($F$1-5)*12,$G$65,0),0))</f>
        <v>0</v>
      </c>
      <c r="E228" s="497">
        <f t="shared" si="90"/>
        <v>0</v>
      </c>
      <c r="F228" s="497">
        <f t="shared" si="103"/>
        <v>1800000</v>
      </c>
      <c r="G228" s="493"/>
      <c r="H228" s="493"/>
      <c r="I228" s="489"/>
      <c r="J228" s="492">
        <v>224</v>
      </c>
      <c r="K228" s="492">
        <v>19</v>
      </c>
      <c r="L228" s="497">
        <f>IF(('Comparison Calculator'!$E$11-K228)&gt;=0,0,IFERROR(-PPMT($P$66/12,(J228-60),($F$1-5)*12,$P$65),0))</f>
        <v>0</v>
      </c>
      <c r="M228" s="497">
        <f>IF(('Comparison Calculator'!$E$11-K228)&gt;=0,$C$1*$P$66/12,IFERROR(-IPMT($P$66/12,(J228-60),($F$1-5)*12,$P$65,0),0))</f>
        <v>0</v>
      </c>
      <c r="N228" s="497">
        <f t="shared" si="91"/>
        <v>0</v>
      </c>
      <c r="O228" s="497">
        <f t="shared" si="104"/>
        <v>1800000</v>
      </c>
      <c r="P228" s="493"/>
      <c r="Q228" s="493"/>
      <c r="S228" s="492">
        <v>224</v>
      </c>
      <c r="T228" s="492">
        <v>19</v>
      </c>
      <c r="U228" s="497">
        <f>IF(('Comparison Calculator'!$E$11-T228)&gt;=0,0,IFERROR(-PPMT($Y$66/12,(S228-60),($F$1-5)*12,$Y$65),0))</f>
        <v>0</v>
      </c>
      <c r="V228" s="497">
        <f>IF(('Comparison Calculator'!$E$11-T228)&gt;=0,$C$1*$Y$66/12,IFERROR(-IPMT($Y$66/12,(S228-60),($F$1-5)*12,$Y$65,0),0))</f>
        <v>0</v>
      </c>
      <c r="W228" s="497">
        <f t="shared" si="92"/>
        <v>0</v>
      </c>
      <c r="X228" s="497">
        <f t="shared" si="105"/>
        <v>1800000</v>
      </c>
      <c r="Y228" s="493"/>
      <c r="Z228" s="493"/>
      <c r="AB228" s="492">
        <v>224</v>
      </c>
      <c r="AC228" s="492">
        <v>19</v>
      </c>
      <c r="AD228" s="497">
        <f>IF(('Comparison Calculator'!$E$11-AC228)&gt;=0,0,IFERROR(-PPMT($AH$66/12,(AB228-60),($F$1-5)*12,$AH$65),0))</f>
        <v>0</v>
      </c>
      <c r="AE228" s="497">
        <f>IF(('Comparison Calculator'!$E$11-AC228)&gt;=0,$C$1*$AH$66/12,IFERROR(-IPMT($AH$66/12,(AB228-60),($F$1-5)*12,$AH$65,0),0))</f>
        <v>0</v>
      </c>
      <c r="AF228" s="497">
        <f t="shared" si="93"/>
        <v>0</v>
      </c>
      <c r="AG228" s="497">
        <f t="shared" si="106"/>
        <v>1800000</v>
      </c>
      <c r="AH228" s="493"/>
      <c r="AI228" s="493"/>
      <c r="AK228" s="492">
        <v>224</v>
      </c>
      <c r="AL228" s="492">
        <v>19</v>
      </c>
      <c r="AM228" s="497">
        <f>IF(('Comparison Calculator'!$E$11-AL228)&gt;=0,0,IFERROR(-PPMT($AQ$66/12,(AK228-60),($F$1-5)*12,$AQ$65),0))</f>
        <v>0</v>
      </c>
      <c r="AN228" s="497">
        <f>IF(('Comparison Calculator'!$E$11-AL228)&gt;=0,$C$1*$AQ$66/12,IFERROR(-IPMT($AQ$66/12,(AK228-60),($F$1-5)*12,$AQ$65,0),0))</f>
        <v>0</v>
      </c>
      <c r="AO228" s="497">
        <f t="shared" si="94"/>
        <v>0</v>
      </c>
      <c r="AP228" s="497">
        <f t="shared" si="107"/>
        <v>1800000</v>
      </c>
      <c r="AQ228" s="493"/>
      <c r="AR228" s="493"/>
      <c r="AT228" s="492">
        <v>224</v>
      </c>
      <c r="AU228" s="492">
        <v>19</v>
      </c>
      <c r="AV228" s="497">
        <f>IF(('Comparison Calculator'!$E$11-AU228)&gt;=0,0,IFERROR(-PPMT($AZ$66/12,(AT228-60),($F$1-5)*12,$AZ$65),0))</f>
        <v>0</v>
      </c>
      <c r="AW228" s="497">
        <f>IF(('Comparison Calculator'!$E$11-AU228)&gt;=0,$C$1*$AZ$66/12,IFERROR(-IPMT($AZ$66/12,(AT228-60),($F$1-5)*12,$AZ$65,0),0))</f>
        <v>0</v>
      </c>
      <c r="AX228" s="497">
        <f t="shared" si="95"/>
        <v>0</v>
      </c>
      <c r="AY228" s="497">
        <f t="shared" si="108"/>
        <v>1800000</v>
      </c>
      <c r="AZ228" s="493"/>
      <c r="BA228" s="493"/>
      <c r="BC228" s="492">
        <v>224</v>
      </c>
      <c r="BD228" s="492">
        <v>19</v>
      </c>
      <c r="BE228" s="497">
        <f>IF(('Comparison Calculator'!$E$11-BD228)&gt;=0,0,IFERROR(-PPMT($BI$66/12,(BC228-60),($F$1-5)*12,$BI$65),0))</f>
        <v>0</v>
      </c>
      <c r="BF228" s="497">
        <f>IF(('Comparison Calculator'!$E$11-BD228)&gt;=0,$C$1*$BI$66/12,IFERROR(-IPMT($BI$66/12,(BC228-60),($F$1-5)*12,$BI$65,0),0))</f>
        <v>0</v>
      </c>
      <c r="BG228" s="497">
        <f t="shared" si="96"/>
        <v>0</v>
      </c>
      <c r="BH228" s="497">
        <f t="shared" si="109"/>
        <v>1800000</v>
      </c>
      <c r="BI228" s="493"/>
      <c r="BJ228" s="493"/>
      <c r="BK228" s="492">
        <v>224</v>
      </c>
      <c r="BL228" s="492">
        <v>19</v>
      </c>
      <c r="BM228" s="497">
        <f>IF(('Comparison Calculator'!$E$11-BL228)&gt;=0,0,IFERROR(-PPMT($BQ$66/12,(BK228-60),($F$1-5)*12,$BQ$65),0))</f>
        <v>0</v>
      </c>
      <c r="BN228" s="497">
        <f>IF(('Comparison Calculator'!$E$11-BL228)&gt;=0,$C$1*$BQ$66/12,IFERROR(-IPMT($BQ$66/12,(BK228-60),($F$1-5)*12,$BQ$65,0),0))</f>
        <v>0</v>
      </c>
      <c r="BO228" s="497">
        <f t="shared" si="97"/>
        <v>0</v>
      </c>
      <c r="BP228" s="497">
        <f t="shared" si="110"/>
        <v>1800000</v>
      </c>
      <c r="BQ228" s="493"/>
      <c r="BR228" s="493"/>
      <c r="BT228" s="492">
        <v>224</v>
      </c>
      <c r="BU228" s="492">
        <v>19</v>
      </c>
      <c r="BV228" s="497">
        <f>IF(('Comparison Calculator'!$E$11-BU228)&gt;=0,0,IFERROR(-PPMT($BZ$66/12,(BT228-60),($F$1-5)*12,$BZ$65),0))</f>
        <v>0</v>
      </c>
      <c r="BW228" s="497">
        <f>IF(('Comparison Calculator'!$E$11-BU228)&gt;=0,$C$1*$BZ$66/12,IFERROR(-IPMT($BZ$66/12,(BT228-60),($F$1-5)*12,$BZ$65,0),0))</f>
        <v>0</v>
      </c>
      <c r="BX228" s="497">
        <f t="shared" si="98"/>
        <v>0</v>
      </c>
      <c r="BY228" s="497">
        <f t="shared" si="111"/>
        <v>1800000</v>
      </c>
      <c r="BZ228" s="493"/>
      <c r="CA228" s="493"/>
      <c r="CC228" s="492">
        <v>224</v>
      </c>
      <c r="CD228" s="492">
        <v>19</v>
      </c>
      <c r="CE228" s="497">
        <f>IF(('Comparison Calculator'!$E$11-CD228)&gt;=0,0,IFERROR(-PPMT($CI$66/12,(CC228-60),($F$1-5)*12,$CI$65),0))</f>
        <v>0</v>
      </c>
      <c r="CF228" s="497">
        <f>IF(('Comparison Calculator'!$E$11-CD228)&gt;=0,$C$1*$CI$66/12,IFERROR(-IPMT($CI$66/12,(CC228-60),($F$1-5)*12,$CI$65,0),0))</f>
        <v>0</v>
      </c>
      <c r="CG228" s="497">
        <f t="shared" si="99"/>
        <v>0</v>
      </c>
      <c r="CH228" s="497">
        <f t="shared" si="112"/>
        <v>1800000</v>
      </c>
      <c r="CI228" s="493"/>
      <c r="CJ228" s="493"/>
      <c r="CL228" s="492">
        <v>224</v>
      </c>
      <c r="CM228" s="492">
        <v>19</v>
      </c>
      <c r="CN228" s="497">
        <f>IF(('Comparison Calculator'!$E$11-CM228)&gt;=0,0,IFERROR(-PPMT($CR$66/12,(CL228-60),($F$1-5)*12,$CR$65),0))</f>
        <v>0</v>
      </c>
      <c r="CO228" s="497">
        <f>IF(('Comparison Calculator'!$E$11-CM228)&gt;=0,$C$1*$CI$66/12,IFERROR(-IPMT($CI$66/12,(CL228-60),($F$1-5)*12,$CI$65,0),0))</f>
        <v>0</v>
      </c>
      <c r="CP228" s="497">
        <f t="shared" si="100"/>
        <v>0</v>
      </c>
      <c r="CQ228" s="497">
        <f t="shared" si="113"/>
        <v>1800000</v>
      </c>
      <c r="CR228" s="493"/>
      <c r="CS228" s="493"/>
      <c r="CU228" s="492">
        <v>224</v>
      </c>
      <c r="CV228" s="492">
        <v>19</v>
      </c>
      <c r="CW228" s="497">
        <f>IF(('Comparison Calculator'!$E$11-CV228)&gt;=0,0,IFERROR(-PPMT($DA$66/12,(CU228-60),($F$1-5)*12,$DA$65),0))</f>
        <v>0</v>
      </c>
      <c r="CX228" s="497">
        <f>IF(('Comparison Calculator'!$E$11-CV228)&gt;=0,$C$1*$DA$66/12,IFERROR(-IPMT($DA$66/12,(CU228-60),($F$1-5)*12,$DA$65,0),0))</f>
        <v>0</v>
      </c>
      <c r="CY228" s="497">
        <f t="shared" si="101"/>
        <v>0</v>
      </c>
      <c r="CZ228" s="497">
        <f t="shared" si="114"/>
        <v>1800000</v>
      </c>
      <c r="DA228" s="493"/>
      <c r="DB228" s="493"/>
      <c r="DD228" s="492">
        <v>224</v>
      </c>
      <c r="DE228" s="492">
        <v>19</v>
      </c>
      <c r="DF228" s="497">
        <f>IF(('Comparison Calculator'!$E$11-DE228)&gt;=0,0,IFERROR(-PPMT($DJ$66/12,(DD228-60),($F$1-5)*12,$DJ$65),0))</f>
        <v>0</v>
      </c>
      <c r="DG228" s="497">
        <f>IF(('Comparison Calculator'!$E$11-DE228)&gt;=0,$C$1*$DJ$66/12,IFERROR(-IPMT($DJ$66/12,(DD228-60),($F$1-5)*12,$DJ$65,0),0))</f>
        <v>0</v>
      </c>
      <c r="DH228" s="497">
        <f t="shared" si="102"/>
        <v>0</v>
      </c>
      <c r="DI228" s="497">
        <f t="shared" si="115"/>
        <v>1800000</v>
      </c>
      <c r="DJ228" s="493"/>
      <c r="DK228" s="493"/>
    </row>
    <row r="229" spans="1:115">
      <c r="A229" s="492">
        <v>225</v>
      </c>
      <c r="B229" s="492">
        <v>19</v>
      </c>
      <c r="C229" s="497">
        <f>IF(('Comparison Calculator'!$E$11-B229)&gt;=0,0,IFERROR(-PPMT($G$66/12,(A229-60),($F$1-5)*12,$G$65),0))</f>
        <v>0</v>
      </c>
      <c r="D229" s="497">
        <f>IF(('Comparison Calculator'!$E$11-B229)&gt;=0,$C$1*$G$66/12,IFERROR(-IPMT($G$66/12,(A229-60),($F$1-5)*12,$G$65,0),0))</f>
        <v>0</v>
      </c>
      <c r="E229" s="497">
        <f t="shared" si="90"/>
        <v>0</v>
      </c>
      <c r="F229" s="497">
        <f t="shared" si="103"/>
        <v>1800000</v>
      </c>
      <c r="G229" s="493"/>
      <c r="H229" s="493"/>
      <c r="I229" s="489"/>
      <c r="J229" s="492">
        <v>225</v>
      </c>
      <c r="K229" s="492">
        <v>19</v>
      </c>
      <c r="L229" s="497">
        <f>IF(('Comparison Calculator'!$E$11-K229)&gt;=0,0,IFERROR(-PPMT($P$66/12,(J229-60),($F$1-5)*12,$P$65),0))</f>
        <v>0</v>
      </c>
      <c r="M229" s="497">
        <f>IF(('Comparison Calculator'!$E$11-K229)&gt;=0,$C$1*$P$66/12,IFERROR(-IPMT($P$66/12,(J229-60),($F$1-5)*12,$P$65,0),0))</f>
        <v>0</v>
      </c>
      <c r="N229" s="497">
        <f t="shared" si="91"/>
        <v>0</v>
      </c>
      <c r="O229" s="497">
        <f t="shared" si="104"/>
        <v>1800000</v>
      </c>
      <c r="P229" s="493"/>
      <c r="Q229" s="493"/>
      <c r="S229" s="492">
        <v>225</v>
      </c>
      <c r="T229" s="492">
        <v>19</v>
      </c>
      <c r="U229" s="497">
        <f>IF(('Comparison Calculator'!$E$11-T229)&gt;=0,0,IFERROR(-PPMT($Y$66/12,(S229-60),($F$1-5)*12,$Y$65),0))</f>
        <v>0</v>
      </c>
      <c r="V229" s="497">
        <f>IF(('Comparison Calculator'!$E$11-T229)&gt;=0,$C$1*$Y$66/12,IFERROR(-IPMT($Y$66/12,(S229-60),($F$1-5)*12,$Y$65,0),0))</f>
        <v>0</v>
      </c>
      <c r="W229" s="497">
        <f t="shared" si="92"/>
        <v>0</v>
      </c>
      <c r="X229" s="497">
        <f t="shared" si="105"/>
        <v>1800000</v>
      </c>
      <c r="Y229" s="493"/>
      <c r="Z229" s="493"/>
      <c r="AB229" s="492">
        <v>225</v>
      </c>
      <c r="AC229" s="492">
        <v>19</v>
      </c>
      <c r="AD229" s="497">
        <f>IF(('Comparison Calculator'!$E$11-AC229)&gt;=0,0,IFERROR(-PPMT($AH$66/12,(AB229-60),($F$1-5)*12,$AH$65),0))</f>
        <v>0</v>
      </c>
      <c r="AE229" s="497">
        <f>IF(('Comparison Calculator'!$E$11-AC229)&gt;=0,$C$1*$AH$66/12,IFERROR(-IPMT($AH$66/12,(AB229-60),($F$1-5)*12,$AH$65,0),0))</f>
        <v>0</v>
      </c>
      <c r="AF229" s="497">
        <f t="shared" si="93"/>
        <v>0</v>
      </c>
      <c r="AG229" s="497">
        <f t="shared" si="106"/>
        <v>1800000</v>
      </c>
      <c r="AH229" s="493"/>
      <c r="AI229" s="493"/>
      <c r="AK229" s="492">
        <v>225</v>
      </c>
      <c r="AL229" s="492">
        <v>19</v>
      </c>
      <c r="AM229" s="497">
        <f>IF(('Comparison Calculator'!$E$11-AL229)&gt;=0,0,IFERROR(-PPMT($AQ$66/12,(AK229-60),($F$1-5)*12,$AQ$65),0))</f>
        <v>0</v>
      </c>
      <c r="AN229" s="497">
        <f>IF(('Comparison Calculator'!$E$11-AL229)&gt;=0,$C$1*$AQ$66/12,IFERROR(-IPMT($AQ$66/12,(AK229-60),($F$1-5)*12,$AQ$65,0),0))</f>
        <v>0</v>
      </c>
      <c r="AO229" s="497">
        <f t="shared" si="94"/>
        <v>0</v>
      </c>
      <c r="AP229" s="497">
        <f t="shared" si="107"/>
        <v>1800000</v>
      </c>
      <c r="AQ229" s="493"/>
      <c r="AR229" s="493"/>
      <c r="AT229" s="492">
        <v>225</v>
      </c>
      <c r="AU229" s="492">
        <v>19</v>
      </c>
      <c r="AV229" s="497">
        <f>IF(('Comparison Calculator'!$E$11-AU229)&gt;=0,0,IFERROR(-PPMT($AZ$66/12,(AT229-60),($F$1-5)*12,$AZ$65),0))</f>
        <v>0</v>
      </c>
      <c r="AW229" s="497">
        <f>IF(('Comparison Calculator'!$E$11-AU229)&gt;=0,$C$1*$AZ$66/12,IFERROR(-IPMT($AZ$66/12,(AT229-60),($F$1-5)*12,$AZ$65,0),0))</f>
        <v>0</v>
      </c>
      <c r="AX229" s="497">
        <f t="shared" si="95"/>
        <v>0</v>
      </c>
      <c r="AY229" s="497">
        <f t="shared" si="108"/>
        <v>1800000</v>
      </c>
      <c r="AZ229" s="493"/>
      <c r="BA229" s="493"/>
      <c r="BC229" s="492">
        <v>225</v>
      </c>
      <c r="BD229" s="492">
        <v>19</v>
      </c>
      <c r="BE229" s="497">
        <f>IF(('Comparison Calculator'!$E$11-BD229)&gt;=0,0,IFERROR(-PPMT($BI$66/12,(BC229-60),($F$1-5)*12,$BI$65),0))</f>
        <v>0</v>
      </c>
      <c r="BF229" s="497">
        <f>IF(('Comparison Calculator'!$E$11-BD229)&gt;=0,$C$1*$BI$66/12,IFERROR(-IPMT($BI$66/12,(BC229-60),($F$1-5)*12,$BI$65,0),0))</f>
        <v>0</v>
      </c>
      <c r="BG229" s="497">
        <f t="shared" si="96"/>
        <v>0</v>
      </c>
      <c r="BH229" s="497">
        <f t="shared" si="109"/>
        <v>1800000</v>
      </c>
      <c r="BI229" s="493"/>
      <c r="BJ229" s="493"/>
      <c r="BK229" s="492">
        <v>225</v>
      </c>
      <c r="BL229" s="492">
        <v>19</v>
      </c>
      <c r="BM229" s="497">
        <f>IF(('Comparison Calculator'!$E$11-BL229)&gt;=0,0,IFERROR(-PPMT($BQ$66/12,(BK229-60),($F$1-5)*12,$BQ$65),0))</f>
        <v>0</v>
      </c>
      <c r="BN229" s="497">
        <f>IF(('Comparison Calculator'!$E$11-BL229)&gt;=0,$C$1*$BQ$66/12,IFERROR(-IPMT($BQ$66/12,(BK229-60),($F$1-5)*12,$BQ$65,0),0))</f>
        <v>0</v>
      </c>
      <c r="BO229" s="497">
        <f t="shared" si="97"/>
        <v>0</v>
      </c>
      <c r="BP229" s="497">
        <f t="shared" si="110"/>
        <v>1800000</v>
      </c>
      <c r="BQ229" s="493"/>
      <c r="BR229" s="493"/>
      <c r="BT229" s="492">
        <v>225</v>
      </c>
      <c r="BU229" s="492">
        <v>19</v>
      </c>
      <c r="BV229" s="497">
        <f>IF(('Comparison Calculator'!$E$11-BU229)&gt;=0,0,IFERROR(-PPMT($BZ$66/12,(BT229-60),($F$1-5)*12,$BZ$65),0))</f>
        <v>0</v>
      </c>
      <c r="BW229" s="497">
        <f>IF(('Comparison Calculator'!$E$11-BU229)&gt;=0,$C$1*$BZ$66/12,IFERROR(-IPMT($BZ$66/12,(BT229-60),($F$1-5)*12,$BZ$65,0),0))</f>
        <v>0</v>
      </c>
      <c r="BX229" s="497">
        <f t="shared" si="98"/>
        <v>0</v>
      </c>
      <c r="BY229" s="497">
        <f t="shared" si="111"/>
        <v>1800000</v>
      </c>
      <c r="BZ229" s="493"/>
      <c r="CA229" s="493"/>
      <c r="CC229" s="492">
        <v>225</v>
      </c>
      <c r="CD229" s="492">
        <v>19</v>
      </c>
      <c r="CE229" s="497">
        <f>IF(('Comparison Calculator'!$E$11-CD229)&gt;=0,0,IFERROR(-PPMT($CI$66/12,(CC229-60),($F$1-5)*12,$CI$65),0))</f>
        <v>0</v>
      </c>
      <c r="CF229" s="497">
        <f>IF(('Comparison Calculator'!$E$11-CD229)&gt;=0,$C$1*$CI$66/12,IFERROR(-IPMT($CI$66/12,(CC229-60),($F$1-5)*12,$CI$65,0),0))</f>
        <v>0</v>
      </c>
      <c r="CG229" s="497">
        <f t="shared" si="99"/>
        <v>0</v>
      </c>
      <c r="CH229" s="497">
        <f t="shared" si="112"/>
        <v>1800000</v>
      </c>
      <c r="CI229" s="493"/>
      <c r="CJ229" s="493"/>
      <c r="CL229" s="492">
        <v>225</v>
      </c>
      <c r="CM229" s="492">
        <v>19</v>
      </c>
      <c r="CN229" s="497">
        <f>IF(('Comparison Calculator'!$E$11-CM229)&gt;=0,0,IFERROR(-PPMT($CR$66/12,(CL229-60),($F$1-5)*12,$CR$65),0))</f>
        <v>0</v>
      </c>
      <c r="CO229" s="497">
        <f>IF(('Comparison Calculator'!$E$11-CM229)&gt;=0,$C$1*$CI$66/12,IFERROR(-IPMT($CI$66/12,(CL229-60),($F$1-5)*12,$CI$65,0),0))</f>
        <v>0</v>
      </c>
      <c r="CP229" s="497">
        <f t="shared" si="100"/>
        <v>0</v>
      </c>
      <c r="CQ229" s="497">
        <f t="shared" si="113"/>
        <v>1800000</v>
      </c>
      <c r="CR229" s="493"/>
      <c r="CS229" s="493"/>
      <c r="CU229" s="492">
        <v>225</v>
      </c>
      <c r="CV229" s="492">
        <v>19</v>
      </c>
      <c r="CW229" s="497">
        <f>IF(('Comparison Calculator'!$E$11-CV229)&gt;=0,0,IFERROR(-PPMT($DA$66/12,(CU229-60),($F$1-5)*12,$DA$65),0))</f>
        <v>0</v>
      </c>
      <c r="CX229" s="497">
        <f>IF(('Comparison Calculator'!$E$11-CV229)&gt;=0,$C$1*$DA$66/12,IFERROR(-IPMT($DA$66/12,(CU229-60),($F$1-5)*12,$DA$65,0),0))</f>
        <v>0</v>
      </c>
      <c r="CY229" s="497">
        <f t="shared" si="101"/>
        <v>0</v>
      </c>
      <c r="CZ229" s="497">
        <f t="shared" si="114"/>
        <v>1800000</v>
      </c>
      <c r="DA229" s="493"/>
      <c r="DB229" s="493"/>
      <c r="DD229" s="492">
        <v>225</v>
      </c>
      <c r="DE229" s="492">
        <v>19</v>
      </c>
      <c r="DF229" s="497">
        <f>IF(('Comparison Calculator'!$E$11-DE229)&gt;=0,0,IFERROR(-PPMT($DJ$66/12,(DD229-60),($F$1-5)*12,$DJ$65),0))</f>
        <v>0</v>
      </c>
      <c r="DG229" s="497">
        <f>IF(('Comparison Calculator'!$E$11-DE229)&gt;=0,$C$1*$DJ$66/12,IFERROR(-IPMT($DJ$66/12,(DD229-60),($F$1-5)*12,$DJ$65,0),0))</f>
        <v>0</v>
      </c>
      <c r="DH229" s="497">
        <f t="shared" si="102"/>
        <v>0</v>
      </c>
      <c r="DI229" s="497">
        <f t="shared" si="115"/>
        <v>1800000</v>
      </c>
      <c r="DJ229" s="493"/>
      <c r="DK229" s="493"/>
    </row>
    <row r="230" spans="1:115">
      <c r="A230" s="492">
        <v>226</v>
      </c>
      <c r="B230" s="492">
        <v>19</v>
      </c>
      <c r="C230" s="497">
        <f>IF(('Comparison Calculator'!$E$11-B230)&gt;=0,0,IFERROR(-PPMT($G$66/12,(A230-60),($F$1-5)*12,$G$65),0))</f>
        <v>0</v>
      </c>
      <c r="D230" s="497">
        <f>IF(('Comparison Calculator'!$E$11-B230)&gt;=0,$C$1*$G$66/12,IFERROR(-IPMT($G$66/12,(A230-60),($F$1-5)*12,$G$65,0),0))</f>
        <v>0</v>
      </c>
      <c r="E230" s="497">
        <f t="shared" si="90"/>
        <v>0</v>
      </c>
      <c r="F230" s="497">
        <f t="shared" si="103"/>
        <v>1800000</v>
      </c>
      <c r="G230" s="493"/>
      <c r="H230" s="493"/>
      <c r="I230" s="489"/>
      <c r="J230" s="492">
        <v>226</v>
      </c>
      <c r="K230" s="492">
        <v>19</v>
      </c>
      <c r="L230" s="497">
        <f>IF(('Comparison Calculator'!$E$11-K230)&gt;=0,0,IFERROR(-PPMT($P$66/12,(J230-60),($F$1-5)*12,$P$65),0))</f>
        <v>0</v>
      </c>
      <c r="M230" s="497">
        <f>IF(('Comparison Calculator'!$E$11-K230)&gt;=0,$C$1*$P$66/12,IFERROR(-IPMT($P$66/12,(J230-60),($F$1-5)*12,$P$65,0),0))</f>
        <v>0</v>
      </c>
      <c r="N230" s="497">
        <f t="shared" si="91"/>
        <v>0</v>
      </c>
      <c r="O230" s="497">
        <f t="shared" si="104"/>
        <v>1800000</v>
      </c>
      <c r="P230" s="493"/>
      <c r="Q230" s="493"/>
      <c r="S230" s="492">
        <v>226</v>
      </c>
      <c r="T230" s="492">
        <v>19</v>
      </c>
      <c r="U230" s="497">
        <f>IF(('Comparison Calculator'!$E$11-T230)&gt;=0,0,IFERROR(-PPMT($Y$66/12,(S230-60),($F$1-5)*12,$Y$65),0))</f>
        <v>0</v>
      </c>
      <c r="V230" s="497">
        <f>IF(('Comparison Calculator'!$E$11-T230)&gt;=0,$C$1*$Y$66/12,IFERROR(-IPMT($Y$66/12,(S230-60),($F$1-5)*12,$Y$65,0),0))</f>
        <v>0</v>
      </c>
      <c r="W230" s="497">
        <f t="shared" si="92"/>
        <v>0</v>
      </c>
      <c r="X230" s="497">
        <f t="shared" si="105"/>
        <v>1800000</v>
      </c>
      <c r="Y230" s="493"/>
      <c r="Z230" s="493"/>
      <c r="AB230" s="492">
        <v>226</v>
      </c>
      <c r="AC230" s="492">
        <v>19</v>
      </c>
      <c r="AD230" s="497">
        <f>IF(('Comparison Calculator'!$E$11-AC230)&gt;=0,0,IFERROR(-PPMT($AH$66/12,(AB230-60),($F$1-5)*12,$AH$65),0))</f>
        <v>0</v>
      </c>
      <c r="AE230" s="497">
        <f>IF(('Comparison Calculator'!$E$11-AC230)&gt;=0,$C$1*$AH$66/12,IFERROR(-IPMT($AH$66/12,(AB230-60),($F$1-5)*12,$AH$65,0),0))</f>
        <v>0</v>
      </c>
      <c r="AF230" s="497">
        <f t="shared" si="93"/>
        <v>0</v>
      </c>
      <c r="AG230" s="497">
        <f t="shared" si="106"/>
        <v>1800000</v>
      </c>
      <c r="AH230" s="493"/>
      <c r="AI230" s="493"/>
      <c r="AK230" s="492">
        <v>226</v>
      </c>
      <c r="AL230" s="492">
        <v>19</v>
      </c>
      <c r="AM230" s="497">
        <f>IF(('Comparison Calculator'!$E$11-AL230)&gt;=0,0,IFERROR(-PPMT($AQ$66/12,(AK230-60),($F$1-5)*12,$AQ$65),0))</f>
        <v>0</v>
      </c>
      <c r="AN230" s="497">
        <f>IF(('Comparison Calculator'!$E$11-AL230)&gt;=0,$C$1*$AQ$66/12,IFERROR(-IPMT($AQ$66/12,(AK230-60),($F$1-5)*12,$AQ$65,0),0))</f>
        <v>0</v>
      </c>
      <c r="AO230" s="497">
        <f t="shared" si="94"/>
        <v>0</v>
      </c>
      <c r="AP230" s="497">
        <f t="shared" si="107"/>
        <v>1800000</v>
      </c>
      <c r="AQ230" s="493"/>
      <c r="AR230" s="493"/>
      <c r="AT230" s="492">
        <v>226</v>
      </c>
      <c r="AU230" s="492">
        <v>19</v>
      </c>
      <c r="AV230" s="497">
        <f>IF(('Comparison Calculator'!$E$11-AU230)&gt;=0,0,IFERROR(-PPMT($AZ$66/12,(AT230-60),($F$1-5)*12,$AZ$65),0))</f>
        <v>0</v>
      </c>
      <c r="AW230" s="497">
        <f>IF(('Comparison Calculator'!$E$11-AU230)&gt;=0,$C$1*$AZ$66/12,IFERROR(-IPMT($AZ$66/12,(AT230-60),($F$1-5)*12,$AZ$65,0),0))</f>
        <v>0</v>
      </c>
      <c r="AX230" s="497">
        <f t="shared" si="95"/>
        <v>0</v>
      </c>
      <c r="AY230" s="497">
        <f t="shared" si="108"/>
        <v>1800000</v>
      </c>
      <c r="AZ230" s="493"/>
      <c r="BA230" s="493"/>
      <c r="BC230" s="492">
        <v>226</v>
      </c>
      <c r="BD230" s="492">
        <v>19</v>
      </c>
      <c r="BE230" s="497">
        <f>IF(('Comparison Calculator'!$E$11-BD230)&gt;=0,0,IFERROR(-PPMT($BI$66/12,(BC230-60),($F$1-5)*12,$BI$65),0))</f>
        <v>0</v>
      </c>
      <c r="BF230" s="497">
        <f>IF(('Comparison Calculator'!$E$11-BD230)&gt;=0,$C$1*$BI$66/12,IFERROR(-IPMT($BI$66/12,(BC230-60),($F$1-5)*12,$BI$65,0),0))</f>
        <v>0</v>
      </c>
      <c r="BG230" s="497">
        <f t="shared" si="96"/>
        <v>0</v>
      </c>
      <c r="BH230" s="497">
        <f t="shared" si="109"/>
        <v>1800000</v>
      </c>
      <c r="BI230" s="493"/>
      <c r="BJ230" s="493"/>
      <c r="BK230" s="492">
        <v>226</v>
      </c>
      <c r="BL230" s="492">
        <v>19</v>
      </c>
      <c r="BM230" s="497">
        <f>IF(('Comparison Calculator'!$E$11-BL230)&gt;=0,0,IFERROR(-PPMT($BQ$66/12,(BK230-60),($F$1-5)*12,$BQ$65),0))</f>
        <v>0</v>
      </c>
      <c r="BN230" s="497">
        <f>IF(('Comparison Calculator'!$E$11-BL230)&gt;=0,$C$1*$BQ$66/12,IFERROR(-IPMT($BQ$66/12,(BK230-60),($F$1-5)*12,$BQ$65,0),0))</f>
        <v>0</v>
      </c>
      <c r="BO230" s="497">
        <f t="shared" si="97"/>
        <v>0</v>
      </c>
      <c r="BP230" s="497">
        <f t="shared" si="110"/>
        <v>1800000</v>
      </c>
      <c r="BQ230" s="493"/>
      <c r="BR230" s="493"/>
      <c r="BT230" s="492">
        <v>226</v>
      </c>
      <c r="BU230" s="492">
        <v>19</v>
      </c>
      <c r="BV230" s="497">
        <f>IF(('Comparison Calculator'!$E$11-BU230)&gt;=0,0,IFERROR(-PPMT($BZ$66/12,(BT230-60),($F$1-5)*12,$BZ$65),0))</f>
        <v>0</v>
      </c>
      <c r="BW230" s="497">
        <f>IF(('Comparison Calculator'!$E$11-BU230)&gt;=0,$C$1*$BZ$66/12,IFERROR(-IPMT($BZ$66/12,(BT230-60),($F$1-5)*12,$BZ$65,0),0))</f>
        <v>0</v>
      </c>
      <c r="BX230" s="497">
        <f t="shared" si="98"/>
        <v>0</v>
      </c>
      <c r="BY230" s="497">
        <f t="shared" si="111"/>
        <v>1800000</v>
      </c>
      <c r="BZ230" s="493"/>
      <c r="CA230" s="493"/>
      <c r="CC230" s="492">
        <v>226</v>
      </c>
      <c r="CD230" s="492">
        <v>19</v>
      </c>
      <c r="CE230" s="497">
        <f>IF(('Comparison Calculator'!$E$11-CD230)&gt;=0,0,IFERROR(-PPMT($CI$66/12,(CC230-60),($F$1-5)*12,$CI$65),0))</f>
        <v>0</v>
      </c>
      <c r="CF230" s="497">
        <f>IF(('Comparison Calculator'!$E$11-CD230)&gt;=0,$C$1*$CI$66/12,IFERROR(-IPMT($CI$66/12,(CC230-60),($F$1-5)*12,$CI$65,0),0))</f>
        <v>0</v>
      </c>
      <c r="CG230" s="497">
        <f t="shared" si="99"/>
        <v>0</v>
      </c>
      <c r="CH230" s="497">
        <f t="shared" si="112"/>
        <v>1800000</v>
      </c>
      <c r="CI230" s="493"/>
      <c r="CJ230" s="493"/>
      <c r="CL230" s="492">
        <v>226</v>
      </c>
      <c r="CM230" s="492">
        <v>19</v>
      </c>
      <c r="CN230" s="497">
        <f>IF(('Comparison Calculator'!$E$11-CM230)&gt;=0,0,IFERROR(-PPMT($CR$66/12,(CL230-60),($F$1-5)*12,$CR$65),0))</f>
        <v>0</v>
      </c>
      <c r="CO230" s="497">
        <f>IF(('Comparison Calculator'!$E$11-CM230)&gt;=0,$C$1*$CI$66/12,IFERROR(-IPMT($CI$66/12,(CL230-60),($F$1-5)*12,$CI$65,0),0))</f>
        <v>0</v>
      </c>
      <c r="CP230" s="497">
        <f t="shared" si="100"/>
        <v>0</v>
      </c>
      <c r="CQ230" s="497">
        <f t="shared" si="113"/>
        <v>1800000</v>
      </c>
      <c r="CR230" s="493"/>
      <c r="CS230" s="493"/>
      <c r="CU230" s="492">
        <v>226</v>
      </c>
      <c r="CV230" s="492">
        <v>19</v>
      </c>
      <c r="CW230" s="497">
        <f>IF(('Comparison Calculator'!$E$11-CV230)&gt;=0,0,IFERROR(-PPMT($DA$66/12,(CU230-60),($F$1-5)*12,$DA$65),0))</f>
        <v>0</v>
      </c>
      <c r="CX230" s="497">
        <f>IF(('Comparison Calculator'!$E$11-CV230)&gt;=0,$C$1*$DA$66/12,IFERROR(-IPMT($DA$66/12,(CU230-60),($F$1-5)*12,$DA$65,0),0))</f>
        <v>0</v>
      </c>
      <c r="CY230" s="497">
        <f t="shared" si="101"/>
        <v>0</v>
      </c>
      <c r="CZ230" s="497">
        <f t="shared" si="114"/>
        <v>1800000</v>
      </c>
      <c r="DA230" s="493"/>
      <c r="DB230" s="493"/>
      <c r="DD230" s="492">
        <v>226</v>
      </c>
      <c r="DE230" s="492">
        <v>19</v>
      </c>
      <c r="DF230" s="497">
        <f>IF(('Comparison Calculator'!$E$11-DE230)&gt;=0,0,IFERROR(-PPMT($DJ$66/12,(DD230-60),($F$1-5)*12,$DJ$65),0))</f>
        <v>0</v>
      </c>
      <c r="DG230" s="497">
        <f>IF(('Comparison Calculator'!$E$11-DE230)&gt;=0,$C$1*$DJ$66/12,IFERROR(-IPMT($DJ$66/12,(DD230-60),($F$1-5)*12,$DJ$65,0),0))</f>
        <v>0</v>
      </c>
      <c r="DH230" s="497">
        <f t="shared" si="102"/>
        <v>0</v>
      </c>
      <c r="DI230" s="497">
        <f t="shared" si="115"/>
        <v>1800000</v>
      </c>
      <c r="DJ230" s="493"/>
      <c r="DK230" s="493"/>
    </row>
    <row r="231" spans="1:115">
      <c r="A231" s="492">
        <v>227</v>
      </c>
      <c r="B231" s="492">
        <v>19</v>
      </c>
      <c r="C231" s="497">
        <f>IF(('Comparison Calculator'!$E$11-B231)&gt;=0,0,IFERROR(-PPMT($G$66/12,(A231-60),($F$1-5)*12,$G$65),0))</f>
        <v>0</v>
      </c>
      <c r="D231" s="497">
        <f>IF(('Comparison Calculator'!$E$11-B231)&gt;=0,$C$1*$G$66/12,IFERROR(-IPMT($G$66/12,(A231-60),($F$1-5)*12,$G$65,0),0))</f>
        <v>0</v>
      </c>
      <c r="E231" s="497">
        <f t="shared" si="90"/>
        <v>0</v>
      </c>
      <c r="F231" s="497">
        <f t="shared" si="103"/>
        <v>1800000</v>
      </c>
      <c r="G231" s="493"/>
      <c r="H231" s="493"/>
      <c r="I231" s="489"/>
      <c r="J231" s="492">
        <v>227</v>
      </c>
      <c r="K231" s="492">
        <v>19</v>
      </c>
      <c r="L231" s="497">
        <f>IF(('Comparison Calculator'!$E$11-K231)&gt;=0,0,IFERROR(-PPMT($P$66/12,(J231-60),($F$1-5)*12,$P$65),0))</f>
        <v>0</v>
      </c>
      <c r="M231" s="497">
        <f>IF(('Comparison Calculator'!$E$11-K231)&gt;=0,$C$1*$P$66/12,IFERROR(-IPMT($P$66/12,(J231-60),($F$1-5)*12,$P$65,0),0))</f>
        <v>0</v>
      </c>
      <c r="N231" s="497">
        <f t="shared" si="91"/>
        <v>0</v>
      </c>
      <c r="O231" s="497">
        <f t="shared" si="104"/>
        <v>1800000</v>
      </c>
      <c r="P231" s="493"/>
      <c r="Q231" s="493"/>
      <c r="S231" s="492">
        <v>227</v>
      </c>
      <c r="T231" s="492">
        <v>19</v>
      </c>
      <c r="U231" s="497">
        <f>IF(('Comparison Calculator'!$E$11-T231)&gt;=0,0,IFERROR(-PPMT($Y$66/12,(S231-60),($F$1-5)*12,$Y$65),0))</f>
        <v>0</v>
      </c>
      <c r="V231" s="497">
        <f>IF(('Comparison Calculator'!$E$11-T231)&gt;=0,$C$1*$Y$66/12,IFERROR(-IPMT($Y$66/12,(S231-60),($F$1-5)*12,$Y$65,0),0))</f>
        <v>0</v>
      </c>
      <c r="W231" s="497">
        <f t="shared" si="92"/>
        <v>0</v>
      </c>
      <c r="X231" s="497">
        <f t="shared" si="105"/>
        <v>1800000</v>
      </c>
      <c r="Y231" s="493"/>
      <c r="Z231" s="493"/>
      <c r="AB231" s="492">
        <v>227</v>
      </c>
      <c r="AC231" s="492">
        <v>19</v>
      </c>
      <c r="AD231" s="497">
        <f>IF(('Comparison Calculator'!$E$11-AC231)&gt;=0,0,IFERROR(-PPMT($AH$66/12,(AB231-60),($F$1-5)*12,$AH$65),0))</f>
        <v>0</v>
      </c>
      <c r="AE231" s="497">
        <f>IF(('Comparison Calculator'!$E$11-AC231)&gt;=0,$C$1*$AH$66/12,IFERROR(-IPMT($AH$66/12,(AB231-60),($F$1-5)*12,$AH$65,0),0))</f>
        <v>0</v>
      </c>
      <c r="AF231" s="497">
        <f t="shared" si="93"/>
        <v>0</v>
      </c>
      <c r="AG231" s="497">
        <f t="shared" si="106"/>
        <v>1800000</v>
      </c>
      <c r="AH231" s="493"/>
      <c r="AI231" s="493"/>
      <c r="AK231" s="492">
        <v>227</v>
      </c>
      <c r="AL231" s="492">
        <v>19</v>
      </c>
      <c r="AM231" s="497">
        <f>IF(('Comparison Calculator'!$E$11-AL231)&gt;=0,0,IFERROR(-PPMT($AQ$66/12,(AK231-60),($F$1-5)*12,$AQ$65),0))</f>
        <v>0</v>
      </c>
      <c r="AN231" s="497">
        <f>IF(('Comparison Calculator'!$E$11-AL231)&gt;=0,$C$1*$AQ$66/12,IFERROR(-IPMT($AQ$66/12,(AK231-60),($F$1-5)*12,$AQ$65,0),0))</f>
        <v>0</v>
      </c>
      <c r="AO231" s="497">
        <f t="shared" si="94"/>
        <v>0</v>
      </c>
      <c r="AP231" s="497">
        <f t="shared" si="107"/>
        <v>1800000</v>
      </c>
      <c r="AQ231" s="493"/>
      <c r="AR231" s="493"/>
      <c r="AT231" s="492">
        <v>227</v>
      </c>
      <c r="AU231" s="492">
        <v>19</v>
      </c>
      <c r="AV231" s="497">
        <f>IF(('Comparison Calculator'!$E$11-AU231)&gt;=0,0,IFERROR(-PPMT($AZ$66/12,(AT231-60),($F$1-5)*12,$AZ$65),0))</f>
        <v>0</v>
      </c>
      <c r="AW231" s="497">
        <f>IF(('Comparison Calculator'!$E$11-AU231)&gt;=0,$C$1*$AZ$66/12,IFERROR(-IPMT($AZ$66/12,(AT231-60),($F$1-5)*12,$AZ$65,0),0))</f>
        <v>0</v>
      </c>
      <c r="AX231" s="497">
        <f t="shared" si="95"/>
        <v>0</v>
      </c>
      <c r="AY231" s="497">
        <f t="shared" si="108"/>
        <v>1800000</v>
      </c>
      <c r="AZ231" s="493"/>
      <c r="BA231" s="493"/>
      <c r="BC231" s="492">
        <v>227</v>
      </c>
      <c r="BD231" s="492">
        <v>19</v>
      </c>
      <c r="BE231" s="497">
        <f>IF(('Comparison Calculator'!$E$11-BD231)&gt;=0,0,IFERROR(-PPMT($BI$66/12,(BC231-60),($F$1-5)*12,$BI$65),0))</f>
        <v>0</v>
      </c>
      <c r="BF231" s="497">
        <f>IF(('Comparison Calculator'!$E$11-BD231)&gt;=0,$C$1*$BI$66/12,IFERROR(-IPMT($BI$66/12,(BC231-60),($F$1-5)*12,$BI$65,0),0))</f>
        <v>0</v>
      </c>
      <c r="BG231" s="497">
        <f t="shared" si="96"/>
        <v>0</v>
      </c>
      <c r="BH231" s="497">
        <f t="shared" si="109"/>
        <v>1800000</v>
      </c>
      <c r="BI231" s="493"/>
      <c r="BJ231" s="493"/>
      <c r="BK231" s="492">
        <v>227</v>
      </c>
      <c r="BL231" s="492">
        <v>19</v>
      </c>
      <c r="BM231" s="497">
        <f>IF(('Comparison Calculator'!$E$11-BL231)&gt;=0,0,IFERROR(-PPMT($BQ$66/12,(BK231-60),($F$1-5)*12,$BQ$65),0))</f>
        <v>0</v>
      </c>
      <c r="BN231" s="497">
        <f>IF(('Comparison Calculator'!$E$11-BL231)&gt;=0,$C$1*$BQ$66/12,IFERROR(-IPMT($BQ$66/12,(BK231-60),($F$1-5)*12,$BQ$65,0),0))</f>
        <v>0</v>
      </c>
      <c r="BO231" s="497">
        <f t="shared" si="97"/>
        <v>0</v>
      </c>
      <c r="BP231" s="497">
        <f t="shared" si="110"/>
        <v>1800000</v>
      </c>
      <c r="BQ231" s="493"/>
      <c r="BR231" s="493"/>
      <c r="BT231" s="492">
        <v>227</v>
      </c>
      <c r="BU231" s="492">
        <v>19</v>
      </c>
      <c r="BV231" s="497">
        <f>IF(('Comparison Calculator'!$E$11-BU231)&gt;=0,0,IFERROR(-PPMT($BZ$66/12,(BT231-60),($F$1-5)*12,$BZ$65),0))</f>
        <v>0</v>
      </c>
      <c r="BW231" s="497">
        <f>IF(('Comparison Calculator'!$E$11-BU231)&gt;=0,$C$1*$BZ$66/12,IFERROR(-IPMT($BZ$66/12,(BT231-60),($F$1-5)*12,$BZ$65,0),0))</f>
        <v>0</v>
      </c>
      <c r="BX231" s="497">
        <f t="shared" si="98"/>
        <v>0</v>
      </c>
      <c r="BY231" s="497">
        <f t="shared" si="111"/>
        <v>1800000</v>
      </c>
      <c r="BZ231" s="493"/>
      <c r="CA231" s="493"/>
      <c r="CC231" s="492">
        <v>227</v>
      </c>
      <c r="CD231" s="492">
        <v>19</v>
      </c>
      <c r="CE231" s="497">
        <f>IF(('Comparison Calculator'!$E$11-CD231)&gt;=0,0,IFERROR(-PPMT($CI$66/12,(CC231-60),($F$1-5)*12,$CI$65),0))</f>
        <v>0</v>
      </c>
      <c r="CF231" s="497">
        <f>IF(('Comparison Calculator'!$E$11-CD231)&gt;=0,$C$1*$CI$66/12,IFERROR(-IPMT($CI$66/12,(CC231-60),($F$1-5)*12,$CI$65,0),0))</f>
        <v>0</v>
      </c>
      <c r="CG231" s="497">
        <f t="shared" si="99"/>
        <v>0</v>
      </c>
      <c r="CH231" s="497">
        <f t="shared" si="112"/>
        <v>1800000</v>
      </c>
      <c r="CI231" s="493"/>
      <c r="CJ231" s="493"/>
      <c r="CL231" s="492">
        <v>227</v>
      </c>
      <c r="CM231" s="492">
        <v>19</v>
      </c>
      <c r="CN231" s="497">
        <f>IF(('Comparison Calculator'!$E$11-CM231)&gt;=0,0,IFERROR(-PPMT($CR$66/12,(CL231-60),($F$1-5)*12,$CR$65),0))</f>
        <v>0</v>
      </c>
      <c r="CO231" s="497">
        <f>IF(('Comparison Calculator'!$E$11-CM231)&gt;=0,$C$1*$CI$66/12,IFERROR(-IPMT($CI$66/12,(CL231-60),($F$1-5)*12,$CI$65,0),0))</f>
        <v>0</v>
      </c>
      <c r="CP231" s="497">
        <f t="shared" si="100"/>
        <v>0</v>
      </c>
      <c r="CQ231" s="497">
        <f t="shared" si="113"/>
        <v>1800000</v>
      </c>
      <c r="CR231" s="493"/>
      <c r="CS231" s="493"/>
      <c r="CU231" s="492">
        <v>227</v>
      </c>
      <c r="CV231" s="492">
        <v>19</v>
      </c>
      <c r="CW231" s="497">
        <f>IF(('Comparison Calculator'!$E$11-CV231)&gt;=0,0,IFERROR(-PPMT($DA$66/12,(CU231-60),($F$1-5)*12,$DA$65),0))</f>
        <v>0</v>
      </c>
      <c r="CX231" s="497">
        <f>IF(('Comparison Calculator'!$E$11-CV231)&gt;=0,$C$1*$DA$66/12,IFERROR(-IPMT($DA$66/12,(CU231-60),($F$1-5)*12,$DA$65,0),0))</f>
        <v>0</v>
      </c>
      <c r="CY231" s="497">
        <f t="shared" si="101"/>
        <v>0</v>
      </c>
      <c r="CZ231" s="497">
        <f t="shared" si="114"/>
        <v>1800000</v>
      </c>
      <c r="DA231" s="493"/>
      <c r="DB231" s="493"/>
      <c r="DD231" s="492">
        <v>227</v>
      </c>
      <c r="DE231" s="492">
        <v>19</v>
      </c>
      <c r="DF231" s="497">
        <f>IF(('Comparison Calculator'!$E$11-DE231)&gt;=0,0,IFERROR(-PPMT($DJ$66/12,(DD231-60),($F$1-5)*12,$DJ$65),0))</f>
        <v>0</v>
      </c>
      <c r="DG231" s="497">
        <f>IF(('Comparison Calculator'!$E$11-DE231)&gt;=0,$C$1*$DJ$66/12,IFERROR(-IPMT($DJ$66/12,(DD231-60),($F$1-5)*12,$DJ$65,0),0))</f>
        <v>0</v>
      </c>
      <c r="DH231" s="497">
        <f t="shared" si="102"/>
        <v>0</v>
      </c>
      <c r="DI231" s="497">
        <f t="shared" si="115"/>
        <v>1800000</v>
      </c>
      <c r="DJ231" s="493"/>
      <c r="DK231" s="493"/>
    </row>
    <row r="232" spans="1:115">
      <c r="A232" s="492">
        <v>228</v>
      </c>
      <c r="B232" s="492">
        <v>19</v>
      </c>
      <c r="C232" s="497">
        <f>IF(('Comparison Calculator'!$E$11-B232)&gt;=0,0,IFERROR(-PPMT($G$66/12,(A232-60),($F$1-5)*12,$G$65),0))</f>
        <v>0</v>
      </c>
      <c r="D232" s="497">
        <f>IF(('Comparison Calculator'!$E$11-B232)&gt;=0,$C$1*$G$66/12,IFERROR(-IPMT($G$66/12,(A232-60),($F$1-5)*12,$G$65,0),0))</f>
        <v>0</v>
      </c>
      <c r="E232" s="497">
        <f t="shared" si="90"/>
        <v>0</v>
      </c>
      <c r="F232" s="497">
        <f t="shared" si="103"/>
        <v>1800000</v>
      </c>
      <c r="G232" s="493"/>
      <c r="H232" s="493"/>
      <c r="I232" s="489"/>
      <c r="J232" s="492">
        <v>228</v>
      </c>
      <c r="K232" s="492">
        <v>19</v>
      </c>
      <c r="L232" s="497">
        <f>IF(('Comparison Calculator'!$E$11-K232)&gt;=0,0,IFERROR(-PPMT($P$66/12,(J232-60),($F$1-5)*12,$P$65),0))</f>
        <v>0</v>
      </c>
      <c r="M232" s="497">
        <f>IF(('Comparison Calculator'!$E$11-K232)&gt;=0,$C$1*$P$66/12,IFERROR(-IPMT($P$66/12,(J232-60),($F$1-5)*12,$P$65,0),0))</f>
        <v>0</v>
      </c>
      <c r="N232" s="497">
        <f t="shared" si="91"/>
        <v>0</v>
      </c>
      <c r="O232" s="497">
        <f t="shared" si="104"/>
        <v>1800000</v>
      </c>
      <c r="P232" s="493"/>
      <c r="Q232" s="493"/>
      <c r="S232" s="492">
        <v>228</v>
      </c>
      <c r="T232" s="492">
        <v>19</v>
      </c>
      <c r="U232" s="497">
        <f>IF(('Comparison Calculator'!$E$11-T232)&gt;=0,0,IFERROR(-PPMT($Y$66/12,(S232-60),($F$1-5)*12,$Y$65),0))</f>
        <v>0</v>
      </c>
      <c r="V232" s="497">
        <f>IF(('Comparison Calculator'!$E$11-T232)&gt;=0,$C$1*$Y$66/12,IFERROR(-IPMT($Y$66/12,(S232-60),($F$1-5)*12,$Y$65,0),0))</f>
        <v>0</v>
      </c>
      <c r="W232" s="497">
        <f t="shared" si="92"/>
        <v>0</v>
      </c>
      <c r="X232" s="497">
        <f t="shared" si="105"/>
        <v>1800000</v>
      </c>
      <c r="Y232" s="493"/>
      <c r="Z232" s="493"/>
      <c r="AB232" s="492">
        <v>228</v>
      </c>
      <c r="AC232" s="492">
        <v>19</v>
      </c>
      <c r="AD232" s="497">
        <f>IF(('Comparison Calculator'!$E$11-AC232)&gt;=0,0,IFERROR(-PPMT($AH$66/12,(AB232-60),($F$1-5)*12,$AH$65),0))</f>
        <v>0</v>
      </c>
      <c r="AE232" s="497">
        <f>IF(('Comparison Calculator'!$E$11-AC232)&gt;=0,$C$1*$AH$66/12,IFERROR(-IPMT($AH$66/12,(AB232-60),($F$1-5)*12,$AH$65,0),0))</f>
        <v>0</v>
      </c>
      <c r="AF232" s="497">
        <f t="shared" si="93"/>
        <v>0</v>
      </c>
      <c r="AG232" s="497">
        <f t="shared" si="106"/>
        <v>1800000</v>
      </c>
      <c r="AH232" s="493"/>
      <c r="AI232" s="493"/>
      <c r="AK232" s="492">
        <v>228</v>
      </c>
      <c r="AL232" s="492">
        <v>19</v>
      </c>
      <c r="AM232" s="497">
        <f>IF(('Comparison Calculator'!$E$11-AL232)&gt;=0,0,IFERROR(-PPMT($AQ$66/12,(AK232-60),($F$1-5)*12,$AQ$65),0))</f>
        <v>0</v>
      </c>
      <c r="AN232" s="497">
        <f>IF(('Comparison Calculator'!$E$11-AL232)&gt;=0,$C$1*$AQ$66/12,IFERROR(-IPMT($AQ$66/12,(AK232-60),($F$1-5)*12,$AQ$65,0),0))</f>
        <v>0</v>
      </c>
      <c r="AO232" s="497">
        <f t="shared" si="94"/>
        <v>0</v>
      </c>
      <c r="AP232" s="497">
        <f t="shared" si="107"/>
        <v>1800000</v>
      </c>
      <c r="AQ232" s="493"/>
      <c r="AR232" s="493"/>
      <c r="AT232" s="492">
        <v>228</v>
      </c>
      <c r="AU232" s="492">
        <v>19</v>
      </c>
      <c r="AV232" s="497">
        <f>IF(('Comparison Calculator'!$E$11-AU232)&gt;=0,0,IFERROR(-PPMT($AZ$66/12,(AT232-60),($F$1-5)*12,$AZ$65),0))</f>
        <v>0</v>
      </c>
      <c r="AW232" s="497">
        <f>IF(('Comparison Calculator'!$E$11-AU232)&gt;=0,$C$1*$AZ$66/12,IFERROR(-IPMT($AZ$66/12,(AT232-60),($F$1-5)*12,$AZ$65,0),0))</f>
        <v>0</v>
      </c>
      <c r="AX232" s="497">
        <f t="shared" si="95"/>
        <v>0</v>
      </c>
      <c r="AY232" s="497">
        <f t="shared" si="108"/>
        <v>1800000</v>
      </c>
      <c r="AZ232" s="493"/>
      <c r="BA232" s="493"/>
      <c r="BC232" s="492">
        <v>228</v>
      </c>
      <c r="BD232" s="492">
        <v>19</v>
      </c>
      <c r="BE232" s="497">
        <f>IF(('Comparison Calculator'!$E$11-BD232)&gt;=0,0,IFERROR(-PPMT($BI$66/12,(BC232-60),($F$1-5)*12,$BI$65),0))</f>
        <v>0</v>
      </c>
      <c r="BF232" s="497">
        <f>IF(('Comparison Calculator'!$E$11-BD232)&gt;=0,$C$1*$BI$66/12,IFERROR(-IPMT($BI$66/12,(BC232-60),($F$1-5)*12,$BI$65,0),0))</f>
        <v>0</v>
      </c>
      <c r="BG232" s="497">
        <f t="shared" si="96"/>
        <v>0</v>
      </c>
      <c r="BH232" s="497">
        <f t="shared" si="109"/>
        <v>1800000</v>
      </c>
      <c r="BI232" s="493"/>
      <c r="BJ232" s="493"/>
      <c r="BK232" s="492">
        <v>228</v>
      </c>
      <c r="BL232" s="492">
        <v>19</v>
      </c>
      <c r="BM232" s="497">
        <f>IF(('Comparison Calculator'!$E$11-BL232)&gt;=0,0,IFERROR(-PPMT($BQ$66/12,(BK232-60),($F$1-5)*12,$BQ$65),0))</f>
        <v>0</v>
      </c>
      <c r="BN232" s="497">
        <f>IF(('Comparison Calculator'!$E$11-BL232)&gt;=0,$C$1*$BQ$66/12,IFERROR(-IPMT($BQ$66/12,(BK232-60),($F$1-5)*12,$BQ$65,0),0))</f>
        <v>0</v>
      </c>
      <c r="BO232" s="497">
        <f t="shared" si="97"/>
        <v>0</v>
      </c>
      <c r="BP232" s="497">
        <f t="shared" si="110"/>
        <v>1800000</v>
      </c>
      <c r="BQ232" s="493"/>
      <c r="BR232" s="493"/>
      <c r="BT232" s="492">
        <v>228</v>
      </c>
      <c r="BU232" s="492">
        <v>19</v>
      </c>
      <c r="BV232" s="497">
        <f>IF(('Comparison Calculator'!$E$11-BU232)&gt;=0,0,IFERROR(-PPMT($BZ$66/12,(BT232-60),($F$1-5)*12,$BZ$65),0))</f>
        <v>0</v>
      </c>
      <c r="BW232" s="497">
        <f>IF(('Comparison Calculator'!$E$11-BU232)&gt;=0,$C$1*$BZ$66/12,IFERROR(-IPMT($BZ$66/12,(BT232-60),($F$1-5)*12,$BZ$65,0),0))</f>
        <v>0</v>
      </c>
      <c r="BX232" s="497">
        <f t="shared" si="98"/>
        <v>0</v>
      </c>
      <c r="BY232" s="497">
        <f t="shared" si="111"/>
        <v>1800000</v>
      </c>
      <c r="BZ232" s="493"/>
      <c r="CA232" s="493"/>
      <c r="CC232" s="492">
        <v>228</v>
      </c>
      <c r="CD232" s="492">
        <v>19</v>
      </c>
      <c r="CE232" s="497">
        <f>IF(('Comparison Calculator'!$E$11-CD232)&gt;=0,0,IFERROR(-PPMT($CI$66/12,(CC232-60),($F$1-5)*12,$CI$65),0))</f>
        <v>0</v>
      </c>
      <c r="CF232" s="497">
        <f>IF(('Comparison Calculator'!$E$11-CD232)&gt;=0,$C$1*$CI$66/12,IFERROR(-IPMT($CI$66/12,(CC232-60),($F$1-5)*12,$CI$65,0),0))</f>
        <v>0</v>
      </c>
      <c r="CG232" s="497">
        <f t="shared" si="99"/>
        <v>0</v>
      </c>
      <c r="CH232" s="497">
        <f t="shared" si="112"/>
        <v>1800000</v>
      </c>
      <c r="CI232" s="493"/>
      <c r="CJ232" s="493"/>
      <c r="CL232" s="492">
        <v>228</v>
      </c>
      <c r="CM232" s="492">
        <v>19</v>
      </c>
      <c r="CN232" s="497">
        <f>IF(('Comparison Calculator'!$E$11-CM232)&gt;=0,0,IFERROR(-PPMT($CR$66/12,(CL232-60),($F$1-5)*12,$CR$65),0))</f>
        <v>0</v>
      </c>
      <c r="CO232" s="497">
        <f>IF(('Comparison Calculator'!$E$11-CM232)&gt;=0,$C$1*$CI$66/12,IFERROR(-IPMT($CI$66/12,(CL232-60),($F$1-5)*12,$CI$65,0),0))</f>
        <v>0</v>
      </c>
      <c r="CP232" s="497">
        <f t="shared" si="100"/>
        <v>0</v>
      </c>
      <c r="CQ232" s="497">
        <f t="shared" si="113"/>
        <v>1800000</v>
      </c>
      <c r="CR232" s="493"/>
      <c r="CS232" s="493"/>
      <c r="CU232" s="492">
        <v>228</v>
      </c>
      <c r="CV232" s="492">
        <v>19</v>
      </c>
      <c r="CW232" s="497">
        <f>IF(('Comparison Calculator'!$E$11-CV232)&gt;=0,0,IFERROR(-PPMT($DA$66/12,(CU232-60),($F$1-5)*12,$DA$65),0))</f>
        <v>0</v>
      </c>
      <c r="CX232" s="497">
        <f>IF(('Comparison Calculator'!$E$11-CV232)&gt;=0,$C$1*$DA$66/12,IFERROR(-IPMT($DA$66/12,(CU232-60),($F$1-5)*12,$DA$65,0),0))</f>
        <v>0</v>
      </c>
      <c r="CY232" s="497">
        <f t="shared" si="101"/>
        <v>0</v>
      </c>
      <c r="CZ232" s="497">
        <f t="shared" si="114"/>
        <v>1800000</v>
      </c>
      <c r="DA232" s="493"/>
      <c r="DB232" s="493"/>
      <c r="DD232" s="492">
        <v>228</v>
      </c>
      <c r="DE232" s="492">
        <v>19</v>
      </c>
      <c r="DF232" s="497">
        <f>IF(('Comparison Calculator'!$E$11-DE232)&gt;=0,0,IFERROR(-PPMT($DJ$66/12,(DD232-60),($F$1-5)*12,$DJ$65),0))</f>
        <v>0</v>
      </c>
      <c r="DG232" s="497">
        <f>IF(('Comparison Calculator'!$E$11-DE232)&gt;=0,$C$1*$DJ$66/12,IFERROR(-IPMT($DJ$66/12,(DD232-60),($F$1-5)*12,$DJ$65,0),0))</f>
        <v>0</v>
      </c>
      <c r="DH232" s="497">
        <f t="shared" si="102"/>
        <v>0</v>
      </c>
      <c r="DI232" s="497">
        <f t="shared" si="115"/>
        <v>1800000</v>
      </c>
      <c r="DJ232" s="493"/>
      <c r="DK232" s="493"/>
    </row>
    <row r="233" spans="1:115">
      <c r="A233" s="492">
        <v>229</v>
      </c>
      <c r="B233" s="492">
        <v>20</v>
      </c>
      <c r="C233" s="497">
        <f>IF(('Comparison Calculator'!$E$11-B233)&gt;=0,0,IFERROR(-PPMT($G$66/12,(A233-60),($F$1-5)*12,$G$65),0))</f>
        <v>0</v>
      </c>
      <c r="D233" s="497">
        <f>IF(('Comparison Calculator'!$E$11-B233)&gt;=0,$C$1*$G$66/12,IFERROR(-IPMT($G$66/12,(A233-60),($F$1-5)*12,$G$65,0),0))</f>
        <v>0</v>
      </c>
      <c r="E233" s="497">
        <f t="shared" si="90"/>
        <v>0</v>
      </c>
      <c r="F233" s="497">
        <f t="shared" si="103"/>
        <v>1800000</v>
      </c>
      <c r="G233" s="493"/>
      <c r="H233" s="493"/>
      <c r="I233" s="489"/>
      <c r="J233" s="492">
        <v>229</v>
      </c>
      <c r="K233" s="492">
        <v>20</v>
      </c>
      <c r="L233" s="497">
        <f>IF(('Comparison Calculator'!$E$11-K233)&gt;=0,0,IFERROR(-PPMT($P$66/12,(J233-60),($F$1-5)*12,$P$65),0))</f>
        <v>0</v>
      </c>
      <c r="M233" s="497">
        <f>IF(('Comparison Calculator'!$E$11-K233)&gt;=0,$C$1*$P$66/12,IFERROR(-IPMT($P$66/12,(J233-60),($F$1-5)*12,$P$65,0),0))</f>
        <v>0</v>
      </c>
      <c r="N233" s="497">
        <f t="shared" si="91"/>
        <v>0</v>
      </c>
      <c r="O233" s="497">
        <f t="shared" si="104"/>
        <v>1800000</v>
      </c>
      <c r="P233" s="493"/>
      <c r="Q233" s="493"/>
      <c r="S233" s="492">
        <v>229</v>
      </c>
      <c r="T233" s="492">
        <v>20</v>
      </c>
      <c r="U233" s="497">
        <f>IF(('Comparison Calculator'!$E$11-T233)&gt;=0,0,IFERROR(-PPMT($Y$66/12,(S233-60),($F$1-5)*12,$Y$65),0))</f>
        <v>0</v>
      </c>
      <c r="V233" s="497">
        <f>IF(('Comparison Calculator'!$E$11-T233)&gt;=0,$C$1*$Y$66/12,IFERROR(-IPMT($Y$66/12,(S233-60),($F$1-5)*12,$Y$65,0),0))</f>
        <v>0</v>
      </c>
      <c r="W233" s="497">
        <f t="shared" si="92"/>
        <v>0</v>
      </c>
      <c r="X233" s="497">
        <f t="shared" si="105"/>
        <v>1800000</v>
      </c>
      <c r="Y233" s="493"/>
      <c r="Z233" s="493"/>
      <c r="AB233" s="492">
        <v>229</v>
      </c>
      <c r="AC233" s="492">
        <v>20</v>
      </c>
      <c r="AD233" s="497">
        <f>IF(('Comparison Calculator'!$E$11-AC233)&gt;=0,0,IFERROR(-PPMT($AH$66/12,(AB233-60),($F$1-5)*12,$AH$65),0))</f>
        <v>0</v>
      </c>
      <c r="AE233" s="497">
        <f>IF(('Comparison Calculator'!$E$11-AC233)&gt;=0,$C$1*$AH$66/12,IFERROR(-IPMT($AH$66/12,(AB233-60),($F$1-5)*12,$AH$65,0),0))</f>
        <v>0</v>
      </c>
      <c r="AF233" s="497">
        <f t="shared" si="93"/>
        <v>0</v>
      </c>
      <c r="AG233" s="497">
        <f t="shared" si="106"/>
        <v>1800000</v>
      </c>
      <c r="AH233" s="493"/>
      <c r="AI233" s="493"/>
      <c r="AK233" s="492">
        <v>229</v>
      </c>
      <c r="AL233" s="492">
        <v>20</v>
      </c>
      <c r="AM233" s="497">
        <f>IF(('Comparison Calculator'!$E$11-AL233)&gt;=0,0,IFERROR(-PPMT($AQ$66/12,(AK233-60),($F$1-5)*12,$AQ$65),0))</f>
        <v>0</v>
      </c>
      <c r="AN233" s="497">
        <f>IF(('Comparison Calculator'!$E$11-AL233)&gt;=0,$C$1*$AQ$66/12,IFERROR(-IPMT($AQ$66/12,(AK233-60),($F$1-5)*12,$AQ$65,0),0))</f>
        <v>0</v>
      </c>
      <c r="AO233" s="497">
        <f t="shared" si="94"/>
        <v>0</v>
      </c>
      <c r="AP233" s="497">
        <f t="shared" si="107"/>
        <v>1800000</v>
      </c>
      <c r="AQ233" s="493"/>
      <c r="AR233" s="493"/>
      <c r="AT233" s="492">
        <v>229</v>
      </c>
      <c r="AU233" s="492">
        <v>20</v>
      </c>
      <c r="AV233" s="497">
        <f>IF(('Comparison Calculator'!$E$11-AU233)&gt;=0,0,IFERROR(-PPMT($AZ$66/12,(AT233-60),($F$1-5)*12,$AZ$65),0))</f>
        <v>0</v>
      </c>
      <c r="AW233" s="497">
        <f>IF(('Comparison Calculator'!$E$11-AU233)&gt;=0,$C$1*$AZ$66/12,IFERROR(-IPMT($AZ$66/12,(AT233-60),($F$1-5)*12,$AZ$65,0),0))</f>
        <v>0</v>
      </c>
      <c r="AX233" s="497">
        <f t="shared" si="95"/>
        <v>0</v>
      </c>
      <c r="AY233" s="497">
        <f t="shared" si="108"/>
        <v>1800000</v>
      </c>
      <c r="AZ233" s="493"/>
      <c r="BA233" s="493"/>
      <c r="BC233" s="492">
        <v>229</v>
      </c>
      <c r="BD233" s="492">
        <v>20</v>
      </c>
      <c r="BE233" s="497">
        <f>IF(('Comparison Calculator'!$E$11-BD233)&gt;=0,0,IFERROR(-PPMT($BI$66/12,(BC233-60),($F$1-5)*12,$BI$65),0))</f>
        <v>0</v>
      </c>
      <c r="BF233" s="497">
        <f>IF(('Comparison Calculator'!$E$11-BD233)&gt;=0,$C$1*$BI$66/12,IFERROR(-IPMT($BI$66/12,(BC233-60),($F$1-5)*12,$BI$65,0),0))</f>
        <v>0</v>
      </c>
      <c r="BG233" s="497">
        <f t="shared" si="96"/>
        <v>0</v>
      </c>
      <c r="BH233" s="497">
        <f t="shared" si="109"/>
        <v>1800000</v>
      </c>
      <c r="BI233" s="493"/>
      <c r="BJ233" s="493"/>
      <c r="BK233" s="492">
        <v>229</v>
      </c>
      <c r="BL233" s="492">
        <v>20</v>
      </c>
      <c r="BM233" s="497">
        <f>IF(('Comparison Calculator'!$E$11-BL233)&gt;=0,0,IFERROR(-PPMT($BQ$66/12,(BK233-60),($F$1-5)*12,$BQ$65),0))</f>
        <v>0</v>
      </c>
      <c r="BN233" s="497">
        <f>IF(('Comparison Calculator'!$E$11-BL233)&gt;=0,$C$1*$BQ$66/12,IFERROR(-IPMT($BQ$66/12,(BK233-60),($F$1-5)*12,$BQ$65,0),0))</f>
        <v>0</v>
      </c>
      <c r="BO233" s="497">
        <f t="shared" si="97"/>
        <v>0</v>
      </c>
      <c r="BP233" s="497">
        <f t="shared" si="110"/>
        <v>1800000</v>
      </c>
      <c r="BQ233" s="493"/>
      <c r="BR233" s="493"/>
      <c r="BT233" s="492">
        <v>229</v>
      </c>
      <c r="BU233" s="492">
        <v>20</v>
      </c>
      <c r="BV233" s="497">
        <f>IF(('Comparison Calculator'!$E$11-BU233)&gt;=0,0,IFERROR(-PPMT($BZ$66/12,(BT233-60),($F$1-5)*12,$BZ$65),0))</f>
        <v>0</v>
      </c>
      <c r="BW233" s="497">
        <f>IF(('Comparison Calculator'!$E$11-BU233)&gt;=0,$C$1*$BZ$66/12,IFERROR(-IPMT($BZ$66/12,(BT233-60),($F$1-5)*12,$BZ$65,0),0))</f>
        <v>0</v>
      </c>
      <c r="BX233" s="497">
        <f t="shared" si="98"/>
        <v>0</v>
      </c>
      <c r="BY233" s="497">
        <f t="shared" si="111"/>
        <v>1800000</v>
      </c>
      <c r="BZ233" s="493"/>
      <c r="CA233" s="493"/>
      <c r="CC233" s="492">
        <v>229</v>
      </c>
      <c r="CD233" s="492">
        <v>20</v>
      </c>
      <c r="CE233" s="497">
        <f>IF(('Comparison Calculator'!$E$11-CD233)&gt;=0,0,IFERROR(-PPMT($CI$66/12,(CC233-60),($F$1-5)*12,$CI$65),0))</f>
        <v>0</v>
      </c>
      <c r="CF233" s="497">
        <f>IF(('Comparison Calculator'!$E$11-CD233)&gt;=0,$C$1*$CI$66/12,IFERROR(-IPMT($CI$66/12,(CC233-60),($F$1-5)*12,$CI$65,0),0))</f>
        <v>0</v>
      </c>
      <c r="CG233" s="497">
        <f t="shared" si="99"/>
        <v>0</v>
      </c>
      <c r="CH233" s="497">
        <f t="shared" si="112"/>
        <v>1800000</v>
      </c>
      <c r="CI233" s="493"/>
      <c r="CJ233" s="493"/>
      <c r="CL233" s="492">
        <v>229</v>
      </c>
      <c r="CM233" s="492">
        <v>20</v>
      </c>
      <c r="CN233" s="497">
        <f>IF(('Comparison Calculator'!$E$11-CM233)&gt;=0,0,IFERROR(-PPMT($CR$66/12,(CL233-60),($F$1-5)*12,$CR$65),0))</f>
        <v>0</v>
      </c>
      <c r="CO233" s="497">
        <f>IF(('Comparison Calculator'!$E$11-CM233)&gt;=0,$C$1*$CI$66/12,IFERROR(-IPMT($CI$66/12,(CL233-60),($F$1-5)*12,$CI$65,0),0))</f>
        <v>0</v>
      </c>
      <c r="CP233" s="497">
        <f t="shared" si="100"/>
        <v>0</v>
      </c>
      <c r="CQ233" s="497">
        <f t="shared" si="113"/>
        <v>1800000</v>
      </c>
      <c r="CR233" s="493"/>
      <c r="CS233" s="493"/>
      <c r="CU233" s="492">
        <v>229</v>
      </c>
      <c r="CV233" s="492">
        <v>20</v>
      </c>
      <c r="CW233" s="497">
        <f>IF(('Comparison Calculator'!$E$11-CV233)&gt;=0,0,IFERROR(-PPMT($DA$66/12,(CU233-60),($F$1-5)*12,$DA$65),0))</f>
        <v>0</v>
      </c>
      <c r="CX233" s="497">
        <f>IF(('Comparison Calculator'!$E$11-CV233)&gt;=0,$C$1*$DA$66/12,IFERROR(-IPMT($DA$66/12,(CU233-60),($F$1-5)*12,$DA$65,0),0))</f>
        <v>0</v>
      </c>
      <c r="CY233" s="497">
        <f t="shared" si="101"/>
        <v>0</v>
      </c>
      <c r="CZ233" s="497">
        <f t="shared" si="114"/>
        <v>1800000</v>
      </c>
      <c r="DA233" s="493"/>
      <c r="DB233" s="493"/>
      <c r="DD233" s="492">
        <v>229</v>
      </c>
      <c r="DE233" s="492">
        <v>20</v>
      </c>
      <c r="DF233" s="497">
        <f>IF(('Comparison Calculator'!$E$11-DE233)&gt;=0,0,IFERROR(-PPMT($DJ$66/12,(DD233-60),($F$1-5)*12,$DJ$65),0))</f>
        <v>0</v>
      </c>
      <c r="DG233" s="497">
        <f>IF(('Comparison Calculator'!$E$11-DE233)&gt;=0,$C$1*$DJ$66/12,IFERROR(-IPMT($DJ$66/12,(DD233-60),($F$1-5)*12,$DJ$65,0),0))</f>
        <v>0</v>
      </c>
      <c r="DH233" s="497">
        <f t="shared" si="102"/>
        <v>0</v>
      </c>
      <c r="DI233" s="497">
        <f t="shared" si="115"/>
        <v>1800000</v>
      </c>
      <c r="DJ233" s="493"/>
      <c r="DK233" s="493"/>
    </row>
    <row r="234" spans="1:115">
      <c r="A234" s="492">
        <v>230</v>
      </c>
      <c r="B234" s="492">
        <v>20</v>
      </c>
      <c r="C234" s="497">
        <f>IF(('Comparison Calculator'!$E$11-B234)&gt;=0,0,IFERROR(-PPMT($G$66/12,(A234-60),($F$1-5)*12,$G$65),0))</f>
        <v>0</v>
      </c>
      <c r="D234" s="497">
        <f>IF(('Comparison Calculator'!$E$11-B234)&gt;=0,$C$1*$G$66/12,IFERROR(-IPMT($G$66/12,(A234-60),($F$1-5)*12,$G$65,0),0))</f>
        <v>0</v>
      </c>
      <c r="E234" s="497">
        <f t="shared" si="90"/>
        <v>0</v>
      </c>
      <c r="F234" s="497">
        <f t="shared" si="103"/>
        <v>1800000</v>
      </c>
      <c r="G234" s="493"/>
      <c r="H234" s="493"/>
      <c r="I234" s="489"/>
      <c r="J234" s="492">
        <v>230</v>
      </c>
      <c r="K234" s="492">
        <v>20</v>
      </c>
      <c r="L234" s="497">
        <f>IF(('Comparison Calculator'!$E$11-K234)&gt;=0,0,IFERROR(-PPMT($P$66/12,(J234-60),($F$1-5)*12,$P$65),0))</f>
        <v>0</v>
      </c>
      <c r="M234" s="497">
        <f>IF(('Comparison Calculator'!$E$11-K234)&gt;=0,$C$1*$P$66/12,IFERROR(-IPMT($P$66/12,(J234-60),($F$1-5)*12,$P$65,0),0))</f>
        <v>0</v>
      </c>
      <c r="N234" s="497">
        <f t="shared" si="91"/>
        <v>0</v>
      </c>
      <c r="O234" s="497">
        <f t="shared" si="104"/>
        <v>1800000</v>
      </c>
      <c r="P234" s="493"/>
      <c r="Q234" s="493"/>
      <c r="S234" s="492">
        <v>230</v>
      </c>
      <c r="T234" s="492">
        <v>20</v>
      </c>
      <c r="U234" s="497">
        <f>IF(('Comparison Calculator'!$E$11-T234)&gt;=0,0,IFERROR(-PPMT($Y$66/12,(S234-60),($F$1-5)*12,$Y$65),0))</f>
        <v>0</v>
      </c>
      <c r="V234" s="497">
        <f>IF(('Comparison Calculator'!$E$11-T234)&gt;=0,$C$1*$Y$66/12,IFERROR(-IPMT($Y$66/12,(S234-60),($F$1-5)*12,$Y$65,0),0))</f>
        <v>0</v>
      </c>
      <c r="W234" s="497">
        <f t="shared" si="92"/>
        <v>0</v>
      </c>
      <c r="X234" s="497">
        <f t="shared" si="105"/>
        <v>1800000</v>
      </c>
      <c r="Y234" s="493"/>
      <c r="Z234" s="493"/>
      <c r="AB234" s="492">
        <v>230</v>
      </c>
      <c r="AC234" s="492">
        <v>20</v>
      </c>
      <c r="AD234" s="497">
        <f>IF(('Comparison Calculator'!$E$11-AC234)&gt;=0,0,IFERROR(-PPMT($AH$66/12,(AB234-60),($F$1-5)*12,$AH$65),0))</f>
        <v>0</v>
      </c>
      <c r="AE234" s="497">
        <f>IF(('Comparison Calculator'!$E$11-AC234)&gt;=0,$C$1*$AH$66/12,IFERROR(-IPMT($AH$66/12,(AB234-60),($F$1-5)*12,$AH$65,0),0))</f>
        <v>0</v>
      </c>
      <c r="AF234" s="497">
        <f t="shared" si="93"/>
        <v>0</v>
      </c>
      <c r="AG234" s="497">
        <f t="shared" si="106"/>
        <v>1800000</v>
      </c>
      <c r="AH234" s="493"/>
      <c r="AI234" s="493"/>
      <c r="AK234" s="492">
        <v>230</v>
      </c>
      <c r="AL234" s="492">
        <v>20</v>
      </c>
      <c r="AM234" s="497">
        <f>IF(('Comparison Calculator'!$E$11-AL234)&gt;=0,0,IFERROR(-PPMT($AQ$66/12,(AK234-60),($F$1-5)*12,$AQ$65),0))</f>
        <v>0</v>
      </c>
      <c r="AN234" s="497">
        <f>IF(('Comparison Calculator'!$E$11-AL234)&gt;=0,$C$1*$AQ$66/12,IFERROR(-IPMT($AQ$66/12,(AK234-60),($F$1-5)*12,$AQ$65,0),0))</f>
        <v>0</v>
      </c>
      <c r="AO234" s="497">
        <f t="shared" si="94"/>
        <v>0</v>
      </c>
      <c r="AP234" s="497">
        <f t="shared" si="107"/>
        <v>1800000</v>
      </c>
      <c r="AQ234" s="493"/>
      <c r="AR234" s="493"/>
      <c r="AT234" s="492">
        <v>230</v>
      </c>
      <c r="AU234" s="492">
        <v>20</v>
      </c>
      <c r="AV234" s="497">
        <f>IF(('Comparison Calculator'!$E$11-AU234)&gt;=0,0,IFERROR(-PPMT($AZ$66/12,(AT234-60),($F$1-5)*12,$AZ$65),0))</f>
        <v>0</v>
      </c>
      <c r="AW234" s="497">
        <f>IF(('Comparison Calculator'!$E$11-AU234)&gt;=0,$C$1*$AZ$66/12,IFERROR(-IPMT($AZ$66/12,(AT234-60),($F$1-5)*12,$AZ$65,0),0))</f>
        <v>0</v>
      </c>
      <c r="AX234" s="497">
        <f t="shared" si="95"/>
        <v>0</v>
      </c>
      <c r="AY234" s="497">
        <f t="shared" si="108"/>
        <v>1800000</v>
      </c>
      <c r="AZ234" s="493"/>
      <c r="BA234" s="493"/>
      <c r="BC234" s="492">
        <v>230</v>
      </c>
      <c r="BD234" s="492">
        <v>20</v>
      </c>
      <c r="BE234" s="497">
        <f>IF(('Comparison Calculator'!$E$11-BD234)&gt;=0,0,IFERROR(-PPMT($BI$66/12,(BC234-60),($F$1-5)*12,$BI$65),0))</f>
        <v>0</v>
      </c>
      <c r="BF234" s="497">
        <f>IF(('Comparison Calculator'!$E$11-BD234)&gt;=0,$C$1*$BI$66/12,IFERROR(-IPMT($BI$66/12,(BC234-60),($F$1-5)*12,$BI$65,0),0))</f>
        <v>0</v>
      </c>
      <c r="BG234" s="497">
        <f t="shared" si="96"/>
        <v>0</v>
      </c>
      <c r="BH234" s="497">
        <f t="shared" si="109"/>
        <v>1800000</v>
      </c>
      <c r="BI234" s="493"/>
      <c r="BJ234" s="493"/>
      <c r="BK234" s="492">
        <v>230</v>
      </c>
      <c r="BL234" s="492">
        <v>20</v>
      </c>
      <c r="BM234" s="497">
        <f>IF(('Comparison Calculator'!$E$11-BL234)&gt;=0,0,IFERROR(-PPMT($BQ$66/12,(BK234-60),($F$1-5)*12,$BQ$65),0))</f>
        <v>0</v>
      </c>
      <c r="BN234" s="497">
        <f>IF(('Comparison Calculator'!$E$11-BL234)&gt;=0,$C$1*$BQ$66/12,IFERROR(-IPMT($BQ$66/12,(BK234-60),($F$1-5)*12,$BQ$65,0),0))</f>
        <v>0</v>
      </c>
      <c r="BO234" s="497">
        <f t="shared" si="97"/>
        <v>0</v>
      </c>
      <c r="BP234" s="497">
        <f t="shared" si="110"/>
        <v>1800000</v>
      </c>
      <c r="BQ234" s="493"/>
      <c r="BR234" s="493"/>
      <c r="BT234" s="492">
        <v>230</v>
      </c>
      <c r="BU234" s="492">
        <v>20</v>
      </c>
      <c r="BV234" s="497">
        <f>IF(('Comparison Calculator'!$E$11-BU234)&gt;=0,0,IFERROR(-PPMT($BZ$66/12,(BT234-60),($F$1-5)*12,$BZ$65),0))</f>
        <v>0</v>
      </c>
      <c r="BW234" s="497">
        <f>IF(('Comparison Calculator'!$E$11-BU234)&gt;=0,$C$1*$BZ$66/12,IFERROR(-IPMT($BZ$66/12,(BT234-60),($F$1-5)*12,$BZ$65,0),0))</f>
        <v>0</v>
      </c>
      <c r="BX234" s="497">
        <f t="shared" si="98"/>
        <v>0</v>
      </c>
      <c r="BY234" s="497">
        <f t="shared" si="111"/>
        <v>1800000</v>
      </c>
      <c r="BZ234" s="493"/>
      <c r="CA234" s="493"/>
      <c r="CC234" s="492">
        <v>230</v>
      </c>
      <c r="CD234" s="492">
        <v>20</v>
      </c>
      <c r="CE234" s="497">
        <f>IF(('Comparison Calculator'!$E$11-CD234)&gt;=0,0,IFERROR(-PPMT($CI$66/12,(CC234-60),($F$1-5)*12,$CI$65),0))</f>
        <v>0</v>
      </c>
      <c r="CF234" s="497">
        <f>IF(('Comparison Calculator'!$E$11-CD234)&gt;=0,$C$1*$CI$66/12,IFERROR(-IPMT($CI$66/12,(CC234-60),($F$1-5)*12,$CI$65,0),0))</f>
        <v>0</v>
      </c>
      <c r="CG234" s="497">
        <f t="shared" si="99"/>
        <v>0</v>
      </c>
      <c r="CH234" s="497">
        <f t="shared" si="112"/>
        <v>1800000</v>
      </c>
      <c r="CI234" s="493"/>
      <c r="CJ234" s="493"/>
      <c r="CL234" s="492">
        <v>230</v>
      </c>
      <c r="CM234" s="492">
        <v>20</v>
      </c>
      <c r="CN234" s="497">
        <f>IF(('Comparison Calculator'!$E$11-CM234)&gt;=0,0,IFERROR(-PPMT($CR$66/12,(CL234-60),($F$1-5)*12,$CR$65),0))</f>
        <v>0</v>
      </c>
      <c r="CO234" s="497">
        <f>IF(('Comparison Calculator'!$E$11-CM234)&gt;=0,$C$1*$CI$66/12,IFERROR(-IPMT($CI$66/12,(CL234-60),($F$1-5)*12,$CI$65,0),0))</f>
        <v>0</v>
      </c>
      <c r="CP234" s="497">
        <f t="shared" si="100"/>
        <v>0</v>
      </c>
      <c r="CQ234" s="497">
        <f t="shared" si="113"/>
        <v>1800000</v>
      </c>
      <c r="CR234" s="493"/>
      <c r="CS234" s="493"/>
      <c r="CU234" s="492">
        <v>230</v>
      </c>
      <c r="CV234" s="492">
        <v>20</v>
      </c>
      <c r="CW234" s="497">
        <f>IF(('Comparison Calculator'!$E$11-CV234)&gt;=0,0,IFERROR(-PPMT($DA$66/12,(CU234-60),($F$1-5)*12,$DA$65),0))</f>
        <v>0</v>
      </c>
      <c r="CX234" s="497">
        <f>IF(('Comparison Calculator'!$E$11-CV234)&gt;=0,$C$1*$DA$66/12,IFERROR(-IPMT($DA$66/12,(CU234-60),($F$1-5)*12,$DA$65,0),0))</f>
        <v>0</v>
      </c>
      <c r="CY234" s="497">
        <f t="shared" si="101"/>
        <v>0</v>
      </c>
      <c r="CZ234" s="497">
        <f t="shared" si="114"/>
        <v>1800000</v>
      </c>
      <c r="DA234" s="493"/>
      <c r="DB234" s="493"/>
      <c r="DD234" s="492">
        <v>230</v>
      </c>
      <c r="DE234" s="492">
        <v>20</v>
      </c>
      <c r="DF234" s="497">
        <f>IF(('Comparison Calculator'!$E$11-DE234)&gt;=0,0,IFERROR(-PPMT($DJ$66/12,(DD234-60),($F$1-5)*12,$DJ$65),0))</f>
        <v>0</v>
      </c>
      <c r="DG234" s="497">
        <f>IF(('Comparison Calculator'!$E$11-DE234)&gt;=0,$C$1*$DJ$66/12,IFERROR(-IPMT($DJ$66/12,(DD234-60),($F$1-5)*12,$DJ$65,0),0))</f>
        <v>0</v>
      </c>
      <c r="DH234" s="497">
        <f t="shared" si="102"/>
        <v>0</v>
      </c>
      <c r="DI234" s="497">
        <f t="shared" si="115"/>
        <v>1800000</v>
      </c>
      <c r="DJ234" s="493"/>
      <c r="DK234" s="493"/>
    </row>
    <row r="235" spans="1:115">
      <c r="A235" s="492">
        <v>231</v>
      </c>
      <c r="B235" s="492">
        <v>20</v>
      </c>
      <c r="C235" s="497">
        <f>IF(('Comparison Calculator'!$E$11-B235)&gt;=0,0,IFERROR(-PPMT($G$66/12,(A235-60),($F$1-5)*12,$G$65),0))</f>
        <v>0</v>
      </c>
      <c r="D235" s="497">
        <f>IF(('Comparison Calculator'!$E$11-B235)&gt;=0,$C$1*$G$66/12,IFERROR(-IPMT($G$66/12,(A235-60),($F$1-5)*12,$G$65,0),0))</f>
        <v>0</v>
      </c>
      <c r="E235" s="497">
        <f t="shared" si="90"/>
        <v>0</v>
      </c>
      <c r="F235" s="497">
        <f t="shared" si="103"/>
        <v>1800000</v>
      </c>
      <c r="G235" s="493"/>
      <c r="H235" s="493"/>
      <c r="I235" s="489"/>
      <c r="J235" s="492">
        <v>231</v>
      </c>
      <c r="K235" s="492">
        <v>20</v>
      </c>
      <c r="L235" s="497">
        <f>IF(('Comparison Calculator'!$E$11-K235)&gt;=0,0,IFERROR(-PPMT($P$66/12,(J235-60),($F$1-5)*12,$P$65),0))</f>
        <v>0</v>
      </c>
      <c r="M235" s="497">
        <f>IF(('Comparison Calculator'!$E$11-K235)&gt;=0,$C$1*$P$66/12,IFERROR(-IPMT($P$66/12,(J235-60),($F$1-5)*12,$P$65,0),0))</f>
        <v>0</v>
      </c>
      <c r="N235" s="497">
        <f t="shared" si="91"/>
        <v>0</v>
      </c>
      <c r="O235" s="497">
        <f t="shared" si="104"/>
        <v>1800000</v>
      </c>
      <c r="P235" s="493"/>
      <c r="Q235" s="493"/>
      <c r="S235" s="492">
        <v>231</v>
      </c>
      <c r="T235" s="492">
        <v>20</v>
      </c>
      <c r="U235" s="497">
        <f>IF(('Comparison Calculator'!$E$11-T235)&gt;=0,0,IFERROR(-PPMT($Y$66/12,(S235-60),($F$1-5)*12,$Y$65),0))</f>
        <v>0</v>
      </c>
      <c r="V235" s="497">
        <f>IF(('Comparison Calculator'!$E$11-T235)&gt;=0,$C$1*$Y$66/12,IFERROR(-IPMT($Y$66/12,(S235-60),($F$1-5)*12,$Y$65,0),0))</f>
        <v>0</v>
      </c>
      <c r="W235" s="497">
        <f t="shared" si="92"/>
        <v>0</v>
      </c>
      <c r="X235" s="497">
        <f t="shared" si="105"/>
        <v>1800000</v>
      </c>
      <c r="Y235" s="493"/>
      <c r="Z235" s="493"/>
      <c r="AB235" s="492">
        <v>231</v>
      </c>
      <c r="AC235" s="492">
        <v>20</v>
      </c>
      <c r="AD235" s="497">
        <f>IF(('Comparison Calculator'!$E$11-AC235)&gt;=0,0,IFERROR(-PPMT($AH$66/12,(AB235-60),($F$1-5)*12,$AH$65),0))</f>
        <v>0</v>
      </c>
      <c r="AE235" s="497">
        <f>IF(('Comparison Calculator'!$E$11-AC235)&gt;=0,$C$1*$AH$66/12,IFERROR(-IPMT($AH$66/12,(AB235-60),($F$1-5)*12,$AH$65,0),0))</f>
        <v>0</v>
      </c>
      <c r="AF235" s="497">
        <f t="shared" si="93"/>
        <v>0</v>
      </c>
      <c r="AG235" s="497">
        <f t="shared" si="106"/>
        <v>1800000</v>
      </c>
      <c r="AH235" s="493"/>
      <c r="AI235" s="493"/>
      <c r="AK235" s="492">
        <v>231</v>
      </c>
      <c r="AL235" s="492">
        <v>20</v>
      </c>
      <c r="AM235" s="497">
        <f>IF(('Comparison Calculator'!$E$11-AL235)&gt;=0,0,IFERROR(-PPMT($AQ$66/12,(AK235-60),($F$1-5)*12,$AQ$65),0))</f>
        <v>0</v>
      </c>
      <c r="AN235" s="497">
        <f>IF(('Comparison Calculator'!$E$11-AL235)&gt;=0,$C$1*$AQ$66/12,IFERROR(-IPMT($AQ$66/12,(AK235-60),($F$1-5)*12,$AQ$65,0),0))</f>
        <v>0</v>
      </c>
      <c r="AO235" s="497">
        <f t="shared" si="94"/>
        <v>0</v>
      </c>
      <c r="AP235" s="497">
        <f t="shared" si="107"/>
        <v>1800000</v>
      </c>
      <c r="AQ235" s="493"/>
      <c r="AR235" s="493"/>
      <c r="AT235" s="492">
        <v>231</v>
      </c>
      <c r="AU235" s="492">
        <v>20</v>
      </c>
      <c r="AV235" s="497">
        <f>IF(('Comparison Calculator'!$E$11-AU235)&gt;=0,0,IFERROR(-PPMT($AZ$66/12,(AT235-60),($F$1-5)*12,$AZ$65),0))</f>
        <v>0</v>
      </c>
      <c r="AW235" s="497">
        <f>IF(('Comparison Calculator'!$E$11-AU235)&gt;=0,$C$1*$AZ$66/12,IFERROR(-IPMT($AZ$66/12,(AT235-60),($F$1-5)*12,$AZ$65,0),0))</f>
        <v>0</v>
      </c>
      <c r="AX235" s="497">
        <f t="shared" si="95"/>
        <v>0</v>
      </c>
      <c r="AY235" s="497">
        <f t="shared" si="108"/>
        <v>1800000</v>
      </c>
      <c r="AZ235" s="493"/>
      <c r="BA235" s="493"/>
      <c r="BC235" s="492">
        <v>231</v>
      </c>
      <c r="BD235" s="492">
        <v>20</v>
      </c>
      <c r="BE235" s="497">
        <f>IF(('Comparison Calculator'!$E$11-BD235)&gt;=0,0,IFERROR(-PPMT($BI$66/12,(BC235-60),($F$1-5)*12,$BI$65),0))</f>
        <v>0</v>
      </c>
      <c r="BF235" s="497">
        <f>IF(('Comparison Calculator'!$E$11-BD235)&gt;=0,$C$1*$BI$66/12,IFERROR(-IPMT($BI$66/12,(BC235-60),($F$1-5)*12,$BI$65,0),0))</f>
        <v>0</v>
      </c>
      <c r="BG235" s="497">
        <f t="shared" si="96"/>
        <v>0</v>
      </c>
      <c r="BH235" s="497">
        <f t="shared" si="109"/>
        <v>1800000</v>
      </c>
      <c r="BI235" s="493"/>
      <c r="BJ235" s="493"/>
      <c r="BK235" s="492">
        <v>231</v>
      </c>
      <c r="BL235" s="492">
        <v>20</v>
      </c>
      <c r="BM235" s="497">
        <f>IF(('Comparison Calculator'!$E$11-BL235)&gt;=0,0,IFERROR(-PPMT($BQ$66/12,(BK235-60),($F$1-5)*12,$BQ$65),0))</f>
        <v>0</v>
      </c>
      <c r="BN235" s="497">
        <f>IF(('Comparison Calculator'!$E$11-BL235)&gt;=0,$C$1*$BQ$66/12,IFERROR(-IPMT($BQ$66/12,(BK235-60),($F$1-5)*12,$BQ$65,0),0))</f>
        <v>0</v>
      </c>
      <c r="BO235" s="497">
        <f t="shared" si="97"/>
        <v>0</v>
      </c>
      <c r="BP235" s="497">
        <f t="shared" si="110"/>
        <v>1800000</v>
      </c>
      <c r="BQ235" s="493"/>
      <c r="BR235" s="493"/>
      <c r="BT235" s="492">
        <v>231</v>
      </c>
      <c r="BU235" s="492">
        <v>20</v>
      </c>
      <c r="BV235" s="497">
        <f>IF(('Comparison Calculator'!$E$11-BU235)&gt;=0,0,IFERROR(-PPMT($BZ$66/12,(BT235-60),($F$1-5)*12,$BZ$65),0))</f>
        <v>0</v>
      </c>
      <c r="BW235" s="497">
        <f>IF(('Comparison Calculator'!$E$11-BU235)&gt;=0,$C$1*$BZ$66/12,IFERROR(-IPMT($BZ$66/12,(BT235-60),($F$1-5)*12,$BZ$65,0),0))</f>
        <v>0</v>
      </c>
      <c r="BX235" s="497">
        <f t="shared" si="98"/>
        <v>0</v>
      </c>
      <c r="BY235" s="497">
        <f t="shared" si="111"/>
        <v>1800000</v>
      </c>
      <c r="BZ235" s="493"/>
      <c r="CA235" s="493"/>
      <c r="CC235" s="492">
        <v>231</v>
      </c>
      <c r="CD235" s="492">
        <v>20</v>
      </c>
      <c r="CE235" s="497">
        <f>IF(('Comparison Calculator'!$E$11-CD235)&gt;=0,0,IFERROR(-PPMT($CI$66/12,(CC235-60),($F$1-5)*12,$CI$65),0))</f>
        <v>0</v>
      </c>
      <c r="CF235" s="497">
        <f>IF(('Comparison Calculator'!$E$11-CD235)&gt;=0,$C$1*$CI$66/12,IFERROR(-IPMT($CI$66/12,(CC235-60),($F$1-5)*12,$CI$65,0),0))</f>
        <v>0</v>
      </c>
      <c r="CG235" s="497">
        <f t="shared" si="99"/>
        <v>0</v>
      </c>
      <c r="CH235" s="497">
        <f t="shared" si="112"/>
        <v>1800000</v>
      </c>
      <c r="CI235" s="493"/>
      <c r="CJ235" s="493"/>
      <c r="CL235" s="492">
        <v>231</v>
      </c>
      <c r="CM235" s="492">
        <v>20</v>
      </c>
      <c r="CN235" s="497">
        <f>IF(('Comparison Calculator'!$E$11-CM235)&gt;=0,0,IFERROR(-PPMT($CR$66/12,(CL235-60),($F$1-5)*12,$CR$65),0))</f>
        <v>0</v>
      </c>
      <c r="CO235" s="497">
        <f>IF(('Comparison Calculator'!$E$11-CM235)&gt;=0,$C$1*$CI$66/12,IFERROR(-IPMT($CI$66/12,(CL235-60),($F$1-5)*12,$CI$65,0),0))</f>
        <v>0</v>
      </c>
      <c r="CP235" s="497">
        <f t="shared" si="100"/>
        <v>0</v>
      </c>
      <c r="CQ235" s="497">
        <f t="shared" si="113"/>
        <v>1800000</v>
      </c>
      <c r="CR235" s="493"/>
      <c r="CS235" s="493"/>
      <c r="CU235" s="492">
        <v>231</v>
      </c>
      <c r="CV235" s="492">
        <v>20</v>
      </c>
      <c r="CW235" s="497">
        <f>IF(('Comparison Calculator'!$E$11-CV235)&gt;=0,0,IFERROR(-PPMT($DA$66/12,(CU235-60),($F$1-5)*12,$DA$65),0))</f>
        <v>0</v>
      </c>
      <c r="CX235" s="497">
        <f>IF(('Comparison Calculator'!$E$11-CV235)&gt;=0,$C$1*$DA$66/12,IFERROR(-IPMT($DA$66/12,(CU235-60),($F$1-5)*12,$DA$65,0),0))</f>
        <v>0</v>
      </c>
      <c r="CY235" s="497">
        <f t="shared" si="101"/>
        <v>0</v>
      </c>
      <c r="CZ235" s="497">
        <f t="shared" si="114"/>
        <v>1800000</v>
      </c>
      <c r="DA235" s="493"/>
      <c r="DB235" s="493"/>
      <c r="DD235" s="492">
        <v>231</v>
      </c>
      <c r="DE235" s="492">
        <v>20</v>
      </c>
      <c r="DF235" s="497">
        <f>IF(('Comparison Calculator'!$E$11-DE235)&gt;=0,0,IFERROR(-PPMT($DJ$66/12,(DD235-60),($F$1-5)*12,$DJ$65),0))</f>
        <v>0</v>
      </c>
      <c r="DG235" s="497">
        <f>IF(('Comparison Calculator'!$E$11-DE235)&gt;=0,$C$1*$DJ$66/12,IFERROR(-IPMT($DJ$66/12,(DD235-60),($F$1-5)*12,$DJ$65,0),0))</f>
        <v>0</v>
      </c>
      <c r="DH235" s="497">
        <f t="shared" si="102"/>
        <v>0</v>
      </c>
      <c r="DI235" s="497">
        <f t="shared" si="115"/>
        <v>1800000</v>
      </c>
      <c r="DJ235" s="493"/>
      <c r="DK235" s="493"/>
    </row>
    <row r="236" spans="1:115">
      <c r="A236" s="492">
        <v>232</v>
      </c>
      <c r="B236" s="492">
        <v>20</v>
      </c>
      <c r="C236" s="497">
        <f>IF(('Comparison Calculator'!$E$11-B236)&gt;=0,0,IFERROR(-PPMT($G$66/12,(A236-60),($F$1-5)*12,$G$65),0))</f>
        <v>0</v>
      </c>
      <c r="D236" s="497">
        <f>IF(('Comparison Calculator'!$E$11-B236)&gt;=0,$C$1*$G$66/12,IFERROR(-IPMT($G$66/12,(A236-60),($F$1-5)*12,$G$65,0),0))</f>
        <v>0</v>
      </c>
      <c r="E236" s="497">
        <f t="shared" si="90"/>
        <v>0</v>
      </c>
      <c r="F236" s="497">
        <f t="shared" si="103"/>
        <v>1800000</v>
      </c>
      <c r="G236" s="493"/>
      <c r="H236" s="493"/>
      <c r="I236" s="489"/>
      <c r="J236" s="492">
        <v>232</v>
      </c>
      <c r="K236" s="492">
        <v>20</v>
      </c>
      <c r="L236" s="497">
        <f>IF(('Comparison Calculator'!$E$11-K236)&gt;=0,0,IFERROR(-PPMT($P$66/12,(J236-60),($F$1-5)*12,$P$65),0))</f>
        <v>0</v>
      </c>
      <c r="M236" s="497">
        <f>IF(('Comparison Calculator'!$E$11-K236)&gt;=0,$C$1*$P$66/12,IFERROR(-IPMT($P$66/12,(J236-60),($F$1-5)*12,$P$65,0),0))</f>
        <v>0</v>
      </c>
      <c r="N236" s="497">
        <f t="shared" si="91"/>
        <v>0</v>
      </c>
      <c r="O236" s="497">
        <f t="shared" si="104"/>
        <v>1800000</v>
      </c>
      <c r="P236" s="493"/>
      <c r="Q236" s="493"/>
      <c r="S236" s="492">
        <v>232</v>
      </c>
      <c r="T236" s="492">
        <v>20</v>
      </c>
      <c r="U236" s="497">
        <f>IF(('Comparison Calculator'!$E$11-T236)&gt;=0,0,IFERROR(-PPMT($Y$66/12,(S236-60),($F$1-5)*12,$Y$65),0))</f>
        <v>0</v>
      </c>
      <c r="V236" s="497">
        <f>IF(('Comparison Calculator'!$E$11-T236)&gt;=0,$C$1*$Y$66/12,IFERROR(-IPMT($Y$66/12,(S236-60),($F$1-5)*12,$Y$65,0),0))</f>
        <v>0</v>
      </c>
      <c r="W236" s="497">
        <f t="shared" si="92"/>
        <v>0</v>
      </c>
      <c r="X236" s="497">
        <f t="shared" si="105"/>
        <v>1800000</v>
      </c>
      <c r="Y236" s="493"/>
      <c r="Z236" s="493"/>
      <c r="AB236" s="492">
        <v>232</v>
      </c>
      <c r="AC236" s="492">
        <v>20</v>
      </c>
      <c r="AD236" s="497">
        <f>IF(('Comparison Calculator'!$E$11-AC236)&gt;=0,0,IFERROR(-PPMT($AH$66/12,(AB236-60),($F$1-5)*12,$AH$65),0))</f>
        <v>0</v>
      </c>
      <c r="AE236" s="497">
        <f>IF(('Comparison Calculator'!$E$11-AC236)&gt;=0,$C$1*$AH$66/12,IFERROR(-IPMT($AH$66/12,(AB236-60),($F$1-5)*12,$AH$65,0),0))</f>
        <v>0</v>
      </c>
      <c r="AF236" s="497">
        <f t="shared" si="93"/>
        <v>0</v>
      </c>
      <c r="AG236" s="497">
        <f t="shared" si="106"/>
        <v>1800000</v>
      </c>
      <c r="AH236" s="493"/>
      <c r="AI236" s="493"/>
      <c r="AK236" s="492">
        <v>232</v>
      </c>
      <c r="AL236" s="492">
        <v>20</v>
      </c>
      <c r="AM236" s="497">
        <f>IF(('Comparison Calculator'!$E$11-AL236)&gt;=0,0,IFERROR(-PPMT($AQ$66/12,(AK236-60),($F$1-5)*12,$AQ$65),0))</f>
        <v>0</v>
      </c>
      <c r="AN236" s="497">
        <f>IF(('Comparison Calculator'!$E$11-AL236)&gt;=0,$C$1*$AQ$66/12,IFERROR(-IPMT($AQ$66/12,(AK236-60),($F$1-5)*12,$AQ$65,0),0))</f>
        <v>0</v>
      </c>
      <c r="AO236" s="497">
        <f t="shared" si="94"/>
        <v>0</v>
      </c>
      <c r="AP236" s="497">
        <f t="shared" si="107"/>
        <v>1800000</v>
      </c>
      <c r="AQ236" s="493"/>
      <c r="AR236" s="493"/>
      <c r="AT236" s="492">
        <v>232</v>
      </c>
      <c r="AU236" s="492">
        <v>20</v>
      </c>
      <c r="AV236" s="497">
        <f>IF(('Comparison Calculator'!$E$11-AU236)&gt;=0,0,IFERROR(-PPMT($AZ$66/12,(AT236-60),($F$1-5)*12,$AZ$65),0))</f>
        <v>0</v>
      </c>
      <c r="AW236" s="497">
        <f>IF(('Comparison Calculator'!$E$11-AU236)&gt;=0,$C$1*$AZ$66/12,IFERROR(-IPMT($AZ$66/12,(AT236-60),($F$1-5)*12,$AZ$65,0),0))</f>
        <v>0</v>
      </c>
      <c r="AX236" s="497">
        <f t="shared" si="95"/>
        <v>0</v>
      </c>
      <c r="AY236" s="497">
        <f t="shared" si="108"/>
        <v>1800000</v>
      </c>
      <c r="AZ236" s="493"/>
      <c r="BA236" s="493"/>
      <c r="BC236" s="492">
        <v>232</v>
      </c>
      <c r="BD236" s="492">
        <v>20</v>
      </c>
      <c r="BE236" s="497">
        <f>IF(('Comparison Calculator'!$E$11-BD236)&gt;=0,0,IFERROR(-PPMT($BI$66/12,(BC236-60),($F$1-5)*12,$BI$65),0))</f>
        <v>0</v>
      </c>
      <c r="BF236" s="497">
        <f>IF(('Comparison Calculator'!$E$11-BD236)&gt;=0,$C$1*$BI$66/12,IFERROR(-IPMT($BI$66/12,(BC236-60),($F$1-5)*12,$BI$65,0),0))</f>
        <v>0</v>
      </c>
      <c r="BG236" s="497">
        <f t="shared" si="96"/>
        <v>0</v>
      </c>
      <c r="BH236" s="497">
        <f t="shared" si="109"/>
        <v>1800000</v>
      </c>
      <c r="BI236" s="493"/>
      <c r="BJ236" s="493"/>
      <c r="BK236" s="492">
        <v>232</v>
      </c>
      <c r="BL236" s="492">
        <v>20</v>
      </c>
      <c r="BM236" s="497">
        <f>IF(('Comparison Calculator'!$E$11-BL236)&gt;=0,0,IFERROR(-PPMT($BQ$66/12,(BK236-60),($F$1-5)*12,$BQ$65),0))</f>
        <v>0</v>
      </c>
      <c r="BN236" s="497">
        <f>IF(('Comparison Calculator'!$E$11-BL236)&gt;=0,$C$1*$BQ$66/12,IFERROR(-IPMT($BQ$66/12,(BK236-60),($F$1-5)*12,$BQ$65,0),0))</f>
        <v>0</v>
      </c>
      <c r="BO236" s="497">
        <f t="shared" si="97"/>
        <v>0</v>
      </c>
      <c r="BP236" s="497">
        <f t="shared" si="110"/>
        <v>1800000</v>
      </c>
      <c r="BQ236" s="493"/>
      <c r="BR236" s="493"/>
      <c r="BT236" s="492">
        <v>232</v>
      </c>
      <c r="BU236" s="492">
        <v>20</v>
      </c>
      <c r="BV236" s="497">
        <f>IF(('Comparison Calculator'!$E$11-BU236)&gt;=0,0,IFERROR(-PPMT($BZ$66/12,(BT236-60),($F$1-5)*12,$BZ$65),0))</f>
        <v>0</v>
      </c>
      <c r="BW236" s="497">
        <f>IF(('Comparison Calculator'!$E$11-BU236)&gt;=0,$C$1*$BZ$66/12,IFERROR(-IPMT($BZ$66/12,(BT236-60),($F$1-5)*12,$BZ$65,0),0))</f>
        <v>0</v>
      </c>
      <c r="BX236" s="497">
        <f t="shared" si="98"/>
        <v>0</v>
      </c>
      <c r="BY236" s="497">
        <f t="shared" si="111"/>
        <v>1800000</v>
      </c>
      <c r="BZ236" s="493"/>
      <c r="CA236" s="493"/>
      <c r="CC236" s="492">
        <v>232</v>
      </c>
      <c r="CD236" s="492">
        <v>20</v>
      </c>
      <c r="CE236" s="497">
        <f>IF(('Comparison Calculator'!$E$11-CD236)&gt;=0,0,IFERROR(-PPMT($CI$66/12,(CC236-60),($F$1-5)*12,$CI$65),0))</f>
        <v>0</v>
      </c>
      <c r="CF236" s="497">
        <f>IF(('Comparison Calculator'!$E$11-CD236)&gt;=0,$C$1*$CI$66/12,IFERROR(-IPMT($CI$66/12,(CC236-60),($F$1-5)*12,$CI$65,0),0))</f>
        <v>0</v>
      </c>
      <c r="CG236" s="497">
        <f t="shared" si="99"/>
        <v>0</v>
      </c>
      <c r="CH236" s="497">
        <f t="shared" si="112"/>
        <v>1800000</v>
      </c>
      <c r="CI236" s="493"/>
      <c r="CJ236" s="493"/>
      <c r="CL236" s="492">
        <v>232</v>
      </c>
      <c r="CM236" s="492">
        <v>20</v>
      </c>
      <c r="CN236" s="497">
        <f>IF(('Comparison Calculator'!$E$11-CM236)&gt;=0,0,IFERROR(-PPMT($CR$66/12,(CL236-60),($F$1-5)*12,$CR$65),0))</f>
        <v>0</v>
      </c>
      <c r="CO236" s="497">
        <f>IF(('Comparison Calculator'!$E$11-CM236)&gt;=0,$C$1*$CI$66/12,IFERROR(-IPMT($CI$66/12,(CL236-60),($F$1-5)*12,$CI$65,0),0))</f>
        <v>0</v>
      </c>
      <c r="CP236" s="497">
        <f t="shared" si="100"/>
        <v>0</v>
      </c>
      <c r="CQ236" s="497">
        <f t="shared" si="113"/>
        <v>1800000</v>
      </c>
      <c r="CR236" s="493"/>
      <c r="CS236" s="493"/>
      <c r="CU236" s="492">
        <v>232</v>
      </c>
      <c r="CV236" s="492">
        <v>20</v>
      </c>
      <c r="CW236" s="497">
        <f>IF(('Comparison Calculator'!$E$11-CV236)&gt;=0,0,IFERROR(-PPMT($DA$66/12,(CU236-60),($F$1-5)*12,$DA$65),0))</f>
        <v>0</v>
      </c>
      <c r="CX236" s="497">
        <f>IF(('Comparison Calculator'!$E$11-CV236)&gt;=0,$C$1*$DA$66/12,IFERROR(-IPMT($DA$66/12,(CU236-60),($F$1-5)*12,$DA$65,0),0))</f>
        <v>0</v>
      </c>
      <c r="CY236" s="497">
        <f t="shared" si="101"/>
        <v>0</v>
      </c>
      <c r="CZ236" s="497">
        <f t="shared" si="114"/>
        <v>1800000</v>
      </c>
      <c r="DA236" s="493"/>
      <c r="DB236" s="493"/>
      <c r="DD236" s="492">
        <v>232</v>
      </c>
      <c r="DE236" s="492">
        <v>20</v>
      </c>
      <c r="DF236" s="497">
        <f>IF(('Comparison Calculator'!$E$11-DE236)&gt;=0,0,IFERROR(-PPMT($DJ$66/12,(DD236-60),($F$1-5)*12,$DJ$65),0))</f>
        <v>0</v>
      </c>
      <c r="DG236" s="497">
        <f>IF(('Comparison Calculator'!$E$11-DE236)&gt;=0,$C$1*$DJ$66/12,IFERROR(-IPMT($DJ$66/12,(DD236-60),($F$1-5)*12,$DJ$65,0),0))</f>
        <v>0</v>
      </c>
      <c r="DH236" s="497">
        <f t="shared" si="102"/>
        <v>0</v>
      </c>
      <c r="DI236" s="497">
        <f t="shared" si="115"/>
        <v>1800000</v>
      </c>
      <c r="DJ236" s="493"/>
      <c r="DK236" s="493"/>
    </row>
    <row r="237" spans="1:115">
      <c r="A237" s="492">
        <v>233</v>
      </c>
      <c r="B237" s="492">
        <v>20</v>
      </c>
      <c r="C237" s="497">
        <f>IF(('Comparison Calculator'!$E$11-B237)&gt;=0,0,IFERROR(-PPMT($G$66/12,(A237-60),($F$1-5)*12,$G$65),0))</f>
        <v>0</v>
      </c>
      <c r="D237" s="497">
        <f>IF(('Comparison Calculator'!$E$11-B237)&gt;=0,$C$1*$G$66/12,IFERROR(-IPMT($G$66/12,(A237-60),($F$1-5)*12,$G$65,0),0))</f>
        <v>0</v>
      </c>
      <c r="E237" s="497">
        <f t="shared" si="90"/>
        <v>0</v>
      </c>
      <c r="F237" s="497">
        <f t="shared" si="103"/>
        <v>1800000</v>
      </c>
      <c r="G237" s="493"/>
      <c r="H237" s="493"/>
      <c r="I237" s="489"/>
      <c r="J237" s="492">
        <v>233</v>
      </c>
      <c r="K237" s="492">
        <v>20</v>
      </c>
      <c r="L237" s="497">
        <f>IF(('Comparison Calculator'!$E$11-K237)&gt;=0,0,IFERROR(-PPMT($P$66/12,(J237-60),($F$1-5)*12,$P$65),0))</f>
        <v>0</v>
      </c>
      <c r="M237" s="497">
        <f>IF(('Comparison Calculator'!$E$11-K237)&gt;=0,$C$1*$P$66/12,IFERROR(-IPMT($P$66/12,(J237-60),($F$1-5)*12,$P$65,0),0))</f>
        <v>0</v>
      </c>
      <c r="N237" s="497">
        <f t="shared" si="91"/>
        <v>0</v>
      </c>
      <c r="O237" s="497">
        <f t="shared" si="104"/>
        <v>1800000</v>
      </c>
      <c r="P237" s="493"/>
      <c r="Q237" s="493"/>
      <c r="S237" s="492">
        <v>233</v>
      </c>
      <c r="T237" s="492">
        <v>20</v>
      </c>
      <c r="U237" s="497">
        <f>IF(('Comparison Calculator'!$E$11-T237)&gt;=0,0,IFERROR(-PPMT($Y$66/12,(S237-60),($F$1-5)*12,$Y$65),0))</f>
        <v>0</v>
      </c>
      <c r="V237" s="497">
        <f>IF(('Comparison Calculator'!$E$11-T237)&gt;=0,$C$1*$Y$66/12,IFERROR(-IPMT($Y$66/12,(S237-60),($F$1-5)*12,$Y$65,0),0))</f>
        <v>0</v>
      </c>
      <c r="W237" s="497">
        <f t="shared" si="92"/>
        <v>0</v>
      </c>
      <c r="X237" s="497">
        <f t="shared" si="105"/>
        <v>1800000</v>
      </c>
      <c r="Y237" s="493"/>
      <c r="Z237" s="493"/>
      <c r="AB237" s="492">
        <v>233</v>
      </c>
      <c r="AC237" s="492">
        <v>20</v>
      </c>
      <c r="AD237" s="497">
        <f>IF(('Comparison Calculator'!$E$11-AC237)&gt;=0,0,IFERROR(-PPMT($AH$66/12,(AB237-60),($F$1-5)*12,$AH$65),0))</f>
        <v>0</v>
      </c>
      <c r="AE237" s="497">
        <f>IF(('Comparison Calculator'!$E$11-AC237)&gt;=0,$C$1*$AH$66/12,IFERROR(-IPMT($AH$66/12,(AB237-60),($F$1-5)*12,$AH$65,0),0))</f>
        <v>0</v>
      </c>
      <c r="AF237" s="497">
        <f t="shared" si="93"/>
        <v>0</v>
      </c>
      <c r="AG237" s="497">
        <f t="shared" si="106"/>
        <v>1800000</v>
      </c>
      <c r="AH237" s="493"/>
      <c r="AI237" s="493"/>
      <c r="AK237" s="492">
        <v>233</v>
      </c>
      <c r="AL237" s="492">
        <v>20</v>
      </c>
      <c r="AM237" s="497">
        <f>IF(('Comparison Calculator'!$E$11-AL237)&gt;=0,0,IFERROR(-PPMT($AQ$66/12,(AK237-60),($F$1-5)*12,$AQ$65),0))</f>
        <v>0</v>
      </c>
      <c r="AN237" s="497">
        <f>IF(('Comparison Calculator'!$E$11-AL237)&gt;=0,$C$1*$AQ$66/12,IFERROR(-IPMT($AQ$66/12,(AK237-60),($F$1-5)*12,$AQ$65,0),0))</f>
        <v>0</v>
      </c>
      <c r="AO237" s="497">
        <f t="shared" si="94"/>
        <v>0</v>
      </c>
      <c r="AP237" s="497">
        <f t="shared" si="107"/>
        <v>1800000</v>
      </c>
      <c r="AQ237" s="493"/>
      <c r="AR237" s="493"/>
      <c r="AT237" s="492">
        <v>233</v>
      </c>
      <c r="AU237" s="492">
        <v>20</v>
      </c>
      <c r="AV237" s="497">
        <f>IF(('Comparison Calculator'!$E$11-AU237)&gt;=0,0,IFERROR(-PPMT($AZ$66/12,(AT237-60),($F$1-5)*12,$AZ$65),0))</f>
        <v>0</v>
      </c>
      <c r="AW237" s="497">
        <f>IF(('Comparison Calculator'!$E$11-AU237)&gt;=0,$C$1*$AZ$66/12,IFERROR(-IPMT($AZ$66/12,(AT237-60),($F$1-5)*12,$AZ$65,0),0))</f>
        <v>0</v>
      </c>
      <c r="AX237" s="497">
        <f t="shared" si="95"/>
        <v>0</v>
      </c>
      <c r="AY237" s="497">
        <f t="shared" si="108"/>
        <v>1800000</v>
      </c>
      <c r="AZ237" s="493"/>
      <c r="BA237" s="493"/>
      <c r="BC237" s="492">
        <v>233</v>
      </c>
      <c r="BD237" s="492">
        <v>20</v>
      </c>
      <c r="BE237" s="497">
        <f>IF(('Comparison Calculator'!$E$11-BD237)&gt;=0,0,IFERROR(-PPMT($BI$66/12,(BC237-60),($F$1-5)*12,$BI$65),0))</f>
        <v>0</v>
      </c>
      <c r="BF237" s="497">
        <f>IF(('Comparison Calculator'!$E$11-BD237)&gt;=0,$C$1*$BI$66/12,IFERROR(-IPMT($BI$66/12,(BC237-60),($F$1-5)*12,$BI$65,0),0))</f>
        <v>0</v>
      </c>
      <c r="BG237" s="497">
        <f t="shared" si="96"/>
        <v>0</v>
      </c>
      <c r="BH237" s="497">
        <f t="shared" si="109"/>
        <v>1800000</v>
      </c>
      <c r="BI237" s="493"/>
      <c r="BJ237" s="493"/>
      <c r="BK237" s="492">
        <v>233</v>
      </c>
      <c r="BL237" s="492">
        <v>20</v>
      </c>
      <c r="BM237" s="497">
        <f>IF(('Comparison Calculator'!$E$11-BL237)&gt;=0,0,IFERROR(-PPMT($BQ$66/12,(BK237-60),($F$1-5)*12,$BQ$65),0))</f>
        <v>0</v>
      </c>
      <c r="BN237" s="497">
        <f>IF(('Comparison Calculator'!$E$11-BL237)&gt;=0,$C$1*$BQ$66/12,IFERROR(-IPMT($BQ$66/12,(BK237-60),($F$1-5)*12,$BQ$65,0),0))</f>
        <v>0</v>
      </c>
      <c r="BO237" s="497">
        <f t="shared" si="97"/>
        <v>0</v>
      </c>
      <c r="BP237" s="497">
        <f t="shared" si="110"/>
        <v>1800000</v>
      </c>
      <c r="BQ237" s="493"/>
      <c r="BR237" s="493"/>
      <c r="BT237" s="492">
        <v>233</v>
      </c>
      <c r="BU237" s="492">
        <v>20</v>
      </c>
      <c r="BV237" s="497">
        <f>IF(('Comparison Calculator'!$E$11-BU237)&gt;=0,0,IFERROR(-PPMT($BZ$66/12,(BT237-60),($F$1-5)*12,$BZ$65),0))</f>
        <v>0</v>
      </c>
      <c r="BW237" s="497">
        <f>IF(('Comparison Calculator'!$E$11-BU237)&gt;=0,$C$1*$BZ$66/12,IFERROR(-IPMT($BZ$66/12,(BT237-60),($F$1-5)*12,$BZ$65,0),0))</f>
        <v>0</v>
      </c>
      <c r="BX237" s="497">
        <f t="shared" si="98"/>
        <v>0</v>
      </c>
      <c r="BY237" s="497">
        <f t="shared" si="111"/>
        <v>1800000</v>
      </c>
      <c r="BZ237" s="493"/>
      <c r="CA237" s="493"/>
      <c r="CC237" s="492">
        <v>233</v>
      </c>
      <c r="CD237" s="492">
        <v>20</v>
      </c>
      <c r="CE237" s="497">
        <f>IF(('Comparison Calculator'!$E$11-CD237)&gt;=0,0,IFERROR(-PPMT($CI$66/12,(CC237-60),($F$1-5)*12,$CI$65),0))</f>
        <v>0</v>
      </c>
      <c r="CF237" s="497">
        <f>IF(('Comparison Calculator'!$E$11-CD237)&gt;=0,$C$1*$CI$66/12,IFERROR(-IPMT($CI$66/12,(CC237-60),($F$1-5)*12,$CI$65,0),0))</f>
        <v>0</v>
      </c>
      <c r="CG237" s="497">
        <f t="shared" si="99"/>
        <v>0</v>
      </c>
      <c r="CH237" s="497">
        <f t="shared" si="112"/>
        <v>1800000</v>
      </c>
      <c r="CI237" s="493"/>
      <c r="CJ237" s="493"/>
      <c r="CL237" s="492">
        <v>233</v>
      </c>
      <c r="CM237" s="492">
        <v>20</v>
      </c>
      <c r="CN237" s="497">
        <f>IF(('Comparison Calculator'!$E$11-CM237)&gt;=0,0,IFERROR(-PPMT($CR$66/12,(CL237-60),($F$1-5)*12,$CR$65),0))</f>
        <v>0</v>
      </c>
      <c r="CO237" s="497">
        <f>IF(('Comparison Calculator'!$E$11-CM237)&gt;=0,$C$1*$CI$66/12,IFERROR(-IPMT($CI$66/12,(CL237-60),($F$1-5)*12,$CI$65,0),0))</f>
        <v>0</v>
      </c>
      <c r="CP237" s="497">
        <f t="shared" si="100"/>
        <v>0</v>
      </c>
      <c r="CQ237" s="497">
        <f t="shared" si="113"/>
        <v>1800000</v>
      </c>
      <c r="CR237" s="493"/>
      <c r="CS237" s="493"/>
      <c r="CU237" s="492">
        <v>233</v>
      </c>
      <c r="CV237" s="492">
        <v>20</v>
      </c>
      <c r="CW237" s="497">
        <f>IF(('Comparison Calculator'!$E$11-CV237)&gt;=0,0,IFERROR(-PPMT($DA$66/12,(CU237-60),($F$1-5)*12,$DA$65),0))</f>
        <v>0</v>
      </c>
      <c r="CX237" s="497">
        <f>IF(('Comparison Calculator'!$E$11-CV237)&gt;=0,$C$1*$DA$66/12,IFERROR(-IPMT($DA$66/12,(CU237-60),($F$1-5)*12,$DA$65,0),0))</f>
        <v>0</v>
      </c>
      <c r="CY237" s="497">
        <f t="shared" si="101"/>
        <v>0</v>
      </c>
      <c r="CZ237" s="497">
        <f t="shared" si="114"/>
        <v>1800000</v>
      </c>
      <c r="DA237" s="493"/>
      <c r="DB237" s="493"/>
      <c r="DD237" s="492">
        <v>233</v>
      </c>
      <c r="DE237" s="492">
        <v>20</v>
      </c>
      <c r="DF237" s="497">
        <f>IF(('Comparison Calculator'!$E$11-DE237)&gt;=0,0,IFERROR(-PPMT($DJ$66/12,(DD237-60),($F$1-5)*12,$DJ$65),0))</f>
        <v>0</v>
      </c>
      <c r="DG237" s="497">
        <f>IF(('Comparison Calculator'!$E$11-DE237)&gt;=0,$C$1*$DJ$66/12,IFERROR(-IPMT($DJ$66/12,(DD237-60),($F$1-5)*12,$DJ$65,0),0))</f>
        <v>0</v>
      </c>
      <c r="DH237" s="497">
        <f t="shared" si="102"/>
        <v>0</v>
      </c>
      <c r="DI237" s="497">
        <f t="shared" si="115"/>
        <v>1800000</v>
      </c>
      <c r="DJ237" s="493"/>
      <c r="DK237" s="493"/>
    </row>
    <row r="238" spans="1:115">
      <c r="A238" s="492">
        <v>234</v>
      </c>
      <c r="B238" s="492">
        <v>20</v>
      </c>
      <c r="C238" s="497">
        <f>IF(('Comparison Calculator'!$E$11-B238)&gt;=0,0,IFERROR(-PPMT($G$66/12,(A238-60),($F$1-5)*12,$G$65),0))</f>
        <v>0</v>
      </c>
      <c r="D238" s="497">
        <f>IF(('Comparison Calculator'!$E$11-B238)&gt;=0,$C$1*$G$66/12,IFERROR(-IPMT($G$66/12,(A238-60),($F$1-5)*12,$G$65,0),0))</f>
        <v>0</v>
      </c>
      <c r="E238" s="497">
        <f t="shared" si="90"/>
        <v>0</v>
      </c>
      <c r="F238" s="497">
        <f t="shared" si="103"/>
        <v>1800000</v>
      </c>
      <c r="G238" s="493"/>
      <c r="H238" s="493"/>
      <c r="I238" s="489"/>
      <c r="J238" s="492">
        <v>234</v>
      </c>
      <c r="K238" s="492">
        <v>20</v>
      </c>
      <c r="L238" s="497">
        <f>IF(('Comparison Calculator'!$E$11-K238)&gt;=0,0,IFERROR(-PPMT($P$66/12,(J238-60),($F$1-5)*12,$P$65),0))</f>
        <v>0</v>
      </c>
      <c r="M238" s="497">
        <f>IF(('Comparison Calculator'!$E$11-K238)&gt;=0,$C$1*$P$66/12,IFERROR(-IPMT($P$66/12,(J238-60),($F$1-5)*12,$P$65,0),0))</f>
        <v>0</v>
      </c>
      <c r="N238" s="497">
        <f t="shared" si="91"/>
        <v>0</v>
      </c>
      <c r="O238" s="497">
        <f t="shared" si="104"/>
        <v>1800000</v>
      </c>
      <c r="P238" s="493"/>
      <c r="Q238" s="493"/>
      <c r="S238" s="492">
        <v>234</v>
      </c>
      <c r="T238" s="492">
        <v>20</v>
      </c>
      <c r="U238" s="497">
        <f>IF(('Comparison Calculator'!$E$11-T238)&gt;=0,0,IFERROR(-PPMT($Y$66/12,(S238-60),($F$1-5)*12,$Y$65),0))</f>
        <v>0</v>
      </c>
      <c r="V238" s="497">
        <f>IF(('Comparison Calculator'!$E$11-T238)&gt;=0,$C$1*$Y$66/12,IFERROR(-IPMT($Y$66/12,(S238-60),($F$1-5)*12,$Y$65,0),0))</f>
        <v>0</v>
      </c>
      <c r="W238" s="497">
        <f t="shared" si="92"/>
        <v>0</v>
      </c>
      <c r="X238" s="497">
        <f t="shared" si="105"/>
        <v>1800000</v>
      </c>
      <c r="Y238" s="493"/>
      <c r="Z238" s="493"/>
      <c r="AB238" s="492">
        <v>234</v>
      </c>
      <c r="AC238" s="492">
        <v>20</v>
      </c>
      <c r="AD238" s="497">
        <f>IF(('Comparison Calculator'!$E$11-AC238)&gt;=0,0,IFERROR(-PPMT($AH$66/12,(AB238-60),($F$1-5)*12,$AH$65),0))</f>
        <v>0</v>
      </c>
      <c r="AE238" s="497">
        <f>IF(('Comparison Calculator'!$E$11-AC238)&gt;=0,$C$1*$AH$66/12,IFERROR(-IPMT($AH$66/12,(AB238-60),($F$1-5)*12,$AH$65,0),0))</f>
        <v>0</v>
      </c>
      <c r="AF238" s="497">
        <f t="shared" si="93"/>
        <v>0</v>
      </c>
      <c r="AG238" s="497">
        <f t="shared" si="106"/>
        <v>1800000</v>
      </c>
      <c r="AH238" s="493"/>
      <c r="AI238" s="493"/>
      <c r="AK238" s="492">
        <v>234</v>
      </c>
      <c r="AL238" s="492">
        <v>20</v>
      </c>
      <c r="AM238" s="497">
        <f>IF(('Comparison Calculator'!$E$11-AL238)&gt;=0,0,IFERROR(-PPMT($AQ$66/12,(AK238-60),($F$1-5)*12,$AQ$65),0))</f>
        <v>0</v>
      </c>
      <c r="AN238" s="497">
        <f>IF(('Comparison Calculator'!$E$11-AL238)&gt;=0,$C$1*$AQ$66/12,IFERROR(-IPMT($AQ$66/12,(AK238-60),($F$1-5)*12,$AQ$65,0),0))</f>
        <v>0</v>
      </c>
      <c r="AO238" s="497">
        <f t="shared" si="94"/>
        <v>0</v>
      </c>
      <c r="AP238" s="497">
        <f t="shared" si="107"/>
        <v>1800000</v>
      </c>
      <c r="AQ238" s="493"/>
      <c r="AR238" s="493"/>
      <c r="AT238" s="492">
        <v>234</v>
      </c>
      <c r="AU238" s="492">
        <v>20</v>
      </c>
      <c r="AV238" s="497">
        <f>IF(('Comparison Calculator'!$E$11-AU238)&gt;=0,0,IFERROR(-PPMT($AZ$66/12,(AT238-60),($F$1-5)*12,$AZ$65),0))</f>
        <v>0</v>
      </c>
      <c r="AW238" s="497">
        <f>IF(('Comparison Calculator'!$E$11-AU238)&gt;=0,$C$1*$AZ$66/12,IFERROR(-IPMT($AZ$66/12,(AT238-60),($F$1-5)*12,$AZ$65,0),0))</f>
        <v>0</v>
      </c>
      <c r="AX238" s="497">
        <f t="shared" si="95"/>
        <v>0</v>
      </c>
      <c r="AY238" s="497">
        <f t="shared" si="108"/>
        <v>1800000</v>
      </c>
      <c r="AZ238" s="493"/>
      <c r="BA238" s="493"/>
      <c r="BC238" s="492">
        <v>234</v>
      </c>
      <c r="BD238" s="492">
        <v>20</v>
      </c>
      <c r="BE238" s="497">
        <f>IF(('Comparison Calculator'!$E$11-BD238)&gt;=0,0,IFERROR(-PPMT($BI$66/12,(BC238-60),($F$1-5)*12,$BI$65),0))</f>
        <v>0</v>
      </c>
      <c r="BF238" s="497">
        <f>IF(('Comparison Calculator'!$E$11-BD238)&gt;=0,$C$1*$BI$66/12,IFERROR(-IPMT($BI$66/12,(BC238-60),($F$1-5)*12,$BI$65,0),0))</f>
        <v>0</v>
      </c>
      <c r="BG238" s="497">
        <f t="shared" si="96"/>
        <v>0</v>
      </c>
      <c r="BH238" s="497">
        <f t="shared" si="109"/>
        <v>1800000</v>
      </c>
      <c r="BI238" s="493"/>
      <c r="BJ238" s="493"/>
      <c r="BK238" s="492">
        <v>234</v>
      </c>
      <c r="BL238" s="492">
        <v>20</v>
      </c>
      <c r="BM238" s="497">
        <f>IF(('Comparison Calculator'!$E$11-BL238)&gt;=0,0,IFERROR(-PPMT($BQ$66/12,(BK238-60),($F$1-5)*12,$BQ$65),0))</f>
        <v>0</v>
      </c>
      <c r="BN238" s="497">
        <f>IF(('Comparison Calculator'!$E$11-BL238)&gt;=0,$C$1*$BQ$66/12,IFERROR(-IPMT($BQ$66/12,(BK238-60),($F$1-5)*12,$BQ$65,0),0))</f>
        <v>0</v>
      </c>
      <c r="BO238" s="497">
        <f t="shared" si="97"/>
        <v>0</v>
      </c>
      <c r="BP238" s="497">
        <f t="shared" si="110"/>
        <v>1800000</v>
      </c>
      <c r="BQ238" s="493"/>
      <c r="BR238" s="493"/>
      <c r="BT238" s="492">
        <v>234</v>
      </c>
      <c r="BU238" s="492">
        <v>20</v>
      </c>
      <c r="BV238" s="497">
        <f>IF(('Comparison Calculator'!$E$11-BU238)&gt;=0,0,IFERROR(-PPMT($BZ$66/12,(BT238-60),($F$1-5)*12,$BZ$65),0))</f>
        <v>0</v>
      </c>
      <c r="BW238" s="497">
        <f>IF(('Comparison Calculator'!$E$11-BU238)&gt;=0,$C$1*$BZ$66/12,IFERROR(-IPMT($BZ$66/12,(BT238-60),($F$1-5)*12,$BZ$65,0),0))</f>
        <v>0</v>
      </c>
      <c r="BX238" s="497">
        <f t="shared" si="98"/>
        <v>0</v>
      </c>
      <c r="BY238" s="497">
        <f t="shared" si="111"/>
        <v>1800000</v>
      </c>
      <c r="BZ238" s="493"/>
      <c r="CA238" s="493"/>
      <c r="CC238" s="492">
        <v>234</v>
      </c>
      <c r="CD238" s="492">
        <v>20</v>
      </c>
      <c r="CE238" s="497">
        <f>IF(('Comparison Calculator'!$E$11-CD238)&gt;=0,0,IFERROR(-PPMT($CI$66/12,(CC238-60),($F$1-5)*12,$CI$65),0))</f>
        <v>0</v>
      </c>
      <c r="CF238" s="497">
        <f>IF(('Comparison Calculator'!$E$11-CD238)&gt;=0,$C$1*$CI$66/12,IFERROR(-IPMT($CI$66/12,(CC238-60),($F$1-5)*12,$CI$65,0),0))</f>
        <v>0</v>
      </c>
      <c r="CG238" s="497">
        <f t="shared" si="99"/>
        <v>0</v>
      </c>
      <c r="CH238" s="497">
        <f t="shared" si="112"/>
        <v>1800000</v>
      </c>
      <c r="CI238" s="493"/>
      <c r="CJ238" s="493"/>
      <c r="CL238" s="492">
        <v>234</v>
      </c>
      <c r="CM238" s="492">
        <v>20</v>
      </c>
      <c r="CN238" s="497">
        <f>IF(('Comparison Calculator'!$E$11-CM238)&gt;=0,0,IFERROR(-PPMT($CR$66/12,(CL238-60),($F$1-5)*12,$CR$65),0))</f>
        <v>0</v>
      </c>
      <c r="CO238" s="497">
        <f>IF(('Comparison Calculator'!$E$11-CM238)&gt;=0,$C$1*$CI$66/12,IFERROR(-IPMT($CI$66/12,(CL238-60),($F$1-5)*12,$CI$65,0),0))</f>
        <v>0</v>
      </c>
      <c r="CP238" s="497">
        <f t="shared" si="100"/>
        <v>0</v>
      </c>
      <c r="CQ238" s="497">
        <f t="shared" si="113"/>
        <v>1800000</v>
      </c>
      <c r="CR238" s="493"/>
      <c r="CS238" s="493"/>
      <c r="CU238" s="492">
        <v>234</v>
      </c>
      <c r="CV238" s="492">
        <v>20</v>
      </c>
      <c r="CW238" s="497">
        <f>IF(('Comparison Calculator'!$E$11-CV238)&gt;=0,0,IFERROR(-PPMT($DA$66/12,(CU238-60),($F$1-5)*12,$DA$65),0))</f>
        <v>0</v>
      </c>
      <c r="CX238" s="497">
        <f>IF(('Comparison Calculator'!$E$11-CV238)&gt;=0,$C$1*$DA$66/12,IFERROR(-IPMT($DA$66/12,(CU238-60),($F$1-5)*12,$DA$65,0),0))</f>
        <v>0</v>
      </c>
      <c r="CY238" s="497">
        <f t="shared" si="101"/>
        <v>0</v>
      </c>
      <c r="CZ238" s="497">
        <f t="shared" si="114"/>
        <v>1800000</v>
      </c>
      <c r="DA238" s="493"/>
      <c r="DB238" s="493"/>
      <c r="DD238" s="492">
        <v>234</v>
      </c>
      <c r="DE238" s="492">
        <v>20</v>
      </c>
      <c r="DF238" s="497">
        <f>IF(('Comparison Calculator'!$E$11-DE238)&gt;=0,0,IFERROR(-PPMT($DJ$66/12,(DD238-60),($F$1-5)*12,$DJ$65),0))</f>
        <v>0</v>
      </c>
      <c r="DG238" s="497">
        <f>IF(('Comparison Calculator'!$E$11-DE238)&gt;=0,$C$1*$DJ$66/12,IFERROR(-IPMT($DJ$66/12,(DD238-60),($F$1-5)*12,$DJ$65,0),0))</f>
        <v>0</v>
      </c>
      <c r="DH238" s="497">
        <f t="shared" si="102"/>
        <v>0</v>
      </c>
      <c r="DI238" s="497">
        <f t="shared" si="115"/>
        <v>1800000</v>
      </c>
      <c r="DJ238" s="493"/>
      <c r="DK238" s="493"/>
    </row>
    <row r="239" spans="1:115">
      <c r="A239" s="492">
        <v>235</v>
      </c>
      <c r="B239" s="492">
        <v>20</v>
      </c>
      <c r="C239" s="497">
        <f>IF(('Comparison Calculator'!$E$11-B239)&gt;=0,0,IFERROR(-PPMT($G$66/12,(A239-60),($F$1-5)*12,$G$65),0))</f>
        <v>0</v>
      </c>
      <c r="D239" s="497">
        <f>IF(('Comparison Calculator'!$E$11-B239)&gt;=0,$C$1*$G$66/12,IFERROR(-IPMT($G$66/12,(A239-60),($F$1-5)*12,$G$65,0),0))</f>
        <v>0</v>
      </c>
      <c r="E239" s="497">
        <f t="shared" si="90"/>
        <v>0</v>
      </c>
      <c r="F239" s="497">
        <f t="shared" si="103"/>
        <v>1800000</v>
      </c>
      <c r="G239" s="493"/>
      <c r="H239" s="493"/>
      <c r="I239" s="489"/>
      <c r="J239" s="492">
        <v>235</v>
      </c>
      <c r="K239" s="492">
        <v>20</v>
      </c>
      <c r="L239" s="497">
        <f>IF(('Comparison Calculator'!$E$11-K239)&gt;=0,0,IFERROR(-PPMT($P$66/12,(J239-60),($F$1-5)*12,$P$65),0))</f>
        <v>0</v>
      </c>
      <c r="M239" s="497">
        <f>IF(('Comparison Calculator'!$E$11-K239)&gt;=0,$C$1*$P$66/12,IFERROR(-IPMT($P$66/12,(J239-60),($F$1-5)*12,$P$65,0),0))</f>
        <v>0</v>
      </c>
      <c r="N239" s="497">
        <f t="shared" si="91"/>
        <v>0</v>
      </c>
      <c r="O239" s="497">
        <f t="shared" si="104"/>
        <v>1800000</v>
      </c>
      <c r="P239" s="493"/>
      <c r="Q239" s="493"/>
      <c r="S239" s="492">
        <v>235</v>
      </c>
      <c r="T239" s="492">
        <v>20</v>
      </c>
      <c r="U239" s="497">
        <f>IF(('Comparison Calculator'!$E$11-T239)&gt;=0,0,IFERROR(-PPMT($Y$66/12,(S239-60),($F$1-5)*12,$Y$65),0))</f>
        <v>0</v>
      </c>
      <c r="V239" s="497">
        <f>IF(('Comparison Calculator'!$E$11-T239)&gt;=0,$C$1*$Y$66/12,IFERROR(-IPMT($Y$66/12,(S239-60),($F$1-5)*12,$Y$65,0),0))</f>
        <v>0</v>
      </c>
      <c r="W239" s="497">
        <f t="shared" si="92"/>
        <v>0</v>
      </c>
      <c r="X239" s="497">
        <f t="shared" si="105"/>
        <v>1800000</v>
      </c>
      <c r="Y239" s="493"/>
      <c r="Z239" s="493"/>
      <c r="AB239" s="492">
        <v>235</v>
      </c>
      <c r="AC239" s="492">
        <v>20</v>
      </c>
      <c r="AD239" s="497">
        <f>IF(('Comparison Calculator'!$E$11-AC239)&gt;=0,0,IFERROR(-PPMT($AH$66/12,(AB239-60),($F$1-5)*12,$AH$65),0))</f>
        <v>0</v>
      </c>
      <c r="AE239" s="497">
        <f>IF(('Comparison Calculator'!$E$11-AC239)&gt;=0,$C$1*$AH$66/12,IFERROR(-IPMT($AH$66/12,(AB239-60),($F$1-5)*12,$AH$65,0),0))</f>
        <v>0</v>
      </c>
      <c r="AF239" s="497">
        <f t="shared" si="93"/>
        <v>0</v>
      </c>
      <c r="AG239" s="497">
        <f t="shared" si="106"/>
        <v>1800000</v>
      </c>
      <c r="AH239" s="493"/>
      <c r="AI239" s="493"/>
      <c r="AK239" s="492">
        <v>235</v>
      </c>
      <c r="AL239" s="492">
        <v>20</v>
      </c>
      <c r="AM239" s="497">
        <f>IF(('Comparison Calculator'!$E$11-AL239)&gt;=0,0,IFERROR(-PPMT($AQ$66/12,(AK239-60),($F$1-5)*12,$AQ$65),0))</f>
        <v>0</v>
      </c>
      <c r="AN239" s="497">
        <f>IF(('Comparison Calculator'!$E$11-AL239)&gt;=0,$C$1*$AQ$66/12,IFERROR(-IPMT($AQ$66/12,(AK239-60),($F$1-5)*12,$AQ$65,0),0))</f>
        <v>0</v>
      </c>
      <c r="AO239" s="497">
        <f t="shared" si="94"/>
        <v>0</v>
      </c>
      <c r="AP239" s="497">
        <f t="shared" si="107"/>
        <v>1800000</v>
      </c>
      <c r="AQ239" s="493"/>
      <c r="AR239" s="493"/>
      <c r="AT239" s="492">
        <v>235</v>
      </c>
      <c r="AU239" s="492">
        <v>20</v>
      </c>
      <c r="AV239" s="497">
        <f>IF(('Comparison Calculator'!$E$11-AU239)&gt;=0,0,IFERROR(-PPMT($AZ$66/12,(AT239-60),($F$1-5)*12,$AZ$65),0))</f>
        <v>0</v>
      </c>
      <c r="AW239" s="497">
        <f>IF(('Comparison Calculator'!$E$11-AU239)&gt;=0,$C$1*$AZ$66/12,IFERROR(-IPMT($AZ$66/12,(AT239-60),($F$1-5)*12,$AZ$65,0),0))</f>
        <v>0</v>
      </c>
      <c r="AX239" s="497">
        <f t="shared" si="95"/>
        <v>0</v>
      </c>
      <c r="AY239" s="497">
        <f t="shared" si="108"/>
        <v>1800000</v>
      </c>
      <c r="AZ239" s="493"/>
      <c r="BA239" s="493"/>
      <c r="BC239" s="492">
        <v>235</v>
      </c>
      <c r="BD239" s="492">
        <v>20</v>
      </c>
      <c r="BE239" s="497">
        <f>IF(('Comparison Calculator'!$E$11-BD239)&gt;=0,0,IFERROR(-PPMT($BI$66/12,(BC239-60),($F$1-5)*12,$BI$65),0))</f>
        <v>0</v>
      </c>
      <c r="BF239" s="497">
        <f>IF(('Comparison Calculator'!$E$11-BD239)&gt;=0,$C$1*$BI$66/12,IFERROR(-IPMT($BI$66/12,(BC239-60),($F$1-5)*12,$BI$65,0),0))</f>
        <v>0</v>
      </c>
      <c r="BG239" s="497">
        <f t="shared" si="96"/>
        <v>0</v>
      </c>
      <c r="BH239" s="497">
        <f t="shared" si="109"/>
        <v>1800000</v>
      </c>
      <c r="BI239" s="493"/>
      <c r="BJ239" s="493"/>
      <c r="BK239" s="492">
        <v>235</v>
      </c>
      <c r="BL239" s="492">
        <v>20</v>
      </c>
      <c r="BM239" s="497">
        <f>IF(('Comparison Calculator'!$E$11-BL239)&gt;=0,0,IFERROR(-PPMT($BQ$66/12,(BK239-60),($F$1-5)*12,$BQ$65),0))</f>
        <v>0</v>
      </c>
      <c r="BN239" s="497">
        <f>IF(('Comparison Calculator'!$E$11-BL239)&gt;=0,$C$1*$BQ$66/12,IFERROR(-IPMT($BQ$66/12,(BK239-60),($F$1-5)*12,$BQ$65,0),0))</f>
        <v>0</v>
      </c>
      <c r="BO239" s="497">
        <f t="shared" si="97"/>
        <v>0</v>
      </c>
      <c r="BP239" s="497">
        <f t="shared" si="110"/>
        <v>1800000</v>
      </c>
      <c r="BQ239" s="493"/>
      <c r="BR239" s="493"/>
      <c r="BT239" s="492">
        <v>235</v>
      </c>
      <c r="BU239" s="492">
        <v>20</v>
      </c>
      <c r="BV239" s="497">
        <f>IF(('Comparison Calculator'!$E$11-BU239)&gt;=0,0,IFERROR(-PPMT($BZ$66/12,(BT239-60),($F$1-5)*12,$BZ$65),0))</f>
        <v>0</v>
      </c>
      <c r="BW239" s="497">
        <f>IF(('Comparison Calculator'!$E$11-BU239)&gt;=0,$C$1*$BZ$66/12,IFERROR(-IPMT($BZ$66/12,(BT239-60),($F$1-5)*12,$BZ$65,0),0))</f>
        <v>0</v>
      </c>
      <c r="BX239" s="497">
        <f t="shared" si="98"/>
        <v>0</v>
      </c>
      <c r="BY239" s="497">
        <f t="shared" si="111"/>
        <v>1800000</v>
      </c>
      <c r="BZ239" s="493"/>
      <c r="CA239" s="493"/>
      <c r="CC239" s="492">
        <v>235</v>
      </c>
      <c r="CD239" s="492">
        <v>20</v>
      </c>
      <c r="CE239" s="497">
        <f>IF(('Comparison Calculator'!$E$11-CD239)&gt;=0,0,IFERROR(-PPMT($CI$66/12,(CC239-60),($F$1-5)*12,$CI$65),0))</f>
        <v>0</v>
      </c>
      <c r="CF239" s="497">
        <f>IF(('Comparison Calculator'!$E$11-CD239)&gt;=0,$C$1*$CI$66/12,IFERROR(-IPMT($CI$66/12,(CC239-60),($F$1-5)*12,$CI$65,0),0))</f>
        <v>0</v>
      </c>
      <c r="CG239" s="497">
        <f t="shared" si="99"/>
        <v>0</v>
      </c>
      <c r="CH239" s="497">
        <f t="shared" si="112"/>
        <v>1800000</v>
      </c>
      <c r="CI239" s="493"/>
      <c r="CJ239" s="493"/>
      <c r="CL239" s="492">
        <v>235</v>
      </c>
      <c r="CM239" s="492">
        <v>20</v>
      </c>
      <c r="CN239" s="497">
        <f>IF(('Comparison Calculator'!$E$11-CM239)&gt;=0,0,IFERROR(-PPMT($CR$66/12,(CL239-60),($F$1-5)*12,$CR$65),0))</f>
        <v>0</v>
      </c>
      <c r="CO239" s="497">
        <f>IF(('Comparison Calculator'!$E$11-CM239)&gt;=0,$C$1*$CI$66/12,IFERROR(-IPMT($CI$66/12,(CL239-60),($F$1-5)*12,$CI$65,0),0))</f>
        <v>0</v>
      </c>
      <c r="CP239" s="497">
        <f t="shared" si="100"/>
        <v>0</v>
      </c>
      <c r="CQ239" s="497">
        <f t="shared" si="113"/>
        <v>1800000</v>
      </c>
      <c r="CR239" s="493"/>
      <c r="CS239" s="493"/>
      <c r="CU239" s="492">
        <v>235</v>
      </c>
      <c r="CV239" s="492">
        <v>20</v>
      </c>
      <c r="CW239" s="497">
        <f>IF(('Comparison Calculator'!$E$11-CV239)&gt;=0,0,IFERROR(-PPMT($DA$66/12,(CU239-60),($F$1-5)*12,$DA$65),0))</f>
        <v>0</v>
      </c>
      <c r="CX239" s="497">
        <f>IF(('Comparison Calculator'!$E$11-CV239)&gt;=0,$C$1*$DA$66/12,IFERROR(-IPMT($DA$66/12,(CU239-60),($F$1-5)*12,$DA$65,0),0))</f>
        <v>0</v>
      </c>
      <c r="CY239" s="497">
        <f t="shared" si="101"/>
        <v>0</v>
      </c>
      <c r="CZ239" s="497">
        <f t="shared" si="114"/>
        <v>1800000</v>
      </c>
      <c r="DA239" s="493"/>
      <c r="DB239" s="493"/>
      <c r="DD239" s="492">
        <v>235</v>
      </c>
      <c r="DE239" s="492">
        <v>20</v>
      </c>
      <c r="DF239" s="497">
        <f>IF(('Comparison Calculator'!$E$11-DE239)&gt;=0,0,IFERROR(-PPMT($DJ$66/12,(DD239-60),($F$1-5)*12,$DJ$65),0))</f>
        <v>0</v>
      </c>
      <c r="DG239" s="497">
        <f>IF(('Comparison Calculator'!$E$11-DE239)&gt;=0,$C$1*$DJ$66/12,IFERROR(-IPMT($DJ$66/12,(DD239-60),($F$1-5)*12,$DJ$65,0),0))</f>
        <v>0</v>
      </c>
      <c r="DH239" s="497">
        <f t="shared" si="102"/>
        <v>0</v>
      </c>
      <c r="DI239" s="497">
        <f t="shared" si="115"/>
        <v>1800000</v>
      </c>
      <c r="DJ239" s="493"/>
      <c r="DK239" s="493"/>
    </row>
    <row r="240" spans="1:115">
      <c r="A240" s="492">
        <v>236</v>
      </c>
      <c r="B240" s="492">
        <v>20</v>
      </c>
      <c r="C240" s="497">
        <f>IF(('Comparison Calculator'!$E$11-B240)&gt;=0,0,IFERROR(-PPMT($G$66/12,(A240-60),($F$1-5)*12,$G$65),0))</f>
        <v>0</v>
      </c>
      <c r="D240" s="497">
        <f>IF(('Comparison Calculator'!$E$11-B240)&gt;=0,$C$1*$G$66/12,IFERROR(-IPMT($G$66/12,(A240-60),($F$1-5)*12,$G$65,0),0))</f>
        <v>0</v>
      </c>
      <c r="E240" s="497">
        <f t="shared" si="90"/>
        <v>0</v>
      </c>
      <c r="F240" s="497">
        <f t="shared" si="103"/>
        <v>1800000</v>
      </c>
      <c r="G240" s="493"/>
      <c r="H240" s="493"/>
      <c r="I240" s="489"/>
      <c r="J240" s="492">
        <v>236</v>
      </c>
      <c r="K240" s="492">
        <v>20</v>
      </c>
      <c r="L240" s="497">
        <f>IF(('Comparison Calculator'!$E$11-K240)&gt;=0,0,IFERROR(-PPMT($P$66/12,(J240-60),($F$1-5)*12,$P$65),0))</f>
        <v>0</v>
      </c>
      <c r="M240" s="497">
        <f>IF(('Comparison Calculator'!$E$11-K240)&gt;=0,$C$1*$P$66/12,IFERROR(-IPMT($P$66/12,(J240-60),($F$1-5)*12,$P$65,0),0))</f>
        <v>0</v>
      </c>
      <c r="N240" s="497">
        <f t="shared" si="91"/>
        <v>0</v>
      </c>
      <c r="O240" s="497">
        <f t="shared" si="104"/>
        <v>1800000</v>
      </c>
      <c r="P240" s="493"/>
      <c r="Q240" s="493"/>
      <c r="S240" s="492">
        <v>236</v>
      </c>
      <c r="T240" s="492">
        <v>20</v>
      </c>
      <c r="U240" s="497">
        <f>IF(('Comparison Calculator'!$E$11-T240)&gt;=0,0,IFERROR(-PPMT($Y$66/12,(S240-60),($F$1-5)*12,$Y$65),0))</f>
        <v>0</v>
      </c>
      <c r="V240" s="497">
        <f>IF(('Comparison Calculator'!$E$11-T240)&gt;=0,$C$1*$Y$66/12,IFERROR(-IPMT($Y$66/12,(S240-60),($F$1-5)*12,$Y$65,0),0))</f>
        <v>0</v>
      </c>
      <c r="W240" s="497">
        <f t="shared" si="92"/>
        <v>0</v>
      </c>
      <c r="X240" s="497">
        <f t="shared" si="105"/>
        <v>1800000</v>
      </c>
      <c r="Y240" s="493"/>
      <c r="Z240" s="493"/>
      <c r="AB240" s="492">
        <v>236</v>
      </c>
      <c r="AC240" s="492">
        <v>20</v>
      </c>
      <c r="AD240" s="497">
        <f>IF(('Comparison Calculator'!$E$11-AC240)&gt;=0,0,IFERROR(-PPMT($AH$66/12,(AB240-60),($F$1-5)*12,$AH$65),0))</f>
        <v>0</v>
      </c>
      <c r="AE240" s="497">
        <f>IF(('Comparison Calculator'!$E$11-AC240)&gt;=0,$C$1*$AH$66/12,IFERROR(-IPMT($AH$66/12,(AB240-60),($F$1-5)*12,$AH$65,0),0))</f>
        <v>0</v>
      </c>
      <c r="AF240" s="497">
        <f t="shared" si="93"/>
        <v>0</v>
      </c>
      <c r="AG240" s="497">
        <f t="shared" si="106"/>
        <v>1800000</v>
      </c>
      <c r="AH240" s="493"/>
      <c r="AI240" s="493"/>
      <c r="AK240" s="492">
        <v>236</v>
      </c>
      <c r="AL240" s="492">
        <v>20</v>
      </c>
      <c r="AM240" s="497">
        <f>IF(('Comparison Calculator'!$E$11-AL240)&gt;=0,0,IFERROR(-PPMT($AQ$66/12,(AK240-60),($F$1-5)*12,$AQ$65),0))</f>
        <v>0</v>
      </c>
      <c r="AN240" s="497">
        <f>IF(('Comparison Calculator'!$E$11-AL240)&gt;=0,$C$1*$AQ$66/12,IFERROR(-IPMT($AQ$66/12,(AK240-60),($F$1-5)*12,$AQ$65,0),0))</f>
        <v>0</v>
      </c>
      <c r="AO240" s="497">
        <f t="shared" si="94"/>
        <v>0</v>
      </c>
      <c r="AP240" s="497">
        <f t="shared" si="107"/>
        <v>1800000</v>
      </c>
      <c r="AQ240" s="493"/>
      <c r="AR240" s="493"/>
      <c r="AT240" s="492">
        <v>236</v>
      </c>
      <c r="AU240" s="492">
        <v>20</v>
      </c>
      <c r="AV240" s="497">
        <f>IF(('Comparison Calculator'!$E$11-AU240)&gt;=0,0,IFERROR(-PPMT($AZ$66/12,(AT240-60),($F$1-5)*12,$AZ$65),0))</f>
        <v>0</v>
      </c>
      <c r="AW240" s="497">
        <f>IF(('Comparison Calculator'!$E$11-AU240)&gt;=0,$C$1*$AZ$66/12,IFERROR(-IPMT($AZ$66/12,(AT240-60),($F$1-5)*12,$AZ$65,0),0))</f>
        <v>0</v>
      </c>
      <c r="AX240" s="497">
        <f t="shared" si="95"/>
        <v>0</v>
      </c>
      <c r="AY240" s="497">
        <f t="shared" si="108"/>
        <v>1800000</v>
      </c>
      <c r="AZ240" s="493"/>
      <c r="BA240" s="493"/>
      <c r="BC240" s="492">
        <v>236</v>
      </c>
      <c r="BD240" s="492">
        <v>20</v>
      </c>
      <c r="BE240" s="497">
        <f>IF(('Comparison Calculator'!$E$11-BD240)&gt;=0,0,IFERROR(-PPMT($BI$66/12,(BC240-60),($F$1-5)*12,$BI$65),0))</f>
        <v>0</v>
      </c>
      <c r="BF240" s="497">
        <f>IF(('Comparison Calculator'!$E$11-BD240)&gt;=0,$C$1*$BI$66/12,IFERROR(-IPMT($BI$66/12,(BC240-60),($F$1-5)*12,$BI$65,0),0))</f>
        <v>0</v>
      </c>
      <c r="BG240" s="497">
        <f t="shared" si="96"/>
        <v>0</v>
      </c>
      <c r="BH240" s="497">
        <f t="shared" si="109"/>
        <v>1800000</v>
      </c>
      <c r="BI240" s="493"/>
      <c r="BJ240" s="493"/>
      <c r="BK240" s="492">
        <v>236</v>
      </c>
      <c r="BL240" s="492">
        <v>20</v>
      </c>
      <c r="BM240" s="497">
        <f>IF(('Comparison Calculator'!$E$11-BL240)&gt;=0,0,IFERROR(-PPMT($BQ$66/12,(BK240-60),($F$1-5)*12,$BQ$65),0))</f>
        <v>0</v>
      </c>
      <c r="BN240" s="497">
        <f>IF(('Comparison Calculator'!$E$11-BL240)&gt;=0,$C$1*$BQ$66/12,IFERROR(-IPMT($BQ$66/12,(BK240-60),($F$1-5)*12,$BQ$65,0),0))</f>
        <v>0</v>
      </c>
      <c r="BO240" s="497">
        <f t="shared" si="97"/>
        <v>0</v>
      </c>
      <c r="BP240" s="497">
        <f t="shared" si="110"/>
        <v>1800000</v>
      </c>
      <c r="BQ240" s="493"/>
      <c r="BR240" s="493"/>
      <c r="BT240" s="492">
        <v>236</v>
      </c>
      <c r="BU240" s="492">
        <v>20</v>
      </c>
      <c r="BV240" s="497">
        <f>IF(('Comparison Calculator'!$E$11-BU240)&gt;=0,0,IFERROR(-PPMT($BZ$66/12,(BT240-60),($F$1-5)*12,$BZ$65),0))</f>
        <v>0</v>
      </c>
      <c r="BW240" s="497">
        <f>IF(('Comparison Calculator'!$E$11-BU240)&gt;=0,$C$1*$BZ$66/12,IFERROR(-IPMT($BZ$66/12,(BT240-60),($F$1-5)*12,$BZ$65,0),0))</f>
        <v>0</v>
      </c>
      <c r="BX240" s="497">
        <f t="shared" si="98"/>
        <v>0</v>
      </c>
      <c r="BY240" s="497">
        <f t="shared" si="111"/>
        <v>1800000</v>
      </c>
      <c r="BZ240" s="493"/>
      <c r="CA240" s="493"/>
      <c r="CC240" s="492">
        <v>236</v>
      </c>
      <c r="CD240" s="492">
        <v>20</v>
      </c>
      <c r="CE240" s="497">
        <f>IF(('Comparison Calculator'!$E$11-CD240)&gt;=0,0,IFERROR(-PPMT($CI$66/12,(CC240-60),($F$1-5)*12,$CI$65),0))</f>
        <v>0</v>
      </c>
      <c r="CF240" s="497">
        <f>IF(('Comparison Calculator'!$E$11-CD240)&gt;=0,$C$1*$CI$66/12,IFERROR(-IPMT($CI$66/12,(CC240-60),($F$1-5)*12,$CI$65,0),0))</f>
        <v>0</v>
      </c>
      <c r="CG240" s="497">
        <f t="shared" si="99"/>
        <v>0</v>
      </c>
      <c r="CH240" s="497">
        <f t="shared" si="112"/>
        <v>1800000</v>
      </c>
      <c r="CI240" s="493"/>
      <c r="CJ240" s="493"/>
      <c r="CL240" s="492">
        <v>236</v>
      </c>
      <c r="CM240" s="492">
        <v>20</v>
      </c>
      <c r="CN240" s="497">
        <f>IF(('Comparison Calculator'!$E$11-CM240)&gt;=0,0,IFERROR(-PPMT($CR$66/12,(CL240-60),($F$1-5)*12,$CR$65),0))</f>
        <v>0</v>
      </c>
      <c r="CO240" s="497">
        <f>IF(('Comparison Calculator'!$E$11-CM240)&gt;=0,$C$1*$CI$66/12,IFERROR(-IPMT($CI$66/12,(CL240-60),($F$1-5)*12,$CI$65,0),0))</f>
        <v>0</v>
      </c>
      <c r="CP240" s="497">
        <f t="shared" si="100"/>
        <v>0</v>
      </c>
      <c r="CQ240" s="497">
        <f t="shared" si="113"/>
        <v>1800000</v>
      </c>
      <c r="CR240" s="493"/>
      <c r="CS240" s="493"/>
      <c r="CU240" s="492">
        <v>236</v>
      </c>
      <c r="CV240" s="492">
        <v>20</v>
      </c>
      <c r="CW240" s="497">
        <f>IF(('Comparison Calculator'!$E$11-CV240)&gt;=0,0,IFERROR(-PPMT($DA$66/12,(CU240-60),($F$1-5)*12,$DA$65),0))</f>
        <v>0</v>
      </c>
      <c r="CX240" s="497">
        <f>IF(('Comparison Calculator'!$E$11-CV240)&gt;=0,$C$1*$DA$66/12,IFERROR(-IPMT($DA$66/12,(CU240-60),($F$1-5)*12,$DA$65,0),0))</f>
        <v>0</v>
      </c>
      <c r="CY240" s="497">
        <f t="shared" si="101"/>
        <v>0</v>
      </c>
      <c r="CZ240" s="497">
        <f t="shared" si="114"/>
        <v>1800000</v>
      </c>
      <c r="DA240" s="493"/>
      <c r="DB240" s="493"/>
      <c r="DD240" s="492">
        <v>236</v>
      </c>
      <c r="DE240" s="492">
        <v>20</v>
      </c>
      <c r="DF240" s="497">
        <f>IF(('Comparison Calculator'!$E$11-DE240)&gt;=0,0,IFERROR(-PPMT($DJ$66/12,(DD240-60),($F$1-5)*12,$DJ$65),0))</f>
        <v>0</v>
      </c>
      <c r="DG240" s="497">
        <f>IF(('Comparison Calculator'!$E$11-DE240)&gt;=0,$C$1*$DJ$66/12,IFERROR(-IPMT($DJ$66/12,(DD240-60),($F$1-5)*12,$DJ$65,0),0))</f>
        <v>0</v>
      </c>
      <c r="DH240" s="497">
        <f t="shared" si="102"/>
        <v>0</v>
      </c>
      <c r="DI240" s="497">
        <f t="shared" si="115"/>
        <v>1800000</v>
      </c>
      <c r="DJ240" s="493"/>
      <c r="DK240" s="493"/>
    </row>
    <row r="241" spans="1:115">
      <c r="A241" s="492">
        <v>237</v>
      </c>
      <c r="B241" s="492">
        <v>20</v>
      </c>
      <c r="C241" s="497">
        <f>IF(('Comparison Calculator'!$E$11-B241)&gt;=0,0,IFERROR(-PPMT($G$66/12,(A241-60),($F$1-5)*12,$G$65),0))</f>
        <v>0</v>
      </c>
      <c r="D241" s="497">
        <f>IF(('Comparison Calculator'!$E$11-B241)&gt;=0,$C$1*$G$66/12,IFERROR(-IPMT($G$66/12,(A241-60),($F$1-5)*12,$G$65,0),0))</f>
        <v>0</v>
      </c>
      <c r="E241" s="497">
        <f t="shared" si="90"/>
        <v>0</v>
      </c>
      <c r="F241" s="497">
        <f t="shared" si="103"/>
        <v>1800000</v>
      </c>
      <c r="G241" s="493"/>
      <c r="H241" s="493"/>
      <c r="I241" s="489"/>
      <c r="J241" s="492">
        <v>237</v>
      </c>
      <c r="K241" s="492">
        <v>20</v>
      </c>
      <c r="L241" s="497">
        <f>IF(('Comparison Calculator'!$E$11-K241)&gt;=0,0,IFERROR(-PPMT($P$66/12,(J241-60),($F$1-5)*12,$P$65),0))</f>
        <v>0</v>
      </c>
      <c r="M241" s="497">
        <f>IF(('Comparison Calculator'!$E$11-K241)&gt;=0,$C$1*$P$66/12,IFERROR(-IPMT($P$66/12,(J241-60),($F$1-5)*12,$P$65,0),0))</f>
        <v>0</v>
      </c>
      <c r="N241" s="497">
        <f t="shared" si="91"/>
        <v>0</v>
      </c>
      <c r="O241" s="497">
        <f t="shared" si="104"/>
        <v>1800000</v>
      </c>
      <c r="P241" s="493"/>
      <c r="Q241" s="493"/>
      <c r="S241" s="492">
        <v>237</v>
      </c>
      <c r="T241" s="492">
        <v>20</v>
      </c>
      <c r="U241" s="497">
        <f>IF(('Comparison Calculator'!$E$11-T241)&gt;=0,0,IFERROR(-PPMT($Y$66/12,(S241-60),($F$1-5)*12,$Y$65),0))</f>
        <v>0</v>
      </c>
      <c r="V241" s="497">
        <f>IF(('Comparison Calculator'!$E$11-T241)&gt;=0,$C$1*$Y$66/12,IFERROR(-IPMT($Y$66/12,(S241-60),($F$1-5)*12,$Y$65,0),0))</f>
        <v>0</v>
      </c>
      <c r="W241" s="497">
        <f t="shared" si="92"/>
        <v>0</v>
      </c>
      <c r="X241" s="497">
        <f t="shared" si="105"/>
        <v>1800000</v>
      </c>
      <c r="Y241" s="493"/>
      <c r="Z241" s="493"/>
      <c r="AB241" s="492">
        <v>237</v>
      </c>
      <c r="AC241" s="492">
        <v>20</v>
      </c>
      <c r="AD241" s="497">
        <f>IF(('Comparison Calculator'!$E$11-AC241)&gt;=0,0,IFERROR(-PPMT($AH$66/12,(AB241-60),($F$1-5)*12,$AH$65),0))</f>
        <v>0</v>
      </c>
      <c r="AE241" s="497">
        <f>IF(('Comparison Calculator'!$E$11-AC241)&gt;=0,$C$1*$AH$66/12,IFERROR(-IPMT($AH$66/12,(AB241-60),($F$1-5)*12,$AH$65,0),0))</f>
        <v>0</v>
      </c>
      <c r="AF241" s="497">
        <f t="shared" si="93"/>
        <v>0</v>
      </c>
      <c r="AG241" s="497">
        <f t="shared" si="106"/>
        <v>1800000</v>
      </c>
      <c r="AH241" s="493"/>
      <c r="AI241" s="493"/>
      <c r="AK241" s="492">
        <v>237</v>
      </c>
      <c r="AL241" s="492">
        <v>20</v>
      </c>
      <c r="AM241" s="497">
        <f>IF(('Comparison Calculator'!$E$11-AL241)&gt;=0,0,IFERROR(-PPMT($AQ$66/12,(AK241-60),($F$1-5)*12,$AQ$65),0))</f>
        <v>0</v>
      </c>
      <c r="AN241" s="497">
        <f>IF(('Comparison Calculator'!$E$11-AL241)&gt;=0,$C$1*$AQ$66/12,IFERROR(-IPMT($AQ$66/12,(AK241-60),($F$1-5)*12,$AQ$65,0),0))</f>
        <v>0</v>
      </c>
      <c r="AO241" s="497">
        <f t="shared" si="94"/>
        <v>0</v>
      </c>
      <c r="AP241" s="497">
        <f t="shared" si="107"/>
        <v>1800000</v>
      </c>
      <c r="AQ241" s="493"/>
      <c r="AR241" s="493"/>
      <c r="AT241" s="492">
        <v>237</v>
      </c>
      <c r="AU241" s="492">
        <v>20</v>
      </c>
      <c r="AV241" s="497">
        <f>IF(('Comparison Calculator'!$E$11-AU241)&gt;=0,0,IFERROR(-PPMT($AZ$66/12,(AT241-60),($F$1-5)*12,$AZ$65),0))</f>
        <v>0</v>
      </c>
      <c r="AW241" s="497">
        <f>IF(('Comparison Calculator'!$E$11-AU241)&gt;=0,$C$1*$AZ$66/12,IFERROR(-IPMT($AZ$66/12,(AT241-60),($F$1-5)*12,$AZ$65,0),0))</f>
        <v>0</v>
      </c>
      <c r="AX241" s="497">
        <f t="shared" si="95"/>
        <v>0</v>
      </c>
      <c r="AY241" s="497">
        <f t="shared" si="108"/>
        <v>1800000</v>
      </c>
      <c r="AZ241" s="493"/>
      <c r="BA241" s="493"/>
      <c r="BC241" s="492">
        <v>237</v>
      </c>
      <c r="BD241" s="492">
        <v>20</v>
      </c>
      <c r="BE241" s="497">
        <f>IF(('Comparison Calculator'!$E$11-BD241)&gt;=0,0,IFERROR(-PPMT($BI$66/12,(BC241-60),($F$1-5)*12,$BI$65),0))</f>
        <v>0</v>
      </c>
      <c r="BF241" s="497">
        <f>IF(('Comparison Calculator'!$E$11-BD241)&gt;=0,$C$1*$BI$66/12,IFERROR(-IPMT($BI$66/12,(BC241-60),($F$1-5)*12,$BI$65,0),0))</f>
        <v>0</v>
      </c>
      <c r="BG241" s="497">
        <f t="shared" si="96"/>
        <v>0</v>
      </c>
      <c r="BH241" s="497">
        <f t="shared" si="109"/>
        <v>1800000</v>
      </c>
      <c r="BI241" s="493"/>
      <c r="BJ241" s="493"/>
      <c r="BK241" s="492">
        <v>237</v>
      </c>
      <c r="BL241" s="492">
        <v>20</v>
      </c>
      <c r="BM241" s="497">
        <f>IF(('Comparison Calculator'!$E$11-BL241)&gt;=0,0,IFERROR(-PPMT($BQ$66/12,(BK241-60),($F$1-5)*12,$BQ$65),0))</f>
        <v>0</v>
      </c>
      <c r="BN241" s="497">
        <f>IF(('Comparison Calculator'!$E$11-BL241)&gt;=0,$C$1*$BQ$66/12,IFERROR(-IPMT($BQ$66/12,(BK241-60),($F$1-5)*12,$BQ$65,0),0))</f>
        <v>0</v>
      </c>
      <c r="BO241" s="497">
        <f t="shared" si="97"/>
        <v>0</v>
      </c>
      <c r="BP241" s="497">
        <f t="shared" si="110"/>
        <v>1800000</v>
      </c>
      <c r="BQ241" s="493"/>
      <c r="BR241" s="493"/>
      <c r="BT241" s="492">
        <v>237</v>
      </c>
      <c r="BU241" s="492">
        <v>20</v>
      </c>
      <c r="BV241" s="497">
        <f>IF(('Comparison Calculator'!$E$11-BU241)&gt;=0,0,IFERROR(-PPMT($BZ$66/12,(BT241-60),($F$1-5)*12,$BZ$65),0))</f>
        <v>0</v>
      </c>
      <c r="BW241" s="497">
        <f>IF(('Comparison Calculator'!$E$11-BU241)&gt;=0,$C$1*$BZ$66/12,IFERROR(-IPMT($BZ$66/12,(BT241-60),($F$1-5)*12,$BZ$65,0),0))</f>
        <v>0</v>
      </c>
      <c r="BX241" s="497">
        <f t="shared" si="98"/>
        <v>0</v>
      </c>
      <c r="BY241" s="497">
        <f t="shared" si="111"/>
        <v>1800000</v>
      </c>
      <c r="BZ241" s="493"/>
      <c r="CA241" s="493"/>
      <c r="CC241" s="492">
        <v>237</v>
      </c>
      <c r="CD241" s="492">
        <v>20</v>
      </c>
      <c r="CE241" s="497">
        <f>IF(('Comparison Calculator'!$E$11-CD241)&gt;=0,0,IFERROR(-PPMT($CI$66/12,(CC241-60),($F$1-5)*12,$CI$65),0))</f>
        <v>0</v>
      </c>
      <c r="CF241" s="497">
        <f>IF(('Comparison Calculator'!$E$11-CD241)&gt;=0,$C$1*$CI$66/12,IFERROR(-IPMT($CI$66/12,(CC241-60),($F$1-5)*12,$CI$65,0),0))</f>
        <v>0</v>
      </c>
      <c r="CG241" s="497">
        <f t="shared" si="99"/>
        <v>0</v>
      </c>
      <c r="CH241" s="497">
        <f t="shared" si="112"/>
        <v>1800000</v>
      </c>
      <c r="CI241" s="493"/>
      <c r="CJ241" s="493"/>
      <c r="CL241" s="492">
        <v>237</v>
      </c>
      <c r="CM241" s="492">
        <v>20</v>
      </c>
      <c r="CN241" s="497">
        <f>IF(('Comparison Calculator'!$E$11-CM241)&gt;=0,0,IFERROR(-PPMT($CR$66/12,(CL241-60),($F$1-5)*12,$CR$65),0))</f>
        <v>0</v>
      </c>
      <c r="CO241" s="497">
        <f>IF(('Comparison Calculator'!$E$11-CM241)&gt;=0,$C$1*$CI$66/12,IFERROR(-IPMT($CI$66/12,(CL241-60),($F$1-5)*12,$CI$65,0),0))</f>
        <v>0</v>
      </c>
      <c r="CP241" s="497">
        <f t="shared" si="100"/>
        <v>0</v>
      </c>
      <c r="CQ241" s="497">
        <f t="shared" si="113"/>
        <v>1800000</v>
      </c>
      <c r="CR241" s="493"/>
      <c r="CS241" s="493"/>
      <c r="CU241" s="492">
        <v>237</v>
      </c>
      <c r="CV241" s="492">
        <v>20</v>
      </c>
      <c r="CW241" s="497">
        <f>IF(('Comparison Calculator'!$E$11-CV241)&gt;=0,0,IFERROR(-PPMT($DA$66/12,(CU241-60),($F$1-5)*12,$DA$65),0))</f>
        <v>0</v>
      </c>
      <c r="CX241" s="497">
        <f>IF(('Comparison Calculator'!$E$11-CV241)&gt;=0,$C$1*$DA$66/12,IFERROR(-IPMT($DA$66/12,(CU241-60),($F$1-5)*12,$DA$65,0),0))</f>
        <v>0</v>
      </c>
      <c r="CY241" s="497">
        <f t="shared" si="101"/>
        <v>0</v>
      </c>
      <c r="CZ241" s="497">
        <f t="shared" si="114"/>
        <v>1800000</v>
      </c>
      <c r="DA241" s="493"/>
      <c r="DB241" s="493"/>
      <c r="DD241" s="492">
        <v>237</v>
      </c>
      <c r="DE241" s="492">
        <v>20</v>
      </c>
      <c r="DF241" s="497">
        <f>IF(('Comparison Calculator'!$E$11-DE241)&gt;=0,0,IFERROR(-PPMT($DJ$66/12,(DD241-60),($F$1-5)*12,$DJ$65),0))</f>
        <v>0</v>
      </c>
      <c r="DG241" s="497">
        <f>IF(('Comparison Calculator'!$E$11-DE241)&gt;=0,$C$1*$DJ$66/12,IFERROR(-IPMT($DJ$66/12,(DD241-60),($F$1-5)*12,$DJ$65,0),0))</f>
        <v>0</v>
      </c>
      <c r="DH241" s="497">
        <f t="shared" si="102"/>
        <v>0</v>
      </c>
      <c r="DI241" s="497">
        <f t="shared" si="115"/>
        <v>1800000</v>
      </c>
      <c r="DJ241" s="493"/>
      <c r="DK241" s="493"/>
    </row>
    <row r="242" spans="1:115">
      <c r="A242" s="492">
        <v>238</v>
      </c>
      <c r="B242" s="492">
        <v>20</v>
      </c>
      <c r="C242" s="497">
        <f>IF(('Comparison Calculator'!$E$11-B242)&gt;=0,0,IFERROR(-PPMT($G$66/12,(A242-60),($F$1-5)*12,$G$65),0))</f>
        <v>0</v>
      </c>
      <c r="D242" s="497">
        <f>IF(('Comparison Calculator'!$E$11-B242)&gt;=0,$C$1*$G$66/12,IFERROR(-IPMT($G$66/12,(A242-60),($F$1-5)*12,$G$65,0),0))</f>
        <v>0</v>
      </c>
      <c r="E242" s="497">
        <f t="shared" si="90"/>
        <v>0</v>
      </c>
      <c r="F242" s="497">
        <f t="shared" si="103"/>
        <v>1800000</v>
      </c>
      <c r="G242" s="493"/>
      <c r="H242" s="493"/>
      <c r="I242" s="489"/>
      <c r="J242" s="492">
        <v>238</v>
      </c>
      <c r="K242" s="492">
        <v>20</v>
      </c>
      <c r="L242" s="497">
        <f>IF(('Comparison Calculator'!$E$11-K242)&gt;=0,0,IFERROR(-PPMT($P$66/12,(J242-60),($F$1-5)*12,$P$65),0))</f>
        <v>0</v>
      </c>
      <c r="M242" s="497">
        <f>IF(('Comparison Calculator'!$E$11-K242)&gt;=0,$C$1*$P$66/12,IFERROR(-IPMT($P$66/12,(J242-60),($F$1-5)*12,$P$65,0),0))</f>
        <v>0</v>
      </c>
      <c r="N242" s="497">
        <f t="shared" si="91"/>
        <v>0</v>
      </c>
      <c r="O242" s="497">
        <f t="shared" si="104"/>
        <v>1800000</v>
      </c>
      <c r="P242" s="493"/>
      <c r="Q242" s="493"/>
      <c r="S242" s="492">
        <v>238</v>
      </c>
      <c r="T242" s="492">
        <v>20</v>
      </c>
      <c r="U242" s="497">
        <f>IF(('Comparison Calculator'!$E$11-T242)&gt;=0,0,IFERROR(-PPMT($Y$66/12,(S242-60),($F$1-5)*12,$Y$65),0))</f>
        <v>0</v>
      </c>
      <c r="V242" s="497">
        <f>IF(('Comparison Calculator'!$E$11-T242)&gt;=0,$C$1*$Y$66/12,IFERROR(-IPMT($Y$66/12,(S242-60),($F$1-5)*12,$Y$65,0),0))</f>
        <v>0</v>
      </c>
      <c r="W242" s="497">
        <f t="shared" si="92"/>
        <v>0</v>
      </c>
      <c r="X242" s="497">
        <f t="shared" si="105"/>
        <v>1800000</v>
      </c>
      <c r="Y242" s="493"/>
      <c r="Z242" s="493"/>
      <c r="AB242" s="492">
        <v>238</v>
      </c>
      <c r="AC242" s="492">
        <v>20</v>
      </c>
      <c r="AD242" s="497">
        <f>IF(('Comparison Calculator'!$E$11-AC242)&gt;=0,0,IFERROR(-PPMT($AH$66/12,(AB242-60),($F$1-5)*12,$AH$65),0))</f>
        <v>0</v>
      </c>
      <c r="AE242" s="497">
        <f>IF(('Comparison Calculator'!$E$11-AC242)&gt;=0,$C$1*$AH$66/12,IFERROR(-IPMT($AH$66/12,(AB242-60),($F$1-5)*12,$AH$65,0),0))</f>
        <v>0</v>
      </c>
      <c r="AF242" s="497">
        <f t="shared" si="93"/>
        <v>0</v>
      </c>
      <c r="AG242" s="497">
        <f t="shared" si="106"/>
        <v>1800000</v>
      </c>
      <c r="AH242" s="493"/>
      <c r="AI242" s="493"/>
      <c r="AK242" s="492">
        <v>238</v>
      </c>
      <c r="AL242" s="492">
        <v>20</v>
      </c>
      <c r="AM242" s="497">
        <f>IF(('Comparison Calculator'!$E$11-AL242)&gt;=0,0,IFERROR(-PPMT($AQ$66/12,(AK242-60),($F$1-5)*12,$AQ$65),0))</f>
        <v>0</v>
      </c>
      <c r="AN242" s="497">
        <f>IF(('Comparison Calculator'!$E$11-AL242)&gt;=0,$C$1*$AQ$66/12,IFERROR(-IPMT($AQ$66/12,(AK242-60),($F$1-5)*12,$AQ$65,0),0))</f>
        <v>0</v>
      </c>
      <c r="AO242" s="497">
        <f t="shared" si="94"/>
        <v>0</v>
      </c>
      <c r="AP242" s="497">
        <f t="shared" si="107"/>
        <v>1800000</v>
      </c>
      <c r="AQ242" s="493"/>
      <c r="AR242" s="493"/>
      <c r="AT242" s="492">
        <v>238</v>
      </c>
      <c r="AU242" s="492">
        <v>20</v>
      </c>
      <c r="AV242" s="497">
        <f>IF(('Comparison Calculator'!$E$11-AU242)&gt;=0,0,IFERROR(-PPMT($AZ$66/12,(AT242-60),($F$1-5)*12,$AZ$65),0))</f>
        <v>0</v>
      </c>
      <c r="AW242" s="497">
        <f>IF(('Comparison Calculator'!$E$11-AU242)&gt;=0,$C$1*$AZ$66/12,IFERROR(-IPMT($AZ$66/12,(AT242-60),($F$1-5)*12,$AZ$65,0),0))</f>
        <v>0</v>
      </c>
      <c r="AX242" s="497">
        <f t="shared" si="95"/>
        <v>0</v>
      </c>
      <c r="AY242" s="497">
        <f t="shared" si="108"/>
        <v>1800000</v>
      </c>
      <c r="AZ242" s="493"/>
      <c r="BA242" s="493"/>
      <c r="BC242" s="492">
        <v>238</v>
      </c>
      <c r="BD242" s="492">
        <v>20</v>
      </c>
      <c r="BE242" s="497">
        <f>IF(('Comparison Calculator'!$E$11-BD242)&gt;=0,0,IFERROR(-PPMT($BI$66/12,(BC242-60),($F$1-5)*12,$BI$65),0))</f>
        <v>0</v>
      </c>
      <c r="BF242" s="497">
        <f>IF(('Comparison Calculator'!$E$11-BD242)&gt;=0,$C$1*$BI$66/12,IFERROR(-IPMT($BI$66/12,(BC242-60),($F$1-5)*12,$BI$65,0),0))</f>
        <v>0</v>
      </c>
      <c r="BG242" s="497">
        <f t="shared" si="96"/>
        <v>0</v>
      </c>
      <c r="BH242" s="497">
        <f t="shared" si="109"/>
        <v>1800000</v>
      </c>
      <c r="BI242" s="493"/>
      <c r="BJ242" s="493"/>
      <c r="BK242" s="492">
        <v>238</v>
      </c>
      <c r="BL242" s="492">
        <v>20</v>
      </c>
      <c r="BM242" s="497">
        <f>IF(('Comparison Calculator'!$E$11-BL242)&gt;=0,0,IFERROR(-PPMT($BQ$66/12,(BK242-60),($F$1-5)*12,$BQ$65),0))</f>
        <v>0</v>
      </c>
      <c r="BN242" s="497">
        <f>IF(('Comparison Calculator'!$E$11-BL242)&gt;=0,$C$1*$BQ$66/12,IFERROR(-IPMT($BQ$66/12,(BK242-60),($F$1-5)*12,$BQ$65,0),0))</f>
        <v>0</v>
      </c>
      <c r="BO242" s="497">
        <f t="shared" si="97"/>
        <v>0</v>
      </c>
      <c r="BP242" s="497">
        <f t="shared" si="110"/>
        <v>1800000</v>
      </c>
      <c r="BQ242" s="493"/>
      <c r="BR242" s="493"/>
      <c r="BT242" s="492">
        <v>238</v>
      </c>
      <c r="BU242" s="492">
        <v>20</v>
      </c>
      <c r="BV242" s="497">
        <f>IF(('Comparison Calculator'!$E$11-BU242)&gt;=0,0,IFERROR(-PPMT($BZ$66/12,(BT242-60),($F$1-5)*12,$BZ$65),0))</f>
        <v>0</v>
      </c>
      <c r="BW242" s="497">
        <f>IF(('Comparison Calculator'!$E$11-BU242)&gt;=0,$C$1*$BZ$66/12,IFERROR(-IPMT($BZ$66/12,(BT242-60),($F$1-5)*12,$BZ$65,0),0))</f>
        <v>0</v>
      </c>
      <c r="BX242" s="497">
        <f t="shared" si="98"/>
        <v>0</v>
      </c>
      <c r="BY242" s="497">
        <f t="shared" si="111"/>
        <v>1800000</v>
      </c>
      <c r="BZ242" s="493"/>
      <c r="CA242" s="493"/>
      <c r="CC242" s="492">
        <v>238</v>
      </c>
      <c r="CD242" s="492">
        <v>20</v>
      </c>
      <c r="CE242" s="497">
        <f>IF(('Comparison Calculator'!$E$11-CD242)&gt;=0,0,IFERROR(-PPMT($CI$66/12,(CC242-60),($F$1-5)*12,$CI$65),0))</f>
        <v>0</v>
      </c>
      <c r="CF242" s="497">
        <f>IF(('Comparison Calculator'!$E$11-CD242)&gt;=0,$C$1*$CI$66/12,IFERROR(-IPMT($CI$66/12,(CC242-60),($F$1-5)*12,$CI$65,0),0))</f>
        <v>0</v>
      </c>
      <c r="CG242" s="497">
        <f t="shared" si="99"/>
        <v>0</v>
      </c>
      <c r="CH242" s="497">
        <f t="shared" si="112"/>
        <v>1800000</v>
      </c>
      <c r="CI242" s="493"/>
      <c r="CJ242" s="493"/>
      <c r="CL242" s="492">
        <v>238</v>
      </c>
      <c r="CM242" s="492">
        <v>20</v>
      </c>
      <c r="CN242" s="497">
        <f>IF(('Comparison Calculator'!$E$11-CM242)&gt;=0,0,IFERROR(-PPMT($CR$66/12,(CL242-60),($F$1-5)*12,$CR$65),0))</f>
        <v>0</v>
      </c>
      <c r="CO242" s="497">
        <f>IF(('Comparison Calculator'!$E$11-CM242)&gt;=0,$C$1*$CI$66/12,IFERROR(-IPMT($CI$66/12,(CL242-60),($F$1-5)*12,$CI$65,0),0))</f>
        <v>0</v>
      </c>
      <c r="CP242" s="497">
        <f t="shared" si="100"/>
        <v>0</v>
      </c>
      <c r="CQ242" s="497">
        <f t="shared" si="113"/>
        <v>1800000</v>
      </c>
      <c r="CR242" s="493"/>
      <c r="CS242" s="493"/>
      <c r="CU242" s="492">
        <v>238</v>
      </c>
      <c r="CV242" s="492">
        <v>20</v>
      </c>
      <c r="CW242" s="497">
        <f>IF(('Comparison Calculator'!$E$11-CV242)&gt;=0,0,IFERROR(-PPMT($DA$66/12,(CU242-60),($F$1-5)*12,$DA$65),0))</f>
        <v>0</v>
      </c>
      <c r="CX242" s="497">
        <f>IF(('Comparison Calculator'!$E$11-CV242)&gt;=0,$C$1*$DA$66/12,IFERROR(-IPMT($DA$66/12,(CU242-60),($F$1-5)*12,$DA$65,0),0))</f>
        <v>0</v>
      </c>
      <c r="CY242" s="497">
        <f t="shared" si="101"/>
        <v>0</v>
      </c>
      <c r="CZ242" s="497">
        <f t="shared" si="114"/>
        <v>1800000</v>
      </c>
      <c r="DA242" s="493"/>
      <c r="DB242" s="493"/>
      <c r="DD242" s="492">
        <v>238</v>
      </c>
      <c r="DE242" s="492">
        <v>20</v>
      </c>
      <c r="DF242" s="497">
        <f>IF(('Comparison Calculator'!$E$11-DE242)&gt;=0,0,IFERROR(-PPMT($DJ$66/12,(DD242-60),($F$1-5)*12,$DJ$65),0))</f>
        <v>0</v>
      </c>
      <c r="DG242" s="497">
        <f>IF(('Comparison Calculator'!$E$11-DE242)&gt;=0,$C$1*$DJ$66/12,IFERROR(-IPMT($DJ$66/12,(DD242-60),($F$1-5)*12,$DJ$65,0),0))</f>
        <v>0</v>
      </c>
      <c r="DH242" s="497">
        <f t="shared" si="102"/>
        <v>0</v>
      </c>
      <c r="DI242" s="497">
        <f t="shared" si="115"/>
        <v>1800000</v>
      </c>
      <c r="DJ242" s="493"/>
      <c r="DK242" s="493"/>
    </row>
    <row r="243" spans="1:115">
      <c r="A243" s="492">
        <v>239</v>
      </c>
      <c r="B243" s="492">
        <v>20</v>
      </c>
      <c r="C243" s="497">
        <f>IF(('Comparison Calculator'!$E$11-B243)&gt;=0,0,IFERROR(-PPMT($G$66/12,(A243-60),($F$1-5)*12,$G$65),0))</f>
        <v>0</v>
      </c>
      <c r="D243" s="497">
        <f>IF(('Comparison Calculator'!$E$11-B243)&gt;=0,$C$1*$G$66/12,IFERROR(-IPMT($G$66/12,(A243-60),($F$1-5)*12,$G$65,0),0))</f>
        <v>0</v>
      </c>
      <c r="E243" s="497">
        <f t="shared" si="90"/>
        <v>0</v>
      </c>
      <c r="F243" s="497">
        <f t="shared" si="103"/>
        <v>1800000</v>
      </c>
      <c r="G243" s="493"/>
      <c r="H243" s="493"/>
      <c r="I243" s="489"/>
      <c r="J243" s="492">
        <v>239</v>
      </c>
      <c r="K243" s="492">
        <v>20</v>
      </c>
      <c r="L243" s="497">
        <f>IF(('Comparison Calculator'!$E$11-K243)&gt;=0,0,IFERROR(-PPMT($P$66/12,(J243-60),($F$1-5)*12,$P$65),0))</f>
        <v>0</v>
      </c>
      <c r="M243" s="497">
        <f>IF(('Comparison Calculator'!$E$11-K243)&gt;=0,$C$1*$P$66/12,IFERROR(-IPMT($P$66/12,(J243-60),($F$1-5)*12,$P$65,0),0))</f>
        <v>0</v>
      </c>
      <c r="N243" s="497">
        <f t="shared" si="91"/>
        <v>0</v>
      </c>
      <c r="O243" s="497">
        <f t="shared" si="104"/>
        <v>1800000</v>
      </c>
      <c r="P243" s="493"/>
      <c r="Q243" s="493"/>
      <c r="S243" s="492">
        <v>239</v>
      </c>
      <c r="T243" s="492">
        <v>20</v>
      </c>
      <c r="U243" s="497">
        <f>IF(('Comparison Calculator'!$E$11-T243)&gt;=0,0,IFERROR(-PPMT($Y$66/12,(S243-60),($F$1-5)*12,$Y$65),0))</f>
        <v>0</v>
      </c>
      <c r="V243" s="497">
        <f>IF(('Comparison Calculator'!$E$11-T243)&gt;=0,$C$1*$Y$66/12,IFERROR(-IPMT($Y$66/12,(S243-60),($F$1-5)*12,$Y$65,0),0))</f>
        <v>0</v>
      </c>
      <c r="W243" s="497">
        <f t="shared" si="92"/>
        <v>0</v>
      </c>
      <c r="X243" s="497">
        <f t="shared" si="105"/>
        <v>1800000</v>
      </c>
      <c r="Y243" s="493"/>
      <c r="Z243" s="493"/>
      <c r="AB243" s="492">
        <v>239</v>
      </c>
      <c r="AC243" s="492">
        <v>20</v>
      </c>
      <c r="AD243" s="497">
        <f>IF(('Comparison Calculator'!$E$11-AC243)&gt;=0,0,IFERROR(-PPMT($AH$66/12,(AB243-60),($F$1-5)*12,$AH$65),0))</f>
        <v>0</v>
      </c>
      <c r="AE243" s="497">
        <f>IF(('Comparison Calculator'!$E$11-AC243)&gt;=0,$C$1*$AH$66/12,IFERROR(-IPMT($AH$66/12,(AB243-60),($F$1-5)*12,$AH$65,0),0))</f>
        <v>0</v>
      </c>
      <c r="AF243" s="497">
        <f t="shared" si="93"/>
        <v>0</v>
      </c>
      <c r="AG243" s="497">
        <f t="shared" si="106"/>
        <v>1800000</v>
      </c>
      <c r="AH243" s="493"/>
      <c r="AI243" s="493"/>
      <c r="AK243" s="492">
        <v>239</v>
      </c>
      <c r="AL243" s="492">
        <v>20</v>
      </c>
      <c r="AM243" s="497">
        <f>IF(('Comparison Calculator'!$E$11-AL243)&gt;=0,0,IFERROR(-PPMT($AQ$66/12,(AK243-60),($F$1-5)*12,$AQ$65),0))</f>
        <v>0</v>
      </c>
      <c r="AN243" s="497">
        <f>IF(('Comparison Calculator'!$E$11-AL243)&gt;=0,$C$1*$AQ$66/12,IFERROR(-IPMT($AQ$66/12,(AK243-60),($F$1-5)*12,$AQ$65,0),0))</f>
        <v>0</v>
      </c>
      <c r="AO243" s="497">
        <f t="shared" si="94"/>
        <v>0</v>
      </c>
      <c r="AP243" s="497">
        <f t="shared" si="107"/>
        <v>1800000</v>
      </c>
      <c r="AQ243" s="493"/>
      <c r="AR243" s="493"/>
      <c r="AT243" s="492">
        <v>239</v>
      </c>
      <c r="AU243" s="492">
        <v>20</v>
      </c>
      <c r="AV243" s="497">
        <f>IF(('Comparison Calculator'!$E$11-AU243)&gt;=0,0,IFERROR(-PPMT($AZ$66/12,(AT243-60),($F$1-5)*12,$AZ$65),0))</f>
        <v>0</v>
      </c>
      <c r="AW243" s="497">
        <f>IF(('Comparison Calculator'!$E$11-AU243)&gt;=0,$C$1*$AZ$66/12,IFERROR(-IPMT($AZ$66/12,(AT243-60),($F$1-5)*12,$AZ$65,0),0))</f>
        <v>0</v>
      </c>
      <c r="AX243" s="497">
        <f t="shared" si="95"/>
        <v>0</v>
      </c>
      <c r="AY243" s="497">
        <f t="shared" si="108"/>
        <v>1800000</v>
      </c>
      <c r="AZ243" s="493"/>
      <c r="BA243" s="493"/>
      <c r="BC243" s="492">
        <v>239</v>
      </c>
      <c r="BD243" s="492">
        <v>20</v>
      </c>
      <c r="BE243" s="497">
        <f>IF(('Comparison Calculator'!$E$11-BD243)&gt;=0,0,IFERROR(-PPMT($BI$66/12,(BC243-60),($F$1-5)*12,$BI$65),0))</f>
        <v>0</v>
      </c>
      <c r="BF243" s="497">
        <f>IF(('Comparison Calculator'!$E$11-BD243)&gt;=0,$C$1*$BI$66/12,IFERROR(-IPMT($BI$66/12,(BC243-60),($F$1-5)*12,$BI$65,0),0))</f>
        <v>0</v>
      </c>
      <c r="BG243" s="497">
        <f t="shared" si="96"/>
        <v>0</v>
      </c>
      <c r="BH243" s="497">
        <f t="shared" si="109"/>
        <v>1800000</v>
      </c>
      <c r="BI243" s="493"/>
      <c r="BJ243" s="493"/>
      <c r="BK243" s="492">
        <v>239</v>
      </c>
      <c r="BL243" s="492">
        <v>20</v>
      </c>
      <c r="BM243" s="497">
        <f>IF(('Comparison Calculator'!$E$11-BL243)&gt;=0,0,IFERROR(-PPMT($BQ$66/12,(BK243-60),($F$1-5)*12,$BQ$65),0))</f>
        <v>0</v>
      </c>
      <c r="BN243" s="497">
        <f>IF(('Comparison Calculator'!$E$11-BL243)&gt;=0,$C$1*$BQ$66/12,IFERROR(-IPMT($BQ$66/12,(BK243-60),($F$1-5)*12,$BQ$65,0),0))</f>
        <v>0</v>
      </c>
      <c r="BO243" s="497">
        <f t="shared" si="97"/>
        <v>0</v>
      </c>
      <c r="BP243" s="497">
        <f t="shared" si="110"/>
        <v>1800000</v>
      </c>
      <c r="BQ243" s="493"/>
      <c r="BR243" s="493"/>
      <c r="BT243" s="492">
        <v>239</v>
      </c>
      <c r="BU243" s="492">
        <v>20</v>
      </c>
      <c r="BV243" s="497">
        <f>IF(('Comparison Calculator'!$E$11-BU243)&gt;=0,0,IFERROR(-PPMT($BZ$66/12,(BT243-60),($F$1-5)*12,$BZ$65),0))</f>
        <v>0</v>
      </c>
      <c r="BW243" s="497">
        <f>IF(('Comparison Calculator'!$E$11-BU243)&gt;=0,$C$1*$BZ$66/12,IFERROR(-IPMT($BZ$66/12,(BT243-60),($F$1-5)*12,$BZ$65,0),0))</f>
        <v>0</v>
      </c>
      <c r="BX243" s="497">
        <f t="shared" si="98"/>
        <v>0</v>
      </c>
      <c r="BY243" s="497">
        <f t="shared" si="111"/>
        <v>1800000</v>
      </c>
      <c r="BZ243" s="493"/>
      <c r="CA243" s="493"/>
      <c r="CC243" s="492">
        <v>239</v>
      </c>
      <c r="CD243" s="492">
        <v>20</v>
      </c>
      <c r="CE243" s="497">
        <f>IF(('Comparison Calculator'!$E$11-CD243)&gt;=0,0,IFERROR(-PPMT($CI$66/12,(CC243-60),($F$1-5)*12,$CI$65),0))</f>
        <v>0</v>
      </c>
      <c r="CF243" s="497">
        <f>IF(('Comparison Calculator'!$E$11-CD243)&gt;=0,$C$1*$CI$66/12,IFERROR(-IPMT($CI$66/12,(CC243-60),($F$1-5)*12,$CI$65,0),0))</f>
        <v>0</v>
      </c>
      <c r="CG243" s="497">
        <f t="shared" si="99"/>
        <v>0</v>
      </c>
      <c r="CH243" s="497">
        <f t="shared" si="112"/>
        <v>1800000</v>
      </c>
      <c r="CI243" s="493"/>
      <c r="CJ243" s="493"/>
      <c r="CL243" s="492">
        <v>239</v>
      </c>
      <c r="CM243" s="492">
        <v>20</v>
      </c>
      <c r="CN243" s="497">
        <f>IF(('Comparison Calculator'!$E$11-CM243)&gt;=0,0,IFERROR(-PPMT($CR$66/12,(CL243-60),($F$1-5)*12,$CR$65),0))</f>
        <v>0</v>
      </c>
      <c r="CO243" s="497">
        <f>IF(('Comparison Calculator'!$E$11-CM243)&gt;=0,$C$1*$CI$66/12,IFERROR(-IPMT($CI$66/12,(CL243-60),($F$1-5)*12,$CI$65,0),0))</f>
        <v>0</v>
      </c>
      <c r="CP243" s="497">
        <f t="shared" si="100"/>
        <v>0</v>
      </c>
      <c r="CQ243" s="497">
        <f t="shared" si="113"/>
        <v>1800000</v>
      </c>
      <c r="CR243" s="493"/>
      <c r="CS243" s="493"/>
      <c r="CU243" s="492">
        <v>239</v>
      </c>
      <c r="CV243" s="492">
        <v>20</v>
      </c>
      <c r="CW243" s="497">
        <f>IF(('Comparison Calculator'!$E$11-CV243)&gt;=0,0,IFERROR(-PPMT($DA$66/12,(CU243-60),($F$1-5)*12,$DA$65),0))</f>
        <v>0</v>
      </c>
      <c r="CX243" s="497">
        <f>IF(('Comparison Calculator'!$E$11-CV243)&gt;=0,$C$1*$DA$66/12,IFERROR(-IPMT($DA$66/12,(CU243-60),($F$1-5)*12,$DA$65,0),0))</f>
        <v>0</v>
      </c>
      <c r="CY243" s="497">
        <f t="shared" si="101"/>
        <v>0</v>
      </c>
      <c r="CZ243" s="497">
        <f t="shared" si="114"/>
        <v>1800000</v>
      </c>
      <c r="DA243" s="493"/>
      <c r="DB243" s="493"/>
      <c r="DD243" s="492">
        <v>239</v>
      </c>
      <c r="DE243" s="492">
        <v>20</v>
      </c>
      <c r="DF243" s="497">
        <f>IF(('Comparison Calculator'!$E$11-DE243)&gt;=0,0,IFERROR(-PPMT($DJ$66/12,(DD243-60),($F$1-5)*12,$DJ$65),0))</f>
        <v>0</v>
      </c>
      <c r="DG243" s="497">
        <f>IF(('Comparison Calculator'!$E$11-DE243)&gt;=0,$C$1*$DJ$66/12,IFERROR(-IPMT($DJ$66/12,(DD243-60),($F$1-5)*12,$DJ$65,0),0))</f>
        <v>0</v>
      </c>
      <c r="DH243" s="497">
        <f t="shared" si="102"/>
        <v>0</v>
      </c>
      <c r="DI243" s="497">
        <f t="shared" si="115"/>
        <v>1800000</v>
      </c>
      <c r="DJ243" s="493"/>
      <c r="DK243" s="493"/>
    </row>
    <row r="244" spans="1:115">
      <c r="A244" s="492">
        <v>240</v>
      </c>
      <c r="B244" s="492">
        <v>20</v>
      </c>
      <c r="C244" s="497">
        <f>IF(('Comparison Calculator'!$E$11-B244)&gt;=0,0,IFERROR(-PPMT($G$66/12,(A244-60),($F$1-5)*12,$G$65),0))</f>
        <v>0</v>
      </c>
      <c r="D244" s="497">
        <f>IF(('Comparison Calculator'!$E$11-B244)&gt;=0,$C$1*$G$66/12,IFERROR(-IPMT($G$66/12,(A244-60),($F$1-5)*12,$G$65,0),0))</f>
        <v>0</v>
      </c>
      <c r="E244" s="497">
        <f t="shared" si="90"/>
        <v>0</v>
      </c>
      <c r="F244" s="497">
        <f t="shared" si="103"/>
        <v>1800000</v>
      </c>
      <c r="G244" s="493"/>
      <c r="H244" s="493"/>
      <c r="I244" s="489"/>
      <c r="J244" s="492">
        <v>240</v>
      </c>
      <c r="K244" s="492">
        <v>20</v>
      </c>
      <c r="L244" s="497">
        <f>IF(('Comparison Calculator'!$E$11-K244)&gt;=0,0,IFERROR(-PPMT($P$66/12,(J244-60),($F$1-5)*12,$P$65),0))</f>
        <v>0</v>
      </c>
      <c r="M244" s="497">
        <f>IF(('Comparison Calculator'!$E$11-K244)&gt;=0,$C$1*$P$66/12,IFERROR(-IPMT($P$66/12,(J244-60),($F$1-5)*12,$P$65,0),0))</f>
        <v>0</v>
      </c>
      <c r="N244" s="497">
        <f t="shared" si="91"/>
        <v>0</v>
      </c>
      <c r="O244" s="497">
        <f t="shared" si="104"/>
        <v>1800000</v>
      </c>
      <c r="P244" s="493"/>
      <c r="Q244" s="493"/>
      <c r="S244" s="492">
        <v>240</v>
      </c>
      <c r="T244" s="492">
        <v>20</v>
      </c>
      <c r="U244" s="497">
        <f>IF(('Comparison Calculator'!$E$11-T244)&gt;=0,0,IFERROR(-PPMT($Y$66/12,(S244-60),($F$1-5)*12,$Y$65),0))</f>
        <v>0</v>
      </c>
      <c r="V244" s="497">
        <f>IF(('Comparison Calculator'!$E$11-T244)&gt;=0,$C$1*$Y$66/12,IFERROR(-IPMT($Y$66/12,(S244-60),($F$1-5)*12,$Y$65,0),0))</f>
        <v>0</v>
      </c>
      <c r="W244" s="497">
        <f t="shared" si="92"/>
        <v>0</v>
      </c>
      <c r="X244" s="497">
        <f t="shared" si="105"/>
        <v>1800000</v>
      </c>
      <c r="Y244" s="493"/>
      <c r="Z244" s="493"/>
      <c r="AB244" s="492">
        <v>240</v>
      </c>
      <c r="AC244" s="492">
        <v>20</v>
      </c>
      <c r="AD244" s="497">
        <f>IF(('Comparison Calculator'!$E$11-AC244)&gt;=0,0,IFERROR(-PPMT($AH$66/12,(AB244-60),($F$1-5)*12,$AH$65),0))</f>
        <v>0</v>
      </c>
      <c r="AE244" s="497">
        <f>IF(('Comparison Calculator'!$E$11-AC244)&gt;=0,$C$1*$AH$66/12,IFERROR(-IPMT($AH$66/12,(AB244-60),($F$1-5)*12,$AH$65,0),0))</f>
        <v>0</v>
      </c>
      <c r="AF244" s="497">
        <f t="shared" si="93"/>
        <v>0</v>
      </c>
      <c r="AG244" s="497">
        <f t="shared" si="106"/>
        <v>1800000</v>
      </c>
      <c r="AH244" s="493"/>
      <c r="AI244" s="493"/>
      <c r="AK244" s="492">
        <v>240</v>
      </c>
      <c r="AL244" s="492">
        <v>20</v>
      </c>
      <c r="AM244" s="497">
        <f>IF(('Comparison Calculator'!$E$11-AL244)&gt;=0,0,IFERROR(-PPMT($AQ$66/12,(AK244-60),($F$1-5)*12,$AQ$65),0))</f>
        <v>0</v>
      </c>
      <c r="AN244" s="497">
        <f>IF(('Comparison Calculator'!$E$11-AL244)&gt;=0,$C$1*$AQ$66/12,IFERROR(-IPMT($AQ$66/12,(AK244-60),($F$1-5)*12,$AQ$65,0),0))</f>
        <v>0</v>
      </c>
      <c r="AO244" s="497">
        <f t="shared" si="94"/>
        <v>0</v>
      </c>
      <c r="AP244" s="497">
        <f t="shared" si="107"/>
        <v>1800000</v>
      </c>
      <c r="AQ244" s="493"/>
      <c r="AR244" s="493"/>
      <c r="AT244" s="492">
        <v>240</v>
      </c>
      <c r="AU244" s="492">
        <v>20</v>
      </c>
      <c r="AV244" s="497">
        <f>IF(('Comparison Calculator'!$E$11-AU244)&gt;=0,0,IFERROR(-PPMT($AZ$66/12,(AT244-60),($F$1-5)*12,$AZ$65),0))</f>
        <v>0</v>
      </c>
      <c r="AW244" s="497">
        <f>IF(('Comparison Calculator'!$E$11-AU244)&gt;=0,$C$1*$AZ$66/12,IFERROR(-IPMT($AZ$66/12,(AT244-60),($F$1-5)*12,$AZ$65,0),0))</f>
        <v>0</v>
      </c>
      <c r="AX244" s="497">
        <f t="shared" si="95"/>
        <v>0</v>
      </c>
      <c r="AY244" s="497">
        <f t="shared" si="108"/>
        <v>1800000</v>
      </c>
      <c r="AZ244" s="493"/>
      <c r="BA244" s="493"/>
      <c r="BC244" s="492">
        <v>240</v>
      </c>
      <c r="BD244" s="492">
        <v>20</v>
      </c>
      <c r="BE244" s="497">
        <f>IF(('Comparison Calculator'!$E$11-BD244)&gt;=0,0,IFERROR(-PPMT($BI$66/12,(BC244-60),($F$1-5)*12,$BI$65),0))</f>
        <v>0</v>
      </c>
      <c r="BF244" s="497">
        <f>IF(('Comparison Calculator'!$E$11-BD244)&gt;=0,$C$1*$BI$66/12,IFERROR(-IPMT($BI$66/12,(BC244-60),($F$1-5)*12,$BI$65,0),0))</f>
        <v>0</v>
      </c>
      <c r="BG244" s="497">
        <f t="shared" si="96"/>
        <v>0</v>
      </c>
      <c r="BH244" s="497">
        <f t="shared" si="109"/>
        <v>1800000</v>
      </c>
      <c r="BI244" s="493"/>
      <c r="BJ244" s="493"/>
      <c r="BK244" s="492">
        <v>240</v>
      </c>
      <c r="BL244" s="492">
        <v>20</v>
      </c>
      <c r="BM244" s="497">
        <f>IF(('Comparison Calculator'!$E$11-BL244)&gt;=0,0,IFERROR(-PPMT($BQ$66/12,(BK244-60),($F$1-5)*12,$BQ$65),0))</f>
        <v>0</v>
      </c>
      <c r="BN244" s="497">
        <f>IF(('Comparison Calculator'!$E$11-BL244)&gt;=0,$C$1*$BQ$66/12,IFERROR(-IPMT($BQ$66/12,(BK244-60),($F$1-5)*12,$BQ$65,0),0))</f>
        <v>0</v>
      </c>
      <c r="BO244" s="497">
        <f t="shared" si="97"/>
        <v>0</v>
      </c>
      <c r="BP244" s="497">
        <f t="shared" si="110"/>
        <v>1800000</v>
      </c>
      <c r="BQ244" s="493"/>
      <c r="BR244" s="493"/>
      <c r="BT244" s="492">
        <v>240</v>
      </c>
      <c r="BU244" s="492">
        <v>20</v>
      </c>
      <c r="BV244" s="497">
        <f>IF(('Comparison Calculator'!$E$11-BU244)&gt;=0,0,IFERROR(-PPMT($BZ$66/12,(BT244-60),($F$1-5)*12,$BZ$65),0))</f>
        <v>0</v>
      </c>
      <c r="BW244" s="497">
        <f>IF(('Comparison Calculator'!$E$11-BU244)&gt;=0,$C$1*$BZ$66/12,IFERROR(-IPMT($BZ$66/12,(BT244-60),($F$1-5)*12,$BZ$65,0),0))</f>
        <v>0</v>
      </c>
      <c r="BX244" s="497">
        <f t="shared" si="98"/>
        <v>0</v>
      </c>
      <c r="BY244" s="497">
        <f t="shared" si="111"/>
        <v>1800000</v>
      </c>
      <c r="BZ244" s="493"/>
      <c r="CA244" s="493"/>
      <c r="CC244" s="492">
        <v>240</v>
      </c>
      <c r="CD244" s="492">
        <v>20</v>
      </c>
      <c r="CE244" s="497">
        <f>IF(('Comparison Calculator'!$E$11-CD244)&gt;=0,0,IFERROR(-PPMT($CI$66/12,(CC244-60),($F$1-5)*12,$CI$65),0))</f>
        <v>0</v>
      </c>
      <c r="CF244" s="497">
        <f>IF(('Comparison Calculator'!$E$11-CD244)&gt;=0,$C$1*$CI$66/12,IFERROR(-IPMT($CI$66/12,(CC244-60),($F$1-5)*12,$CI$65,0),0))</f>
        <v>0</v>
      </c>
      <c r="CG244" s="497">
        <f t="shared" si="99"/>
        <v>0</v>
      </c>
      <c r="CH244" s="497">
        <f t="shared" si="112"/>
        <v>1800000</v>
      </c>
      <c r="CI244" s="493"/>
      <c r="CJ244" s="493"/>
      <c r="CL244" s="492">
        <v>240</v>
      </c>
      <c r="CM244" s="492">
        <v>20</v>
      </c>
      <c r="CN244" s="497">
        <f>IF(('Comparison Calculator'!$E$11-CM244)&gt;=0,0,IFERROR(-PPMT($CR$66/12,(CL244-60),($F$1-5)*12,$CR$65),0))</f>
        <v>0</v>
      </c>
      <c r="CO244" s="497">
        <f>IF(('Comparison Calculator'!$E$11-CM244)&gt;=0,$C$1*$CI$66/12,IFERROR(-IPMT($CI$66/12,(CL244-60),($F$1-5)*12,$CI$65,0),0))</f>
        <v>0</v>
      </c>
      <c r="CP244" s="497">
        <f t="shared" si="100"/>
        <v>0</v>
      </c>
      <c r="CQ244" s="497">
        <f t="shared" si="113"/>
        <v>1800000</v>
      </c>
      <c r="CR244" s="493"/>
      <c r="CS244" s="493"/>
      <c r="CU244" s="492">
        <v>240</v>
      </c>
      <c r="CV244" s="492">
        <v>20</v>
      </c>
      <c r="CW244" s="497">
        <f>IF(('Comparison Calculator'!$E$11-CV244)&gt;=0,0,IFERROR(-PPMT($DA$66/12,(CU244-60),($F$1-5)*12,$DA$65),0))</f>
        <v>0</v>
      </c>
      <c r="CX244" s="497">
        <f>IF(('Comparison Calculator'!$E$11-CV244)&gt;=0,$C$1*$DA$66/12,IFERROR(-IPMT($DA$66/12,(CU244-60),($F$1-5)*12,$DA$65,0),0))</f>
        <v>0</v>
      </c>
      <c r="CY244" s="497">
        <f t="shared" si="101"/>
        <v>0</v>
      </c>
      <c r="CZ244" s="497">
        <f t="shared" si="114"/>
        <v>1800000</v>
      </c>
      <c r="DA244" s="493"/>
      <c r="DB244" s="493"/>
      <c r="DD244" s="492">
        <v>240</v>
      </c>
      <c r="DE244" s="492">
        <v>20</v>
      </c>
      <c r="DF244" s="497">
        <f>IF(('Comparison Calculator'!$E$11-DE244)&gt;=0,0,IFERROR(-PPMT($DJ$66/12,(DD244-60),($F$1-5)*12,$DJ$65),0))</f>
        <v>0</v>
      </c>
      <c r="DG244" s="497">
        <f>IF(('Comparison Calculator'!$E$11-DE244)&gt;=0,$C$1*$DJ$66/12,IFERROR(-IPMT($DJ$66/12,(DD244-60),($F$1-5)*12,$DJ$65,0),0))</f>
        <v>0</v>
      </c>
      <c r="DH244" s="497">
        <f t="shared" si="102"/>
        <v>0</v>
      </c>
      <c r="DI244" s="497">
        <f t="shared" si="115"/>
        <v>1800000</v>
      </c>
      <c r="DJ244" s="493"/>
      <c r="DK244" s="493"/>
    </row>
    <row r="245" spans="1:115">
      <c r="A245" s="492">
        <v>241</v>
      </c>
      <c r="B245" s="492">
        <v>21</v>
      </c>
      <c r="C245" s="497">
        <f>IF(('Comparison Calculator'!$E$11-B245)&gt;=0,0,IFERROR(-PPMT($G$66/12,(A245-60),($F$1-5)*12,$G$65),0))</f>
        <v>0</v>
      </c>
      <c r="D245" s="497">
        <f>IF(('Comparison Calculator'!$E$11-B245)&gt;=0,$C$1*$G$66/12,IFERROR(-IPMT($G$66/12,(A245-60),($F$1-5)*12,$G$65,0),0))</f>
        <v>0</v>
      </c>
      <c r="E245" s="497">
        <f t="shared" si="90"/>
        <v>0</v>
      </c>
      <c r="F245" s="497">
        <f t="shared" si="103"/>
        <v>1800000</v>
      </c>
      <c r="G245" s="493"/>
      <c r="H245" s="493"/>
      <c r="I245" s="489"/>
      <c r="J245" s="492">
        <v>241</v>
      </c>
      <c r="K245" s="492">
        <v>21</v>
      </c>
      <c r="L245" s="497">
        <f>IF(('Comparison Calculator'!$E$11-K245)&gt;=0,0,IFERROR(-PPMT($P$66/12,(J245-60),($F$1-5)*12,$P$65),0))</f>
        <v>0</v>
      </c>
      <c r="M245" s="497">
        <f>IF(('Comparison Calculator'!$E$11-K245)&gt;=0,$C$1*$P$66/12,IFERROR(-IPMT($P$66/12,(J245-60),($F$1-5)*12,$P$65,0),0))</f>
        <v>0</v>
      </c>
      <c r="N245" s="497">
        <f t="shared" si="91"/>
        <v>0</v>
      </c>
      <c r="O245" s="497">
        <f t="shared" si="104"/>
        <v>1800000</v>
      </c>
      <c r="P245" s="493"/>
      <c r="Q245" s="493"/>
      <c r="S245" s="492">
        <v>241</v>
      </c>
      <c r="T245" s="492">
        <v>21</v>
      </c>
      <c r="U245" s="497">
        <f>IF(('Comparison Calculator'!$E$11-T245)&gt;=0,0,IFERROR(-PPMT($Y$66/12,(S245-60),($F$1-5)*12,$Y$65),0))</f>
        <v>0</v>
      </c>
      <c r="V245" s="497">
        <f>IF(('Comparison Calculator'!$E$11-T245)&gt;=0,$C$1*$Y$66/12,IFERROR(-IPMT($Y$66/12,(S245-60),($F$1-5)*12,$Y$65,0),0))</f>
        <v>0</v>
      </c>
      <c r="W245" s="497">
        <f t="shared" si="92"/>
        <v>0</v>
      </c>
      <c r="X245" s="497">
        <f t="shared" si="105"/>
        <v>1800000</v>
      </c>
      <c r="Y245" s="493"/>
      <c r="Z245" s="493"/>
      <c r="AB245" s="492">
        <v>241</v>
      </c>
      <c r="AC245" s="492">
        <v>21</v>
      </c>
      <c r="AD245" s="497">
        <f>IF(('Comparison Calculator'!$E$11-AC245)&gt;=0,0,IFERROR(-PPMT($AH$66/12,(AB245-60),($F$1-5)*12,$AH$65),0))</f>
        <v>0</v>
      </c>
      <c r="AE245" s="497">
        <f>IF(('Comparison Calculator'!$E$11-AC245)&gt;=0,$C$1*$AH$66/12,IFERROR(-IPMT($AH$66/12,(AB245-60),($F$1-5)*12,$AH$65,0),0))</f>
        <v>0</v>
      </c>
      <c r="AF245" s="497">
        <f t="shared" si="93"/>
        <v>0</v>
      </c>
      <c r="AG245" s="497">
        <f t="shared" si="106"/>
        <v>1800000</v>
      </c>
      <c r="AH245" s="493"/>
      <c r="AI245" s="493"/>
      <c r="AK245" s="492">
        <v>241</v>
      </c>
      <c r="AL245" s="492">
        <v>21</v>
      </c>
      <c r="AM245" s="497">
        <f>IF(('Comparison Calculator'!$E$11-AL245)&gt;=0,0,IFERROR(-PPMT($AQ$66/12,(AK245-60),($F$1-5)*12,$AQ$65),0))</f>
        <v>0</v>
      </c>
      <c r="AN245" s="497">
        <f>IF(('Comparison Calculator'!$E$11-AL245)&gt;=0,$C$1*$AQ$66/12,IFERROR(-IPMT($AQ$66/12,(AK245-60),($F$1-5)*12,$AQ$65,0),0))</f>
        <v>0</v>
      </c>
      <c r="AO245" s="497">
        <f t="shared" si="94"/>
        <v>0</v>
      </c>
      <c r="AP245" s="497">
        <f t="shared" si="107"/>
        <v>1800000</v>
      </c>
      <c r="AQ245" s="493"/>
      <c r="AR245" s="493"/>
      <c r="AT245" s="492">
        <v>241</v>
      </c>
      <c r="AU245" s="492">
        <v>21</v>
      </c>
      <c r="AV245" s="497">
        <f>IF(('Comparison Calculator'!$E$11-AU245)&gt;=0,0,IFERROR(-PPMT($AZ$66/12,(AT245-60),($F$1-5)*12,$AZ$65),0))</f>
        <v>0</v>
      </c>
      <c r="AW245" s="497">
        <f>IF(('Comparison Calculator'!$E$11-AU245)&gt;=0,$C$1*$AZ$66/12,IFERROR(-IPMT($AZ$66/12,(AT245-60),($F$1-5)*12,$AZ$65,0),0))</f>
        <v>0</v>
      </c>
      <c r="AX245" s="497">
        <f t="shared" si="95"/>
        <v>0</v>
      </c>
      <c r="AY245" s="497">
        <f t="shared" si="108"/>
        <v>1800000</v>
      </c>
      <c r="AZ245" s="493"/>
      <c r="BA245" s="493"/>
      <c r="BC245" s="492">
        <v>241</v>
      </c>
      <c r="BD245" s="492">
        <v>21</v>
      </c>
      <c r="BE245" s="497">
        <f>IF(('Comparison Calculator'!$E$11-BD245)&gt;=0,0,IFERROR(-PPMT($BI$66/12,(BC245-60),($F$1-5)*12,$BI$65),0))</f>
        <v>0</v>
      </c>
      <c r="BF245" s="497">
        <f>IF(('Comparison Calculator'!$E$11-BD245)&gt;=0,$C$1*$BI$66/12,IFERROR(-IPMT($BI$66/12,(BC245-60),($F$1-5)*12,$BI$65,0),0))</f>
        <v>0</v>
      </c>
      <c r="BG245" s="497">
        <f t="shared" si="96"/>
        <v>0</v>
      </c>
      <c r="BH245" s="497">
        <f t="shared" si="109"/>
        <v>1800000</v>
      </c>
      <c r="BI245" s="493"/>
      <c r="BJ245" s="493"/>
      <c r="BK245" s="492">
        <v>241</v>
      </c>
      <c r="BL245" s="492">
        <v>21</v>
      </c>
      <c r="BM245" s="497">
        <f>IF(('Comparison Calculator'!$E$11-BL245)&gt;=0,0,IFERROR(-PPMT($BQ$66/12,(BK245-60),($F$1-5)*12,$BQ$65),0))</f>
        <v>0</v>
      </c>
      <c r="BN245" s="497">
        <f>IF(('Comparison Calculator'!$E$11-BL245)&gt;=0,$C$1*$BQ$66/12,IFERROR(-IPMT($BQ$66/12,(BK245-60),($F$1-5)*12,$BQ$65,0),0))</f>
        <v>0</v>
      </c>
      <c r="BO245" s="497">
        <f t="shared" si="97"/>
        <v>0</v>
      </c>
      <c r="BP245" s="497">
        <f t="shared" si="110"/>
        <v>1800000</v>
      </c>
      <c r="BQ245" s="493"/>
      <c r="BR245" s="493"/>
      <c r="BT245" s="492">
        <v>241</v>
      </c>
      <c r="BU245" s="492">
        <v>21</v>
      </c>
      <c r="BV245" s="497">
        <f>IF(('Comparison Calculator'!$E$11-BU245)&gt;=0,0,IFERROR(-PPMT($BZ$66/12,(BT245-60),($F$1-5)*12,$BZ$65),0))</f>
        <v>0</v>
      </c>
      <c r="BW245" s="497">
        <f>IF(('Comparison Calculator'!$E$11-BU245)&gt;=0,$C$1*$BZ$66/12,IFERROR(-IPMT($BZ$66/12,(BT245-60),($F$1-5)*12,$BZ$65,0),0))</f>
        <v>0</v>
      </c>
      <c r="BX245" s="497">
        <f t="shared" si="98"/>
        <v>0</v>
      </c>
      <c r="BY245" s="497">
        <f t="shared" si="111"/>
        <v>1800000</v>
      </c>
      <c r="BZ245" s="493"/>
      <c r="CA245" s="493"/>
      <c r="CC245" s="492">
        <v>241</v>
      </c>
      <c r="CD245" s="492">
        <v>21</v>
      </c>
      <c r="CE245" s="497">
        <f>IF(('Comparison Calculator'!$E$11-CD245)&gt;=0,0,IFERROR(-PPMT($CI$66/12,(CC245-60),($F$1-5)*12,$CI$65),0))</f>
        <v>0</v>
      </c>
      <c r="CF245" s="497">
        <f>IF(('Comparison Calculator'!$E$11-CD245)&gt;=0,$C$1*$CI$66/12,IFERROR(-IPMT($CI$66/12,(CC245-60),($F$1-5)*12,$CI$65,0),0))</f>
        <v>0</v>
      </c>
      <c r="CG245" s="497">
        <f t="shared" si="99"/>
        <v>0</v>
      </c>
      <c r="CH245" s="497">
        <f t="shared" si="112"/>
        <v>1800000</v>
      </c>
      <c r="CI245" s="493"/>
      <c r="CJ245" s="493"/>
      <c r="CL245" s="492">
        <v>241</v>
      </c>
      <c r="CM245" s="492">
        <v>21</v>
      </c>
      <c r="CN245" s="497">
        <f>IF(('Comparison Calculator'!$E$11-CM245)&gt;=0,0,IFERROR(-PPMT($CR$66/12,(CL245-60),($F$1-5)*12,$CR$65),0))</f>
        <v>0</v>
      </c>
      <c r="CO245" s="497">
        <f>IF(('Comparison Calculator'!$E$11-CM245)&gt;=0,$C$1*$CI$66/12,IFERROR(-IPMT($CI$66/12,(CL245-60),($F$1-5)*12,$CI$65,0),0))</f>
        <v>0</v>
      </c>
      <c r="CP245" s="497">
        <f t="shared" si="100"/>
        <v>0</v>
      </c>
      <c r="CQ245" s="497">
        <f t="shared" si="113"/>
        <v>1800000</v>
      </c>
      <c r="CR245" s="493"/>
      <c r="CS245" s="493"/>
      <c r="CU245" s="492">
        <v>241</v>
      </c>
      <c r="CV245" s="492">
        <v>21</v>
      </c>
      <c r="CW245" s="497">
        <f>IF(('Comparison Calculator'!$E$11-CV245)&gt;=0,0,IFERROR(-PPMT($DA$66/12,(CU245-60),($F$1-5)*12,$DA$65),0))</f>
        <v>0</v>
      </c>
      <c r="CX245" s="497">
        <f>IF(('Comparison Calculator'!$E$11-CV245)&gt;=0,$C$1*$DA$66/12,IFERROR(-IPMT($DA$66/12,(CU245-60),($F$1-5)*12,$DA$65,0),0))</f>
        <v>0</v>
      </c>
      <c r="CY245" s="497">
        <f t="shared" si="101"/>
        <v>0</v>
      </c>
      <c r="CZ245" s="497">
        <f t="shared" si="114"/>
        <v>1800000</v>
      </c>
      <c r="DA245" s="493"/>
      <c r="DB245" s="493"/>
      <c r="DD245" s="492">
        <v>241</v>
      </c>
      <c r="DE245" s="492">
        <v>21</v>
      </c>
      <c r="DF245" s="497">
        <f>IF(('Comparison Calculator'!$E$11-DE245)&gt;=0,0,IFERROR(-PPMT($DJ$66/12,(DD245-60),($F$1-5)*12,$DJ$65),0))</f>
        <v>0</v>
      </c>
      <c r="DG245" s="497">
        <f>IF(('Comparison Calculator'!$E$11-DE245)&gt;=0,$C$1*$DJ$66/12,IFERROR(-IPMT($DJ$66/12,(DD245-60),($F$1-5)*12,$DJ$65,0),0))</f>
        <v>0</v>
      </c>
      <c r="DH245" s="497">
        <f t="shared" si="102"/>
        <v>0</v>
      </c>
      <c r="DI245" s="497">
        <f t="shared" si="115"/>
        <v>1800000</v>
      </c>
      <c r="DJ245" s="493"/>
      <c r="DK245" s="493"/>
    </row>
    <row r="246" spans="1:115">
      <c r="A246" s="492">
        <v>242</v>
      </c>
      <c r="B246" s="492">
        <v>21</v>
      </c>
      <c r="C246" s="497">
        <f>IF(('Comparison Calculator'!$E$11-B246)&gt;=0,0,IFERROR(-PPMT($G$66/12,(A246-60),($F$1-5)*12,$G$65),0))</f>
        <v>0</v>
      </c>
      <c r="D246" s="497">
        <f>IF(('Comparison Calculator'!$E$11-B246)&gt;=0,$C$1*$G$66/12,IFERROR(-IPMT($G$66/12,(A246-60),($F$1-5)*12,$G$65,0),0))</f>
        <v>0</v>
      </c>
      <c r="E246" s="497">
        <f t="shared" si="90"/>
        <v>0</v>
      </c>
      <c r="F246" s="497">
        <f t="shared" si="103"/>
        <v>1800000</v>
      </c>
      <c r="G246" s="493"/>
      <c r="H246" s="493"/>
      <c r="I246" s="489"/>
      <c r="J246" s="492">
        <v>242</v>
      </c>
      <c r="K246" s="492">
        <v>21</v>
      </c>
      <c r="L246" s="497">
        <f>IF(('Comparison Calculator'!$E$11-K246)&gt;=0,0,IFERROR(-PPMT($P$66/12,(J246-60),($F$1-5)*12,$P$65),0))</f>
        <v>0</v>
      </c>
      <c r="M246" s="497">
        <f>IF(('Comparison Calculator'!$E$11-K246)&gt;=0,$C$1*$P$66/12,IFERROR(-IPMT($P$66/12,(J246-60),($F$1-5)*12,$P$65,0),0))</f>
        <v>0</v>
      </c>
      <c r="N246" s="497">
        <f t="shared" si="91"/>
        <v>0</v>
      </c>
      <c r="O246" s="497">
        <f t="shared" si="104"/>
        <v>1800000</v>
      </c>
      <c r="P246" s="493"/>
      <c r="Q246" s="493"/>
      <c r="S246" s="492">
        <v>242</v>
      </c>
      <c r="T246" s="492">
        <v>21</v>
      </c>
      <c r="U246" s="497">
        <f>IF(('Comparison Calculator'!$E$11-T246)&gt;=0,0,IFERROR(-PPMT($Y$66/12,(S246-60),($F$1-5)*12,$Y$65),0))</f>
        <v>0</v>
      </c>
      <c r="V246" s="497">
        <f>IF(('Comparison Calculator'!$E$11-T246)&gt;=0,$C$1*$Y$66/12,IFERROR(-IPMT($Y$66/12,(S246-60),($F$1-5)*12,$Y$65,0),0))</f>
        <v>0</v>
      </c>
      <c r="W246" s="497">
        <f t="shared" si="92"/>
        <v>0</v>
      </c>
      <c r="X246" s="497">
        <f t="shared" si="105"/>
        <v>1800000</v>
      </c>
      <c r="Y246" s="493"/>
      <c r="Z246" s="493"/>
      <c r="AB246" s="492">
        <v>242</v>
      </c>
      <c r="AC246" s="492">
        <v>21</v>
      </c>
      <c r="AD246" s="497">
        <f>IF(('Comparison Calculator'!$E$11-AC246)&gt;=0,0,IFERROR(-PPMT($AH$66/12,(AB246-60),($F$1-5)*12,$AH$65),0))</f>
        <v>0</v>
      </c>
      <c r="AE246" s="497">
        <f>IF(('Comparison Calculator'!$E$11-AC246)&gt;=0,$C$1*$AH$66/12,IFERROR(-IPMT($AH$66/12,(AB246-60),($F$1-5)*12,$AH$65,0),0))</f>
        <v>0</v>
      </c>
      <c r="AF246" s="497">
        <f t="shared" si="93"/>
        <v>0</v>
      </c>
      <c r="AG246" s="497">
        <f t="shared" si="106"/>
        <v>1800000</v>
      </c>
      <c r="AH246" s="493"/>
      <c r="AI246" s="493"/>
      <c r="AK246" s="492">
        <v>242</v>
      </c>
      <c r="AL246" s="492">
        <v>21</v>
      </c>
      <c r="AM246" s="497">
        <f>IF(('Comparison Calculator'!$E$11-AL246)&gt;=0,0,IFERROR(-PPMT($AQ$66/12,(AK246-60),($F$1-5)*12,$AQ$65),0))</f>
        <v>0</v>
      </c>
      <c r="AN246" s="497">
        <f>IF(('Comparison Calculator'!$E$11-AL246)&gt;=0,$C$1*$AQ$66/12,IFERROR(-IPMT($AQ$66/12,(AK246-60),($F$1-5)*12,$AQ$65,0),0))</f>
        <v>0</v>
      </c>
      <c r="AO246" s="497">
        <f t="shared" si="94"/>
        <v>0</v>
      </c>
      <c r="AP246" s="497">
        <f t="shared" si="107"/>
        <v>1800000</v>
      </c>
      <c r="AQ246" s="493"/>
      <c r="AR246" s="493"/>
      <c r="AT246" s="492">
        <v>242</v>
      </c>
      <c r="AU246" s="492">
        <v>21</v>
      </c>
      <c r="AV246" s="497">
        <f>IF(('Comparison Calculator'!$E$11-AU246)&gt;=0,0,IFERROR(-PPMT($AZ$66/12,(AT246-60),($F$1-5)*12,$AZ$65),0))</f>
        <v>0</v>
      </c>
      <c r="AW246" s="497">
        <f>IF(('Comparison Calculator'!$E$11-AU246)&gt;=0,$C$1*$AZ$66/12,IFERROR(-IPMT($AZ$66/12,(AT246-60),($F$1-5)*12,$AZ$65,0),0))</f>
        <v>0</v>
      </c>
      <c r="AX246" s="497">
        <f t="shared" si="95"/>
        <v>0</v>
      </c>
      <c r="AY246" s="497">
        <f t="shared" si="108"/>
        <v>1800000</v>
      </c>
      <c r="AZ246" s="493"/>
      <c r="BA246" s="493"/>
      <c r="BC246" s="492">
        <v>242</v>
      </c>
      <c r="BD246" s="492">
        <v>21</v>
      </c>
      <c r="BE246" s="497">
        <f>IF(('Comparison Calculator'!$E$11-BD246)&gt;=0,0,IFERROR(-PPMT($BI$66/12,(BC246-60),($F$1-5)*12,$BI$65),0))</f>
        <v>0</v>
      </c>
      <c r="BF246" s="497">
        <f>IF(('Comparison Calculator'!$E$11-BD246)&gt;=0,$C$1*$BI$66/12,IFERROR(-IPMT($BI$66/12,(BC246-60),($F$1-5)*12,$BI$65,0),0))</f>
        <v>0</v>
      </c>
      <c r="BG246" s="497">
        <f t="shared" si="96"/>
        <v>0</v>
      </c>
      <c r="BH246" s="497">
        <f t="shared" si="109"/>
        <v>1800000</v>
      </c>
      <c r="BI246" s="493"/>
      <c r="BJ246" s="493"/>
      <c r="BK246" s="492">
        <v>242</v>
      </c>
      <c r="BL246" s="492">
        <v>21</v>
      </c>
      <c r="BM246" s="497">
        <f>IF(('Comparison Calculator'!$E$11-BL246)&gt;=0,0,IFERROR(-PPMT($BQ$66/12,(BK246-60),($F$1-5)*12,$BQ$65),0))</f>
        <v>0</v>
      </c>
      <c r="BN246" s="497">
        <f>IF(('Comparison Calculator'!$E$11-BL246)&gt;=0,$C$1*$BQ$66/12,IFERROR(-IPMT($BQ$66/12,(BK246-60),($F$1-5)*12,$BQ$65,0),0))</f>
        <v>0</v>
      </c>
      <c r="BO246" s="497">
        <f t="shared" si="97"/>
        <v>0</v>
      </c>
      <c r="BP246" s="497">
        <f t="shared" si="110"/>
        <v>1800000</v>
      </c>
      <c r="BQ246" s="493"/>
      <c r="BR246" s="493"/>
      <c r="BT246" s="492">
        <v>242</v>
      </c>
      <c r="BU246" s="492">
        <v>21</v>
      </c>
      <c r="BV246" s="497">
        <f>IF(('Comparison Calculator'!$E$11-BU246)&gt;=0,0,IFERROR(-PPMT($BZ$66/12,(BT246-60),($F$1-5)*12,$BZ$65),0))</f>
        <v>0</v>
      </c>
      <c r="BW246" s="497">
        <f>IF(('Comparison Calculator'!$E$11-BU246)&gt;=0,$C$1*$BZ$66/12,IFERROR(-IPMT($BZ$66/12,(BT246-60),($F$1-5)*12,$BZ$65,0),0))</f>
        <v>0</v>
      </c>
      <c r="BX246" s="497">
        <f t="shared" si="98"/>
        <v>0</v>
      </c>
      <c r="BY246" s="497">
        <f t="shared" si="111"/>
        <v>1800000</v>
      </c>
      <c r="BZ246" s="493"/>
      <c r="CA246" s="493"/>
      <c r="CC246" s="492">
        <v>242</v>
      </c>
      <c r="CD246" s="492">
        <v>21</v>
      </c>
      <c r="CE246" s="497">
        <f>IF(('Comparison Calculator'!$E$11-CD246)&gt;=0,0,IFERROR(-PPMT($CI$66/12,(CC246-60),($F$1-5)*12,$CI$65),0))</f>
        <v>0</v>
      </c>
      <c r="CF246" s="497">
        <f>IF(('Comparison Calculator'!$E$11-CD246)&gt;=0,$C$1*$CI$66/12,IFERROR(-IPMT($CI$66/12,(CC246-60),($F$1-5)*12,$CI$65,0),0))</f>
        <v>0</v>
      </c>
      <c r="CG246" s="497">
        <f t="shared" si="99"/>
        <v>0</v>
      </c>
      <c r="CH246" s="497">
        <f t="shared" si="112"/>
        <v>1800000</v>
      </c>
      <c r="CI246" s="493"/>
      <c r="CJ246" s="493"/>
      <c r="CL246" s="492">
        <v>242</v>
      </c>
      <c r="CM246" s="492">
        <v>21</v>
      </c>
      <c r="CN246" s="497">
        <f>IF(('Comparison Calculator'!$E$11-CM246)&gt;=0,0,IFERROR(-PPMT($CR$66/12,(CL246-60),($F$1-5)*12,$CR$65),0))</f>
        <v>0</v>
      </c>
      <c r="CO246" s="497">
        <f>IF(('Comparison Calculator'!$E$11-CM246)&gt;=0,$C$1*$CI$66/12,IFERROR(-IPMT($CI$66/12,(CL246-60),($F$1-5)*12,$CI$65,0),0))</f>
        <v>0</v>
      </c>
      <c r="CP246" s="497">
        <f t="shared" si="100"/>
        <v>0</v>
      </c>
      <c r="CQ246" s="497">
        <f t="shared" si="113"/>
        <v>1800000</v>
      </c>
      <c r="CR246" s="493"/>
      <c r="CS246" s="493"/>
      <c r="CU246" s="492">
        <v>242</v>
      </c>
      <c r="CV246" s="492">
        <v>21</v>
      </c>
      <c r="CW246" s="497">
        <f>IF(('Comparison Calculator'!$E$11-CV246)&gt;=0,0,IFERROR(-PPMT($DA$66/12,(CU246-60),($F$1-5)*12,$DA$65),0))</f>
        <v>0</v>
      </c>
      <c r="CX246" s="497">
        <f>IF(('Comparison Calculator'!$E$11-CV246)&gt;=0,$C$1*$DA$66/12,IFERROR(-IPMT($DA$66/12,(CU246-60),($F$1-5)*12,$DA$65,0),0))</f>
        <v>0</v>
      </c>
      <c r="CY246" s="497">
        <f t="shared" si="101"/>
        <v>0</v>
      </c>
      <c r="CZ246" s="497">
        <f t="shared" si="114"/>
        <v>1800000</v>
      </c>
      <c r="DA246" s="493"/>
      <c r="DB246" s="493"/>
      <c r="DD246" s="492">
        <v>242</v>
      </c>
      <c r="DE246" s="492">
        <v>21</v>
      </c>
      <c r="DF246" s="497">
        <f>IF(('Comparison Calculator'!$E$11-DE246)&gt;=0,0,IFERROR(-PPMT($DJ$66/12,(DD246-60),($F$1-5)*12,$DJ$65),0))</f>
        <v>0</v>
      </c>
      <c r="DG246" s="497">
        <f>IF(('Comparison Calculator'!$E$11-DE246)&gt;=0,$C$1*$DJ$66/12,IFERROR(-IPMT($DJ$66/12,(DD246-60),($F$1-5)*12,$DJ$65,0),0))</f>
        <v>0</v>
      </c>
      <c r="DH246" s="497">
        <f t="shared" si="102"/>
        <v>0</v>
      </c>
      <c r="DI246" s="497">
        <f t="shared" si="115"/>
        <v>1800000</v>
      </c>
      <c r="DJ246" s="493"/>
      <c r="DK246" s="493"/>
    </row>
    <row r="247" spans="1:115">
      <c r="A247" s="492">
        <v>243</v>
      </c>
      <c r="B247" s="492">
        <v>21</v>
      </c>
      <c r="C247" s="497">
        <f>IF(('Comparison Calculator'!$E$11-B247)&gt;=0,0,IFERROR(-PPMT($G$66/12,(A247-60),($F$1-5)*12,$G$65),0))</f>
        <v>0</v>
      </c>
      <c r="D247" s="497">
        <f>IF(('Comparison Calculator'!$E$11-B247)&gt;=0,$C$1*$G$66/12,IFERROR(-IPMT($G$66/12,(A247-60),($F$1-5)*12,$G$65,0),0))</f>
        <v>0</v>
      </c>
      <c r="E247" s="497">
        <f t="shared" si="90"/>
        <v>0</v>
      </c>
      <c r="F247" s="497">
        <f t="shared" si="103"/>
        <v>1800000</v>
      </c>
      <c r="G247" s="493"/>
      <c r="H247" s="493"/>
      <c r="I247" s="489"/>
      <c r="J247" s="492">
        <v>243</v>
      </c>
      <c r="K247" s="492">
        <v>21</v>
      </c>
      <c r="L247" s="497">
        <f>IF(('Comparison Calculator'!$E$11-K247)&gt;=0,0,IFERROR(-PPMT($P$66/12,(J247-60),($F$1-5)*12,$P$65),0))</f>
        <v>0</v>
      </c>
      <c r="M247" s="497">
        <f>IF(('Comparison Calculator'!$E$11-K247)&gt;=0,$C$1*$P$66/12,IFERROR(-IPMT($P$66/12,(J247-60),($F$1-5)*12,$P$65,0),0))</f>
        <v>0</v>
      </c>
      <c r="N247" s="497">
        <f t="shared" si="91"/>
        <v>0</v>
      </c>
      <c r="O247" s="497">
        <f t="shared" si="104"/>
        <v>1800000</v>
      </c>
      <c r="P247" s="493"/>
      <c r="Q247" s="493"/>
      <c r="S247" s="492">
        <v>243</v>
      </c>
      <c r="T247" s="492">
        <v>21</v>
      </c>
      <c r="U247" s="497">
        <f>IF(('Comparison Calculator'!$E$11-T247)&gt;=0,0,IFERROR(-PPMT($Y$66/12,(S247-60),($F$1-5)*12,$Y$65),0))</f>
        <v>0</v>
      </c>
      <c r="V247" s="497">
        <f>IF(('Comparison Calculator'!$E$11-T247)&gt;=0,$C$1*$Y$66/12,IFERROR(-IPMT($Y$66/12,(S247-60),($F$1-5)*12,$Y$65,0),0))</f>
        <v>0</v>
      </c>
      <c r="W247" s="497">
        <f t="shared" si="92"/>
        <v>0</v>
      </c>
      <c r="X247" s="497">
        <f t="shared" si="105"/>
        <v>1800000</v>
      </c>
      <c r="Y247" s="493"/>
      <c r="Z247" s="493"/>
      <c r="AB247" s="492">
        <v>243</v>
      </c>
      <c r="AC247" s="492">
        <v>21</v>
      </c>
      <c r="AD247" s="497">
        <f>IF(('Comparison Calculator'!$E$11-AC247)&gt;=0,0,IFERROR(-PPMT($AH$66/12,(AB247-60),($F$1-5)*12,$AH$65),0))</f>
        <v>0</v>
      </c>
      <c r="AE247" s="497">
        <f>IF(('Comparison Calculator'!$E$11-AC247)&gt;=0,$C$1*$AH$66/12,IFERROR(-IPMT($AH$66/12,(AB247-60),($F$1-5)*12,$AH$65,0),0))</f>
        <v>0</v>
      </c>
      <c r="AF247" s="497">
        <f t="shared" si="93"/>
        <v>0</v>
      </c>
      <c r="AG247" s="497">
        <f t="shared" si="106"/>
        <v>1800000</v>
      </c>
      <c r="AH247" s="493"/>
      <c r="AI247" s="493"/>
      <c r="AK247" s="492">
        <v>243</v>
      </c>
      <c r="AL247" s="492">
        <v>21</v>
      </c>
      <c r="AM247" s="497">
        <f>IF(('Comparison Calculator'!$E$11-AL247)&gt;=0,0,IFERROR(-PPMT($AQ$66/12,(AK247-60),($F$1-5)*12,$AQ$65),0))</f>
        <v>0</v>
      </c>
      <c r="AN247" s="497">
        <f>IF(('Comparison Calculator'!$E$11-AL247)&gt;=0,$C$1*$AQ$66/12,IFERROR(-IPMT($AQ$66/12,(AK247-60),($F$1-5)*12,$AQ$65,0),0))</f>
        <v>0</v>
      </c>
      <c r="AO247" s="497">
        <f t="shared" si="94"/>
        <v>0</v>
      </c>
      <c r="AP247" s="497">
        <f t="shared" si="107"/>
        <v>1800000</v>
      </c>
      <c r="AQ247" s="493"/>
      <c r="AR247" s="493"/>
      <c r="AT247" s="492">
        <v>243</v>
      </c>
      <c r="AU247" s="492">
        <v>21</v>
      </c>
      <c r="AV247" s="497">
        <f>IF(('Comparison Calculator'!$E$11-AU247)&gt;=0,0,IFERROR(-PPMT($AZ$66/12,(AT247-60),($F$1-5)*12,$AZ$65),0))</f>
        <v>0</v>
      </c>
      <c r="AW247" s="497">
        <f>IF(('Comparison Calculator'!$E$11-AU247)&gt;=0,$C$1*$AZ$66/12,IFERROR(-IPMT($AZ$66/12,(AT247-60),($F$1-5)*12,$AZ$65,0),0))</f>
        <v>0</v>
      </c>
      <c r="AX247" s="497">
        <f t="shared" si="95"/>
        <v>0</v>
      </c>
      <c r="AY247" s="497">
        <f t="shared" si="108"/>
        <v>1800000</v>
      </c>
      <c r="AZ247" s="493"/>
      <c r="BA247" s="493"/>
      <c r="BC247" s="492">
        <v>243</v>
      </c>
      <c r="BD247" s="492">
        <v>21</v>
      </c>
      <c r="BE247" s="497">
        <f>IF(('Comparison Calculator'!$E$11-BD247)&gt;=0,0,IFERROR(-PPMT($BI$66/12,(BC247-60),($F$1-5)*12,$BI$65),0))</f>
        <v>0</v>
      </c>
      <c r="BF247" s="497">
        <f>IF(('Comparison Calculator'!$E$11-BD247)&gt;=0,$C$1*$BI$66/12,IFERROR(-IPMT($BI$66/12,(BC247-60),($F$1-5)*12,$BI$65,0),0))</f>
        <v>0</v>
      </c>
      <c r="BG247" s="497">
        <f t="shared" si="96"/>
        <v>0</v>
      </c>
      <c r="BH247" s="497">
        <f t="shared" si="109"/>
        <v>1800000</v>
      </c>
      <c r="BI247" s="493"/>
      <c r="BJ247" s="493"/>
      <c r="BK247" s="492">
        <v>243</v>
      </c>
      <c r="BL247" s="492">
        <v>21</v>
      </c>
      <c r="BM247" s="497">
        <f>IF(('Comparison Calculator'!$E$11-BL247)&gt;=0,0,IFERROR(-PPMT($BQ$66/12,(BK247-60),($F$1-5)*12,$BQ$65),0))</f>
        <v>0</v>
      </c>
      <c r="BN247" s="497">
        <f>IF(('Comparison Calculator'!$E$11-BL247)&gt;=0,$C$1*$BQ$66/12,IFERROR(-IPMT($BQ$66/12,(BK247-60),($F$1-5)*12,$BQ$65,0),0))</f>
        <v>0</v>
      </c>
      <c r="BO247" s="497">
        <f t="shared" si="97"/>
        <v>0</v>
      </c>
      <c r="BP247" s="497">
        <f t="shared" si="110"/>
        <v>1800000</v>
      </c>
      <c r="BQ247" s="493"/>
      <c r="BR247" s="493"/>
      <c r="BT247" s="492">
        <v>243</v>
      </c>
      <c r="BU247" s="492">
        <v>21</v>
      </c>
      <c r="BV247" s="497">
        <f>IF(('Comparison Calculator'!$E$11-BU247)&gt;=0,0,IFERROR(-PPMT($BZ$66/12,(BT247-60),($F$1-5)*12,$BZ$65),0))</f>
        <v>0</v>
      </c>
      <c r="BW247" s="497">
        <f>IF(('Comparison Calculator'!$E$11-BU247)&gt;=0,$C$1*$BZ$66/12,IFERROR(-IPMT($BZ$66/12,(BT247-60),($F$1-5)*12,$BZ$65,0),0))</f>
        <v>0</v>
      </c>
      <c r="BX247" s="497">
        <f t="shared" si="98"/>
        <v>0</v>
      </c>
      <c r="BY247" s="497">
        <f t="shared" si="111"/>
        <v>1800000</v>
      </c>
      <c r="BZ247" s="493"/>
      <c r="CA247" s="493"/>
      <c r="CC247" s="492">
        <v>243</v>
      </c>
      <c r="CD247" s="492">
        <v>21</v>
      </c>
      <c r="CE247" s="497">
        <f>IF(('Comparison Calculator'!$E$11-CD247)&gt;=0,0,IFERROR(-PPMT($CI$66/12,(CC247-60),($F$1-5)*12,$CI$65),0))</f>
        <v>0</v>
      </c>
      <c r="CF247" s="497">
        <f>IF(('Comparison Calculator'!$E$11-CD247)&gt;=0,$C$1*$CI$66/12,IFERROR(-IPMT($CI$66/12,(CC247-60),($F$1-5)*12,$CI$65,0),0))</f>
        <v>0</v>
      </c>
      <c r="CG247" s="497">
        <f t="shared" si="99"/>
        <v>0</v>
      </c>
      <c r="CH247" s="497">
        <f t="shared" si="112"/>
        <v>1800000</v>
      </c>
      <c r="CI247" s="493"/>
      <c r="CJ247" s="493"/>
      <c r="CL247" s="492">
        <v>243</v>
      </c>
      <c r="CM247" s="492">
        <v>21</v>
      </c>
      <c r="CN247" s="497">
        <f>IF(('Comparison Calculator'!$E$11-CM247)&gt;=0,0,IFERROR(-PPMT($CR$66/12,(CL247-60),($F$1-5)*12,$CR$65),0))</f>
        <v>0</v>
      </c>
      <c r="CO247" s="497">
        <f>IF(('Comparison Calculator'!$E$11-CM247)&gt;=0,$C$1*$CI$66/12,IFERROR(-IPMT($CI$66/12,(CL247-60),($F$1-5)*12,$CI$65,0),0))</f>
        <v>0</v>
      </c>
      <c r="CP247" s="497">
        <f t="shared" si="100"/>
        <v>0</v>
      </c>
      <c r="CQ247" s="497">
        <f t="shared" si="113"/>
        <v>1800000</v>
      </c>
      <c r="CR247" s="493"/>
      <c r="CS247" s="493"/>
      <c r="CU247" s="492">
        <v>243</v>
      </c>
      <c r="CV247" s="492">
        <v>21</v>
      </c>
      <c r="CW247" s="497">
        <f>IF(('Comparison Calculator'!$E$11-CV247)&gt;=0,0,IFERROR(-PPMT($DA$66/12,(CU247-60),($F$1-5)*12,$DA$65),0))</f>
        <v>0</v>
      </c>
      <c r="CX247" s="497">
        <f>IF(('Comparison Calculator'!$E$11-CV247)&gt;=0,$C$1*$DA$66/12,IFERROR(-IPMT($DA$66/12,(CU247-60),($F$1-5)*12,$DA$65,0),0))</f>
        <v>0</v>
      </c>
      <c r="CY247" s="497">
        <f t="shared" si="101"/>
        <v>0</v>
      </c>
      <c r="CZ247" s="497">
        <f t="shared" si="114"/>
        <v>1800000</v>
      </c>
      <c r="DA247" s="493"/>
      <c r="DB247" s="493"/>
      <c r="DD247" s="492">
        <v>243</v>
      </c>
      <c r="DE247" s="492">
        <v>21</v>
      </c>
      <c r="DF247" s="497">
        <f>IF(('Comparison Calculator'!$E$11-DE247)&gt;=0,0,IFERROR(-PPMT($DJ$66/12,(DD247-60),($F$1-5)*12,$DJ$65),0))</f>
        <v>0</v>
      </c>
      <c r="DG247" s="497">
        <f>IF(('Comparison Calculator'!$E$11-DE247)&gt;=0,$C$1*$DJ$66/12,IFERROR(-IPMT($DJ$66/12,(DD247-60),($F$1-5)*12,$DJ$65,0),0))</f>
        <v>0</v>
      </c>
      <c r="DH247" s="497">
        <f t="shared" si="102"/>
        <v>0</v>
      </c>
      <c r="DI247" s="497">
        <f t="shared" si="115"/>
        <v>1800000</v>
      </c>
      <c r="DJ247" s="493"/>
      <c r="DK247" s="493"/>
    </row>
    <row r="248" spans="1:115">
      <c r="A248" s="492">
        <v>244</v>
      </c>
      <c r="B248" s="492">
        <v>21</v>
      </c>
      <c r="C248" s="497">
        <f>IF(('Comparison Calculator'!$E$11-B248)&gt;=0,0,IFERROR(-PPMT($G$66/12,(A248-60),($F$1-5)*12,$G$65),0))</f>
        <v>0</v>
      </c>
      <c r="D248" s="497">
        <f>IF(('Comparison Calculator'!$E$11-B248)&gt;=0,$C$1*$G$66/12,IFERROR(-IPMT($G$66/12,(A248-60),($F$1-5)*12,$G$65,0),0))</f>
        <v>0</v>
      </c>
      <c r="E248" s="497">
        <f t="shared" si="90"/>
        <v>0</v>
      </c>
      <c r="F248" s="497">
        <f t="shared" si="103"/>
        <v>1800000</v>
      </c>
      <c r="G248" s="493"/>
      <c r="H248" s="493"/>
      <c r="I248" s="489"/>
      <c r="J248" s="492">
        <v>244</v>
      </c>
      <c r="K248" s="492">
        <v>21</v>
      </c>
      <c r="L248" s="497">
        <f>IF(('Comparison Calculator'!$E$11-K248)&gt;=0,0,IFERROR(-PPMT($P$66/12,(J248-60),($F$1-5)*12,$P$65),0))</f>
        <v>0</v>
      </c>
      <c r="M248" s="497">
        <f>IF(('Comparison Calculator'!$E$11-K248)&gt;=0,$C$1*$P$66/12,IFERROR(-IPMT($P$66/12,(J248-60),($F$1-5)*12,$P$65,0),0))</f>
        <v>0</v>
      </c>
      <c r="N248" s="497">
        <f t="shared" si="91"/>
        <v>0</v>
      </c>
      <c r="O248" s="497">
        <f t="shared" si="104"/>
        <v>1800000</v>
      </c>
      <c r="P248" s="493"/>
      <c r="Q248" s="493"/>
      <c r="S248" s="492">
        <v>244</v>
      </c>
      <c r="T248" s="492">
        <v>21</v>
      </c>
      <c r="U248" s="497">
        <f>IF(('Comparison Calculator'!$E$11-T248)&gt;=0,0,IFERROR(-PPMT($Y$66/12,(S248-60),($F$1-5)*12,$Y$65),0))</f>
        <v>0</v>
      </c>
      <c r="V248" s="497">
        <f>IF(('Comparison Calculator'!$E$11-T248)&gt;=0,$C$1*$Y$66/12,IFERROR(-IPMT($Y$66/12,(S248-60),($F$1-5)*12,$Y$65,0),0))</f>
        <v>0</v>
      </c>
      <c r="W248" s="497">
        <f t="shared" si="92"/>
        <v>0</v>
      </c>
      <c r="X248" s="497">
        <f t="shared" si="105"/>
        <v>1800000</v>
      </c>
      <c r="Y248" s="493"/>
      <c r="Z248" s="493"/>
      <c r="AB248" s="492">
        <v>244</v>
      </c>
      <c r="AC248" s="492">
        <v>21</v>
      </c>
      <c r="AD248" s="497">
        <f>IF(('Comparison Calculator'!$E$11-AC248)&gt;=0,0,IFERROR(-PPMT($AH$66/12,(AB248-60),($F$1-5)*12,$AH$65),0))</f>
        <v>0</v>
      </c>
      <c r="AE248" s="497">
        <f>IF(('Comparison Calculator'!$E$11-AC248)&gt;=0,$C$1*$AH$66/12,IFERROR(-IPMT($AH$66/12,(AB248-60),($F$1-5)*12,$AH$65,0),0))</f>
        <v>0</v>
      </c>
      <c r="AF248" s="497">
        <f t="shared" si="93"/>
        <v>0</v>
      </c>
      <c r="AG248" s="497">
        <f t="shared" si="106"/>
        <v>1800000</v>
      </c>
      <c r="AH248" s="493"/>
      <c r="AI248" s="493"/>
      <c r="AK248" s="492">
        <v>244</v>
      </c>
      <c r="AL248" s="492">
        <v>21</v>
      </c>
      <c r="AM248" s="497">
        <f>IF(('Comparison Calculator'!$E$11-AL248)&gt;=0,0,IFERROR(-PPMT($AQ$66/12,(AK248-60),($F$1-5)*12,$AQ$65),0))</f>
        <v>0</v>
      </c>
      <c r="AN248" s="497">
        <f>IF(('Comparison Calculator'!$E$11-AL248)&gt;=0,$C$1*$AQ$66/12,IFERROR(-IPMT($AQ$66/12,(AK248-60),($F$1-5)*12,$AQ$65,0),0))</f>
        <v>0</v>
      </c>
      <c r="AO248" s="497">
        <f t="shared" si="94"/>
        <v>0</v>
      </c>
      <c r="AP248" s="497">
        <f t="shared" si="107"/>
        <v>1800000</v>
      </c>
      <c r="AQ248" s="493"/>
      <c r="AR248" s="493"/>
      <c r="AT248" s="492">
        <v>244</v>
      </c>
      <c r="AU248" s="492">
        <v>21</v>
      </c>
      <c r="AV248" s="497">
        <f>IF(('Comparison Calculator'!$E$11-AU248)&gt;=0,0,IFERROR(-PPMT($AZ$66/12,(AT248-60),($F$1-5)*12,$AZ$65),0))</f>
        <v>0</v>
      </c>
      <c r="AW248" s="497">
        <f>IF(('Comparison Calculator'!$E$11-AU248)&gt;=0,$C$1*$AZ$66/12,IFERROR(-IPMT($AZ$66/12,(AT248-60),($F$1-5)*12,$AZ$65,0),0))</f>
        <v>0</v>
      </c>
      <c r="AX248" s="497">
        <f t="shared" si="95"/>
        <v>0</v>
      </c>
      <c r="AY248" s="497">
        <f t="shared" si="108"/>
        <v>1800000</v>
      </c>
      <c r="AZ248" s="493"/>
      <c r="BA248" s="493"/>
      <c r="BC248" s="492">
        <v>244</v>
      </c>
      <c r="BD248" s="492">
        <v>21</v>
      </c>
      <c r="BE248" s="497">
        <f>IF(('Comparison Calculator'!$E$11-BD248)&gt;=0,0,IFERROR(-PPMT($BI$66/12,(BC248-60),($F$1-5)*12,$BI$65),0))</f>
        <v>0</v>
      </c>
      <c r="BF248" s="497">
        <f>IF(('Comparison Calculator'!$E$11-BD248)&gt;=0,$C$1*$BI$66/12,IFERROR(-IPMT($BI$66/12,(BC248-60),($F$1-5)*12,$BI$65,0),0))</f>
        <v>0</v>
      </c>
      <c r="BG248" s="497">
        <f t="shared" si="96"/>
        <v>0</v>
      </c>
      <c r="BH248" s="497">
        <f t="shared" si="109"/>
        <v>1800000</v>
      </c>
      <c r="BI248" s="493"/>
      <c r="BJ248" s="493"/>
      <c r="BK248" s="492">
        <v>244</v>
      </c>
      <c r="BL248" s="492">
        <v>21</v>
      </c>
      <c r="BM248" s="497">
        <f>IF(('Comparison Calculator'!$E$11-BL248)&gt;=0,0,IFERROR(-PPMT($BQ$66/12,(BK248-60),($F$1-5)*12,$BQ$65),0))</f>
        <v>0</v>
      </c>
      <c r="BN248" s="497">
        <f>IF(('Comparison Calculator'!$E$11-BL248)&gt;=0,$C$1*$BQ$66/12,IFERROR(-IPMT($BQ$66/12,(BK248-60),($F$1-5)*12,$BQ$65,0),0))</f>
        <v>0</v>
      </c>
      <c r="BO248" s="497">
        <f t="shared" si="97"/>
        <v>0</v>
      </c>
      <c r="BP248" s="497">
        <f t="shared" si="110"/>
        <v>1800000</v>
      </c>
      <c r="BQ248" s="493"/>
      <c r="BR248" s="493"/>
      <c r="BT248" s="492">
        <v>244</v>
      </c>
      <c r="BU248" s="492">
        <v>21</v>
      </c>
      <c r="BV248" s="497">
        <f>IF(('Comparison Calculator'!$E$11-BU248)&gt;=0,0,IFERROR(-PPMT($BZ$66/12,(BT248-60),($F$1-5)*12,$BZ$65),0))</f>
        <v>0</v>
      </c>
      <c r="BW248" s="497">
        <f>IF(('Comparison Calculator'!$E$11-BU248)&gt;=0,$C$1*$BZ$66/12,IFERROR(-IPMT($BZ$66/12,(BT248-60),($F$1-5)*12,$BZ$65,0),0))</f>
        <v>0</v>
      </c>
      <c r="BX248" s="497">
        <f t="shared" si="98"/>
        <v>0</v>
      </c>
      <c r="BY248" s="497">
        <f t="shared" si="111"/>
        <v>1800000</v>
      </c>
      <c r="BZ248" s="493"/>
      <c r="CA248" s="493"/>
      <c r="CC248" s="492">
        <v>244</v>
      </c>
      <c r="CD248" s="492">
        <v>21</v>
      </c>
      <c r="CE248" s="497">
        <f>IF(('Comparison Calculator'!$E$11-CD248)&gt;=0,0,IFERROR(-PPMT($CI$66/12,(CC248-60),($F$1-5)*12,$CI$65),0))</f>
        <v>0</v>
      </c>
      <c r="CF248" s="497">
        <f>IF(('Comparison Calculator'!$E$11-CD248)&gt;=0,$C$1*$CI$66/12,IFERROR(-IPMT($CI$66/12,(CC248-60),($F$1-5)*12,$CI$65,0),0))</f>
        <v>0</v>
      </c>
      <c r="CG248" s="497">
        <f t="shared" si="99"/>
        <v>0</v>
      </c>
      <c r="CH248" s="497">
        <f t="shared" si="112"/>
        <v>1800000</v>
      </c>
      <c r="CI248" s="493"/>
      <c r="CJ248" s="493"/>
      <c r="CL248" s="492">
        <v>244</v>
      </c>
      <c r="CM248" s="492">
        <v>21</v>
      </c>
      <c r="CN248" s="497">
        <f>IF(('Comparison Calculator'!$E$11-CM248)&gt;=0,0,IFERROR(-PPMT($CR$66/12,(CL248-60),($F$1-5)*12,$CR$65),0))</f>
        <v>0</v>
      </c>
      <c r="CO248" s="497">
        <f>IF(('Comparison Calculator'!$E$11-CM248)&gt;=0,$C$1*$CI$66/12,IFERROR(-IPMT($CI$66/12,(CL248-60),($F$1-5)*12,$CI$65,0),0))</f>
        <v>0</v>
      </c>
      <c r="CP248" s="497">
        <f t="shared" si="100"/>
        <v>0</v>
      </c>
      <c r="CQ248" s="497">
        <f t="shared" si="113"/>
        <v>1800000</v>
      </c>
      <c r="CR248" s="493"/>
      <c r="CS248" s="493"/>
      <c r="CU248" s="492">
        <v>244</v>
      </c>
      <c r="CV248" s="492">
        <v>21</v>
      </c>
      <c r="CW248" s="497">
        <f>IF(('Comparison Calculator'!$E$11-CV248)&gt;=0,0,IFERROR(-PPMT($DA$66/12,(CU248-60),($F$1-5)*12,$DA$65),0))</f>
        <v>0</v>
      </c>
      <c r="CX248" s="497">
        <f>IF(('Comparison Calculator'!$E$11-CV248)&gt;=0,$C$1*$DA$66/12,IFERROR(-IPMT($DA$66/12,(CU248-60),($F$1-5)*12,$DA$65,0),0))</f>
        <v>0</v>
      </c>
      <c r="CY248" s="497">
        <f t="shared" si="101"/>
        <v>0</v>
      </c>
      <c r="CZ248" s="497">
        <f t="shared" si="114"/>
        <v>1800000</v>
      </c>
      <c r="DA248" s="493"/>
      <c r="DB248" s="493"/>
      <c r="DD248" s="492">
        <v>244</v>
      </c>
      <c r="DE248" s="492">
        <v>21</v>
      </c>
      <c r="DF248" s="497">
        <f>IF(('Comparison Calculator'!$E$11-DE248)&gt;=0,0,IFERROR(-PPMT($DJ$66/12,(DD248-60),($F$1-5)*12,$DJ$65),0))</f>
        <v>0</v>
      </c>
      <c r="DG248" s="497">
        <f>IF(('Comparison Calculator'!$E$11-DE248)&gt;=0,$C$1*$DJ$66/12,IFERROR(-IPMT($DJ$66/12,(DD248-60),($F$1-5)*12,$DJ$65,0),0))</f>
        <v>0</v>
      </c>
      <c r="DH248" s="497">
        <f t="shared" si="102"/>
        <v>0</v>
      </c>
      <c r="DI248" s="497">
        <f t="shared" si="115"/>
        <v>1800000</v>
      </c>
      <c r="DJ248" s="493"/>
      <c r="DK248" s="493"/>
    </row>
    <row r="249" spans="1:115">
      <c r="A249" s="492">
        <v>245</v>
      </c>
      <c r="B249" s="492">
        <v>21</v>
      </c>
      <c r="C249" s="497">
        <f>IF(('Comparison Calculator'!$E$11-B249)&gt;=0,0,IFERROR(-PPMT($G$66/12,(A249-60),($F$1-5)*12,$G$65),0))</f>
        <v>0</v>
      </c>
      <c r="D249" s="497">
        <f>IF(('Comparison Calculator'!$E$11-B249)&gt;=0,$C$1*$G$66/12,IFERROR(-IPMT($G$66/12,(A249-60),($F$1-5)*12,$G$65,0),0))</f>
        <v>0</v>
      </c>
      <c r="E249" s="497">
        <f t="shared" si="90"/>
        <v>0</v>
      </c>
      <c r="F249" s="497">
        <f t="shared" si="103"/>
        <v>1800000</v>
      </c>
      <c r="G249" s="493"/>
      <c r="H249" s="493"/>
      <c r="I249" s="489"/>
      <c r="J249" s="492">
        <v>245</v>
      </c>
      <c r="K249" s="492">
        <v>21</v>
      </c>
      <c r="L249" s="497">
        <f>IF(('Comparison Calculator'!$E$11-K249)&gt;=0,0,IFERROR(-PPMT($P$66/12,(J249-60),($F$1-5)*12,$P$65),0))</f>
        <v>0</v>
      </c>
      <c r="M249" s="497">
        <f>IF(('Comparison Calculator'!$E$11-K249)&gt;=0,$C$1*$P$66/12,IFERROR(-IPMT($P$66/12,(J249-60),($F$1-5)*12,$P$65,0),0))</f>
        <v>0</v>
      </c>
      <c r="N249" s="497">
        <f t="shared" si="91"/>
        <v>0</v>
      </c>
      <c r="O249" s="497">
        <f t="shared" si="104"/>
        <v>1800000</v>
      </c>
      <c r="P249" s="493"/>
      <c r="Q249" s="493"/>
      <c r="S249" s="492">
        <v>245</v>
      </c>
      <c r="T249" s="492">
        <v>21</v>
      </c>
      <c r="U249" s="497">
        <f>IF(('Comparison Calculator'!$E$11-T249)&gt;=0,0,IFERROR(-PPMT($Y$66/12,(S249-60),($F$1-5)*12,$Y$65),0))</f>
        <v>0</v>
      </c>
      <c r="V249" s="497">
        <f>IF(('Comparison Calculator'!$E$11-T249)&gt;=0,$C$1*$Y$66/12,IFERROR(-IPMT($Y$66/12,(S249-60),($F$1-5)*12,$Y$65,0),0))</f>
        <v>0</v>
      </c>
      <c r="W249" s="497">
        <f t="shared" si="92"/>
        <v>0</v>
      </c>
      <c r="X249" s="497">
        <f t="shared" si="105"/>
        <v>1800000</v>
      </c>
      <c r="Y249" s="493"/>
      <c r="Z249" s="493"/>
      <c r="AB249" s="492">
        <v>245</v>
      </c>
      <c r="AC249" s="492">
        <v>21</v>
      </c>
      <c r="AD249" s="497">
        <f>IF(('Comparison Calculator'!$E$11-AC249)&gt;=0,0,IFERROR(-PPMT($AH$66/12,(AB249-60),($F$1-5)*12,$AH$65),0))</f>
        <v>0</v>
      </c>
      <c r="AE249" s="497">
        <f>IF(('Comparison Calculator'!$E$11-AC249)&gt;=0,$C$1*$AH$66/12,IFERROR(-IPMT($AH$66/12,(AB249-60),($F$1-5)*12,$AH$65,0),0))</f>
        <v>0</v>
      </c>
      <c r="AF249" s="497">
        <f t="shared" si="93"/>
        <v>0</v>
      </c>
      <c r="AG249" s="497">
        <f t="shared" si="106"/>
        <v>1800000</v>
      </c>
      <c r="AH249" s="493"/>
      <c r="AI249" s="493"/>
      <c r="AK249" s="492">
        <v>245</v>
      </c>
      <c r="AL249" s="492">
        <v>21</v>
      </c>
      <c r="AM249" s="497">
        <f>IF(('Comparison Calculator'!$E$11-AL249)&gt;=0,0,IFERROR(-PPMT($AQ$66/12,(AK249-60),($F$1-5)*12,$AQ$65),0))</f>
        <v>0</v>
      </c>
      <c r="AN249" s="497">
        <f>IF(('Comparison Calculator'!$E$11-AL249)&gt;=0,$C$1*$AQ$66/12,IFERROR(-IPMT($AQ$66/12,(AK249-60),($F$1-5)*12,$AQ$65,0),0))</f>
        <v>0</v>
      </c>
      <c r="AO249" s="497">
        <f t="shared" si="94"/>
        <v>0</v>
      </c>
      <c r="AP249" s="497">
        <f t="shared" si="107"/>
        <v>1800000</v>
      </c>
      <c r="AQ249" s="493"/>
      <c r="AR249" s="493"/>
      <c r="AT249" s="492">
        <v>245</v>
      </c>
      <c r="AU249" s="492">
        <v>21</v>
      </c>
      <c r="AV249" s="497">
        <f>IF(('Comparison Calculator'!$E$11-AU249)&gt;=0,0,IFERROR(-PPMT($AZ$66/12,(AT249-60),($F$1-5)*12,$AZ$65),0))</f>
        <v>0</v>
      </c>
      <c r="AW249" s="497">
        <f>IF(('Comparison Calculator'!$E$11-AU249)&gt;=0,$C$1*$AZ$66/12,IFERROR(-IPMT($AZ$66/12,(AT249-60),($F$1-5)*12,$AZ$65,0),0))</f>
        <v>0</v>
      </c>
      <c r="AX249" s="497">
        <f t="shared" si="95"/>
        <v>0</v>
      </c>
      <c r="AY249" s="497">
        <f t="shared" si="108"/>
        <v>1800000</v>
      </c>
      <c r="AZ249" s="493"/>
      <c r="BA249" s="493"/>
      <c r="BC249" s="492">
        <v>245</v>
      </c>
      <c r="BD249" s="492">
        <v>21</v>
      </c>
      <c r="BE249" s="497">
        <f>IF(('Comparison Calculator'!$E$11-BD249)&gt;=0,0,IFERROR(-PPMT($BI$66/12,(BC249-60),($F$1-5)*12,$BI$65),0))</f>
        <v>0</v>
      </c>
      <c r="BF249" s="497">
        <f>IF(('Comparison Calculator'!$E$11-BD249)&gt;=0,$C$1*$BI$66/12,IFERROR(-IPMT($BI$66/12,(BC249-60),($F$1-5)*12,$BI$65,0),0))</f>
        <v>0</v>
      </c>
      <c r="BG249" s="497">
        <f t="shared" si="96"/>
        <v>0</v>
      </c>
      <c r="BH249" s="497">
        <f t="shared" si="109"/>
        <v>1800000</v>
      </c>
      <c r="BI249" s="493"/>
      <c r="BJ249" s="493"/>
      <c r="BK249" s="492">
        <v>245</v>
      </c>
      <c r="BL249" s="492">
        <v>21</v>
      </c>
      <c r="BM249" s="497">
        <f>IF(('Comparison Calculator'!$E$11-BL249)&gt;=0,0,IFERROR(-PPMT($BQ$66/12,(BK249-60),($F$1-5)*12,$BQ$65),0))</f>
        <v>0</v>
      </c>
      <c r="BN249" s="497">
        <f>IF(('Comparison Calculator'!$E$11-BL249)&gt;=0,$C$1*$BQ$66/12,IFERROR(-IPMT($BQ$66/12,(BK249-60),($F$1-5)*12,$BQ$65,0),0))</f>
        <v>0</v>
      </c>
      <c r="BO249" s="497">
        <f t="shared" si="97"/>
        <v>0</v>
      </c>
      <c r="BP249" s="497">
        <f t="shared" si="110"/>
        <v>1800000</v>
      </c>
      <c r="BQ249" s="493"/>
      <c r="BR249" s="493"/>
      <c r="BT249" s="492">
        <v>245</v>
      </c>
      <c r="BU249" s="492">
        <v>21</v>
      </c>
      <c r="BV249" s="497">
        <f>IF(('Comparison Calculator'!$E$11-BU249)&gt;=0,0,IFERROR(-PPMT($BZ$66/12,(BT249-60),($F$1-5)*12,$BZ$65),0))</f>
        <v>0</v>
      </c>
      <c r="BW249" s="497">
        <f>IF(('Comparison Calculator'!$E$11-BU249)&gt;=0,$C$1*$BZ$66/12,IFERROR(-IPMT($BZ$66/12,(BT249-60),($F$1-5)*12,$BZ$65,0),0))</f>
        <v>0</v>
      </c>
      <c r="BX249" s="497">
        <f t="shared" si="98"/>
        <v>0</v>
      </c>
      <c r="BY249" s="497">
        <f t="shared" si="111"/>
        <v>1800000</v>
      </c>
      <c r="BZ249" s="493"/>
      <c r="CA249" s="493"/>
      <c r="CC249" s="492">
        <v>245</v>
      </c>
      <c r="CD249" s="492">
        <v>21</v>
      </c>
      <c r="CE249" s="497">
        <f>IF(('Comparison Calculator'!$E$11-CD249)&gt;=0,0,IFERROR(-PPMT($CI$66/12,(CC249-60),($F$1-5)*12,$CI$65),0))</f>
        <v>0</v>
      </c>
      <c r="CF249" s="497">
        <f>IF(('Comparison Calculator'!$E$11-CD249)&gt;=0,$C$1*$CI$66/12,IFERROR(-IPMT($CI$66/12,(CC249-60),($F$1-5)*12,$CI$65,0),0))</f>
        <v>0</v>
      </c>
      <c r="CG249" s="497">
        <f t="shared" si="99"/>
        <v>0</v>
      </c>
      <c r="CH249" s="497">
        <f t="shared" si="112"/>
        <v>1800000</v>
      </c>
      <c r="CI249" s="493"/>
      <c r="CJ249" s="493"/>
      <c r="CL249" s="492">
        <v>245</v>
      </c>
      <c r="CM249" s="492">
        <v>21</v>
      </c>
      <c r="CN249" s="497">
        <f>IF(('Comparison Calculator'!$E$11-CM249)&gt;=0,0,IFERROR(-PPMT($CR$66/12,(CL249-60),($F$1-5)*12,$CR$65),0))</f>
        <v>0</v>
      </c>
      <c r="CO249" s="497">
        <f>IF(('Comparison Calculator'!$E$11-CM249)&gt;=0,$C$1*$CI$66/12,IFERROR(-IPMT($CI$66/12,(CL249-60),($F$1-5)*12,$CI$65,0),0))</f>
        <v>0</v>
      </c>
      <c r="CP249" s="497">
        <f t="shared" si="100"/>
        <v>0</v>
      </c>
      <c r="CQ249" s="497">
        <f t="shared" si="113"/>
        <v>1800000</v>
      </c>
      <c r="CR249" s="493"/>
      <c r="CS249" s="493"/>
      <c r="CU249" s="492">
        <v>245</v>
      </c>
      <c r="CV249" s="492">
        <v>21</v>
      </c>
      <c r="CW249" s="497">
        <f>IF(('Comparison Calculator'!$E$11-CV249)&gt;=0,0,IFERROR(-PPMT($DA$66/12,(CU249-60),($F$1-5)*12,$DA$65),0))</f>
        <v>0</v>
      </c>
      <c r="CX249" s="497">
        <f>IF(('Comparison Calculator'!$E$11-CV249)&gt;=0,$C$1*$DA$66/12,IFERROR(-IPMT($DA$66/12,(CU249-60),($F$1-5)*12,$DA$65,0),0))</f>
        <v>0</v>
      </c>
      <c r="CY249" s="497">
        <f t="shared" si="101"/>
        <v>0</v>
      </c>
      <c r="CZ249" s="497">
        <f t="shared" si="114"/>
        <v>1800000</v>
      </c>
      <c r="DA249" s="493"/>
      <c r="DB249" s="493"/>
      <c r="DD249" s="492">
        <v>245</v>
      </c>
      <c r="DE249" s="492">
        <v>21</v>
      </c>
      <c r="DF249" s="497">
        <f>IF(('Comparison Calculator'!$E$11-DE249)&gt;=0,0,IFERROR(-PPMT($DJ$66/12,(DD249-60),($F$1-5)*12,$DJ$65),0))</f>
        <v>0</v>
      </c>
      <c r="DG249" s="497">
        <f>IF(('Comparison Calculator'!$E$11-DE249)&gt;=0,$C$1*$DJ$66/12,IFERROR(-IPMT($DJ$66/12,(DD249-60),($F$1-5)*12,$DJ$65,0),0))</f>
        <v>0</v>
      </c>
      <c r="DH249" s="497">
        <f t="shared" si="102"/>
        <v>0</v>
      </c>
      <c r="DI249" s="497">
        <f t="shared" si="115"/>
        <v>1800000</v>
      </c>
      <c r="DJ249" s="493"/>
      <c r="DK249" s="493"/>
    </row>
    <row r="250" spans="1:115">
      <c r="A250" s="492">
        <v>246</v>
      </c>
      <c r="B250" s="492">
        <v>21</v>
      </c>
      <c r="C250" s="497">
        <f>IF(('Comparison Calculator'!$E$11-B250)&gt;=0,0,IFERROR(-PPMT($G$66/12,(A250-60),($F$1-5)*12,$G$65),0))</f>
        <v>0</v>
      </c>
      <c r="D250" s="497">
        <f>IF(('Comparison Calculator'!$E$11-B250)&gt;=0,$C$1*$G$66/12,IFERROR(-IPMT($G$66/12,(A250-60),($F$1-5)*12,$G$65,0),0))</f>
        <v>0</v>
      </c>
      <c r="E250" s="497">
        <f t="shared" si="90"/>
        <v>0</v>
      </c>
      <c r="F250" s="497">
        <f t="shared" si="103"/>
        <v>1800000</v>
      </c>
      <c r="G250" s="493"/>
      <c r="H250" s="493"/>
      <c r="I250" s="489"/>
      <c r="J250" s="492">
        <v>246</v>
      </c>
      <c r="K250" s="492">
        <v>21</v>
      </c>
      <c r="L250" s="497">
        <f>IF(('Comparison Calculator'!$E$11-K250)&gt;=0,0,IFERROR(-PPMT($P$66/12,(J250-60),($F$1-5)*12,$P$65),0))</f>
        <v>0</v>
      </c>
      <c r="M250" s="497">
        <f>IF(('Comparison Calculator'!$E$11-K250)&gt;=0,$C$1*$P$66/12,IFERROR(-IPMT($P$66/12,(J250-60),($F$1-5)*12,$P$65,0),0))</f>
        <v>0</v>
      </c>
      <c r="N250" s="497">
        <f t="shared" si="91"/>
        <v>0</v>
      </c>
      <c r="O250" s="497">
        <f t="shared" si="104"/>
        <v>1800000</v>
      </c>
      <c r="P250" s="493"/>
      <c r="Q250" s="493"/>
      <c r="S250" s="492">
        <v>246</v>
      </c>
      <c r="T250" s="492">
        <v>21</v>
      </c>
      <c r="U250" s="497">
        <f>IF(('Comparison Calculator'!$E$11-T250)&gt;=0,0,IFERROR(-PPMT($Y$66/12,(S250-60),($F$1-5)*12,$Y$65),0))</f>
        <v>0</v>
      </c>
      <c r="V250" s="497">
        <f>IF(('Comparison Calculator'!$E$11-T250)&gt;=0,$C$1*$Y$66/12,IFERROR(-IPMT($Y$66/12,(S250-60),($F$1-5)*12,$Y$65,0),0))</f>
        <v>0</v>
      </c>
      <c r="W250" s="497">
        <f t="shared" si="92"/>
        <v>0</v>
      </c>
      <c r="X250" s="497">
        <f t="shared" si="105"/>
        <v>1800000</v>
      </c>
      <c r="Y250" s="493"/>
      <c r="Z250" s="493"/>
      <c r="AB250" s="492">
        <v>246</v>
      </c>
      <c r="AC250" s="492">
        <v>21</v>
      </c>
      <c r="AD250" s="497">
        <f>IF(('Comparison Calculator'!$E$11-AC250)&gt;=0,0,IFERROR(-PPMT($AH$66/12,(AB250-60),($F$1-5)*12,$AH$65),0))</f>
        <v>0</v>
      </c>
      <c r="AE250" s="497">
        <f>IF(('Comparison Calculator'!$E$11-AC250)&gt;=0,$C$1*$AH$66/12,IFERROR(-IPMT($AH$66/12,(AB250-60),($F$1-5)*12,$AH$65,0),0))</f>
        <v>0</v>
      </c>
      <c r="AF250" s="497">
        <f t="shared" si="93"/>
        <v>0</v>
      </c>
      <c r="AG250" s="497">
        <f t="shared" si="106"/>
        <v>1800000</v>
      </c>
      <c r="AH250" s="493"/>
      <c r="AI250" s="493"/>
      <c r="AK250" s="492">
        <v>246</v>
      </c>
      <c r="AL250" s="492">
        <v>21</v>
      </c>
      <c r="AM250" s="497">
        <f>IF(('Comparison Calculator'!$E$11-AL250)&gt;=0,0,IFERROR(-PPMT($AQ$66/12,(AK250-60),($F$1-5)*12,$AQ$65),0))</f>
        <v>0</v>
      </c>
      <c r="AN250" s="497">
        <f>IF(('Comparison Calculator'!$E$11-AL250)&gt;=0,$C$1*$AQ$66/12,IFERROR(-IPMT($AQ$66/12,(AK250-60),($F$1-5)*12,$AQ$65,0),0))</f>
        <v>0</v>
      </c>
      <c r="AO250" s="497">
        <f t="shared" si="94"/>
        <v>0</v>
      </c>
      <c r="AP250" s="497">
        <f t="shared" si="107"/>
        <v>1800000</v>
      </c>
      <c r="AQ250" s="493"/>
      <c r="AR250" s="493"/>
      <c r="AT250" s="492">
        <v>246</v>
      </c>
      <c r="AU250" s="492">
        <v>21</v>
      </c>
      <c r="AV250" s="497">
        <f>IF(('Comparison Calculator'!$E$11-AU250)&gt;=0,0,IFERROR(-PPMT($AZ$66/12,(AT250-60),($F$1-5)*12,$AZ$65),0))</f>
        <v>0</v>
      </c>
      <c r="AW250" s="497">
        <f>IF(('Comparison Calculator'!$E$11-AU250)&gt;=0,$C$1*$AZ$66/12,IFERROR(-IPMT($AZ$66/12,(AT250-60),($F$1-5)*12,$AZ$65,0),0))</f>
        <v>0</v>
      </c>
      <c r="AX250" s="497">
        <f t="shared" si="95"/>
        <v>0</v>
      </c>
      <c r="AY250" s="497">
        <f t="shared" si="108"/>
        <v>1800000</v>
      </c>
      <c r="AZ250" s="493"/>
      <c r="BA250" s="493"/>
      <c r="BC250" s="492">
        <v>246</v>
      </c>
      <c r="BD250" s="492">
        <v>21</v>
      </c>
      <c r="BE250" s="497">
        <f>IF(('Comparison Calculator'!$E$11-BD250)&gt;=0,0,IFERROR(-PPMT($BI$66/12,(BC250-60),($F$1-5)*12,$BI$65),0))</f>
        <v>0</v>
      </c>
      <c r="BF250" s="497">
        <f>IF(('Comparison Calculator'!$E$11-BD250)&gt;=0,$C$1*$BI$66/12,IFERROR(-IPMT($BI$66/12,(BC250-60),($F$1-5)*12,$BI$65,0),0))</f>
        <v>0</v>
      </c>
      <c r="BG250" s="497">
        <f t="shared" si="96"/>
        <v>0</v>
      </c>
      <c r="BH250" s="497">
        <f t="shared" si="109"/>
        <v>1800000</v>
      </c>
      <c r="BI250" s="493"/>
      <c r="BJ250" s="493"/>
      <c r="BK250" s="492">
        <v>246</v>
      </c>
      <c r="BL250" s="492">
        <v>21</v>
      </c>
      <c r="BM250" s="497">
        <f>IF(('Comparison Calculator'!$E$11-BL250)&gt;=0,0,IFERROR(-PPMT($BQ$66/12,(BK250-60),($F$1-5)*12,$BQ$65),0))</f>
        <v>0</v>
      </c>
      <c r="BN250" s="497">
        <f>IF(('Comparison Calculator'!$E$11-BL250)&gt;=0,$C$1*$BQ$66/12,IFERROR(-IPMT($BQ$66/12,(BK250-60),($F$1-5)*12,$BQ$65,0),0))</f>
        <v>0</v>
      </c>
      <c r="BO250" s="497">
        <f t="shared" si="97"/>
        <v>0</v>
      </c>
      <c r="BP250" s="497">
        <f t="shared" si="110"/>
        <v>1800000</v>
      </c>
      <c r="BQ250" s="493"/>
      <c r="BR250" s="493"/>
      <c r="BT250" s="492">
        <v>246</v>
      </c>
      <c r="BU250" s="492">
        <v>21</v>
      </c>
      <c r="BV250" s="497">
        <f>IF(('Comparison Calculator'!$E$11-BU250)&gt;=0,0,IFERROR(-PPMT($BZ$66/12,(BT250-60),($F$1-5)*12,$BZ$65),0))</f>
        <v>0</v>
      </c>
      <c r="BW250" s="497">
        <f>IF(('Comparison Calculator'!$E$11-BU250)&gt;=0,$C$1*$BZ$66/12,IFERROR(-IPMT($BZ$66/12,(BT250-60),($F$1-5)*12,$BZ$65,0),0))</f>
        <v>0</v>
      </c>
      <c r="BX250" s="497">
        <f t="shared" si="98"/>
        <v>0</v>
      </c>
      <c r="BY250" s="497">
        <f t="shared" si="111"/>
        <v>1800000</v>
      </c>
      <c r="BZ250" s="493"/>
      <c r="CA250" s="493"/>
      <c r="CC250" s="492">
        <v>246</v>
      </c>
      <c r="CD250" s="492">
        <v>21</v>
      </c>
      <c r="CE250" s="497">
        <f>IF(('Comparison Calculator'!$E$11-CD250)&gt;=0,0,IFERROR(-PPMT($CI$66/12,(CC250-60),($F$1-5)*12,$CI$65),0))</f>
        <v>0</v>
      </c>
      <c r="CF250" s="497">
        <f>IF(('Comparison Calculator'!$E$11-CD250)&gt;=0,$C$1*$CI$66/12,IFERROR(-IPMT($CI$66/12,(CC250-60),($F$1-5)*12,$CI$65,0),0))</f>
        <v>0</v>
      </c>
      <c r="CG250" s="497">
        <f t="shared" si="99"/>
        <v>0</v>
      </c>
      <c r="CH250" s="497">
        <f t="shared" si="112"/>
        <v>1800000</v>
      </c>
      <c r="CI250" s="493"/>
      <c r="CJ250" s="493"/>
      <c r="CL250" s="492">
        <v>246</v>
      </c>
      <c r="CM250" s="492">
        <v>21</v>
      </c>
      <c r="CN250" s="497">
        <f>IF(('Comparison Calculator'!$E$11-CM250)&gt;=0,0,IFERROR(-PPMT($CR$66/12,(CL250-60),($F$1-5)*12,$CR$65),0))</f>
        <v>0</v>
      </c>
      <c r="CO250" s="497">
        <f>IF(('Comparison Calculator'!$E$11-CM250)&gt;=0,$C$1*$CI$66/12,IFERROR(-IPMT($CI$66/12,(CL250-60),($F$1-5)*12,$CI$65,0),0))</f>
        <v>0</v>
      </c>
      <c r="CP250" s="497">
        <f t="shared" si="100"/>
        <v>0</v>
      </c>
      <c r="CQ250" s="497">
        <f t="shared" si="113"/>
        <v>1800000</v>
      </c>
      <c r="CR250" s="493"/>
      <c r="CS250" s="493"/>
      <c r="CU250" s="492">
        <v>246</v>
      </c>
      <c r="CV250" s="492">
        <v>21</v>
      </c>
      <c r="CW250" s="497">
        <f>IF(('Comparison Calculator'!$E$11-CV250)&gt;=0,0,IFERROR(-PPMT($DA$66/12,(CU250-60),($F$1-5)*12,$DA$65),0))</f>
        <v>0</v>
      </c>
      <c r="CX250" s="497">
        <f>IF(('Comparison Calculator'!$E$11-CV250)&gt;=0,$C$1*$DA$66/12,IFERROR(-IPMT($DA$66/12,(CU250-60),($F$1-5)*12,$DA$65,0),0))</f>
        <v>0</v>
      </c>
      <c r="CY250" s="497">
        <f t="shared" si="101"/>
        <v>0</v>
      </c>
      <c r="CZ250" s="497">
        <f t="shared" si="114"/>
        <v>1800000</v>
      </c>
      <c r="DA250" s="493"/>
      <c r="DB250" s="493"/>
      <c r="DD250" s="492">
        <v>246</v>
      </c>
      <c r="DE250" s="492">
        <v>21</v>
      </c>
      <c r="DF250" s="497">
        <f>IF(('Comparison Calculator'!$E$11-DE250)&gt;=0,0,IFERROR(-PPMT($DJ$66/12,(DD250-60),($F$1-5)*12,$DJ$65),0))</f>
        <v>0</v>
      </c>
      <c r="DG250" s="497">
        <f>IF(('Comparison Calculator'!$E$11-DE250)&gt;=0,$C$1*$DJ$66/12,IFERROR(-IPMT($DJ$66/12,(DD250-60),($F$1-5)*12,$DJ$65,0),0))</f>
        <v>0</v>
      </c>
      <c r="DH250" s="497">
        <f t="shared" si="102"/>
        <v>0</v>
      </c>
      <c r="DI250" s="497">
        <f t="shared" si="115"/>
        <v>1800000</v>
      </c>
      <c r="DJ250" s="493"/>
      <c r="DK250" s="493"/>
    </row>
    <row r="251" spans="1:115">
      <c r="A251" s="492">
        <v>247</v>
      </c>
      <c r="B251" s="492">
        <v>21</v>
      </c>
      <c r="C251" s="497">
        <f>IF(('Comparison Calculator'!$E$11-B251)&gt;=0,0,IFERROR(-PPMT($G$66/12,(A251-60),($F$1-5)*12,$G$65),0))</f>
        <v>0</v>
      </c>
      <c r="D251" s="497">
        <f>IF(('Comparison Calculator'!$E$11-B251)&gt;=0,$C$1*$G$66/12,IFERROR(-IPMT($G$66/12,(A251-60),($F$1-5)*12,$G$65,0),0))</f>
        <v>0</v>
      </c>
      <c r="E251" s="497">
        <f t="shared" si="90"/>
        <v>0</v>
      </c>
      <c r="F251" s="497">
        <f t="shared" si="103"/>
        <v>1800000</v>
      </c>
      <c r="G251" s="493"/>
      <c r="H251" s="493"/>
      <c r="I251" s="489"/>
      <c r="J251" s="492">
        <v>247</v>
      </c>
      <c r="K251" s="492">
        <v>21</v>
      </c>
      <c r="L251" s="497">
        <f>IF(('Comparison Calculator'!$E$11-K251)&gt;=0,0,IFERROR(-PPMT($P$66/12,(J251-60),($F$1-5)*12,$P$65),0))</f>
        <v>0</v>
      </c>
      <c r="M251" s="497">
        <f>IF(('Comparison Calculator'!$E$11-K251)&gt;=0,$C$1*$P$66/12,IFERROR(-IPMT($P$66/12,(J251-60),($F$1-5)*12,$P$65,0),0))</f>
        <v>0</v>
      </c>
      <c r="N251" s="497">
        <f t="shared" si="91"/>
        <v>0</v>
      </c>
      <c r="O251" s="497">
        <f t="shared" si="104"/>
        <v>1800000</v>
      </c>
      <c r="P251" s="493"/>
      <c r="Q251" s="493"/>
      <c r="S251" s="492">
        <v>247</v>
      </c>
      <c r="T251" s="492">
        <v>21</v>
      </c>
      <c r="U251" s="497">
        <f>IF(('Comparison Calculator'!$E$11-T251)&gt;=0,0,IFERROR(-PPMT($Y$66/12,(S251-60),($F$1-5)*12,$Y$65),0))</f>
        <v>0</v>
      </c>
      <c r="V251" s="497">
        <f>IF(('Comparison Calculator'!$E$11-T251)&gt;=0,$C$1*$Y$66/12,IFERROR(-IPMT($Y$66/12,(S251-60),($F$1-5)*12,$Y$65,0),0))</f>
        <v>0</v>
      </c>
      <c r="W251" s="497">
        <f t="shared" si="92"/>
        <v>0</v>
      </c>
      <c r="X251" s="497">
        <f t="shared" si="105"/>
        <v>1800000</v>
      </c>
      <c r="Y251" s="493"/>
      <c r="Z251" s="493"/>
      <c r="AB251" s="492">
        <v>247</v>
      </c>
      <c r="AC251" s="492">
        <v>21</v>
      </c>
      <c r="AD251" s="497">
        <f>IF(('Comparison Calculator'!$E$11-AC251)&gt;=0,0,IFERROR(-PPMT($AH$66/12,(AB251-60),($F$1-5)*12,$AH$65),0))</f>
        <v>0</v>
      </c>
      <c r="AE251" s="497">
        <f>IF(('Comparison Calculator'!$E$11-AC251)&gt;=0,$C$1*$AH$66/12,IFERROR(-IPMT($AH$66/12,(AB251-60),($F$1-5)*12,$AH$65,0),0))</f>
        <v>0</v>
      </c>
      <c r="AF251" s="497">
        <f t="shared" si="93"/>
        <v>0</v>
      </c>
      <c r="AG251" s="497">
        <f t="shared" si="106"/>
        <v>1800000</v>
      </c>
      <c r="AH251" s="493"/>
      <c r="AI251" s="493"/>
      <c r="AK251" s="492">
        <v>247</v>
      </c>
      <c r="AL251" s="492">
        <v>21</v>
      </c>
      <c r="AM251" s="497">
        <f>IF(('Comparison Calculator'!$E$11-AL251)&gt;=0,0,IFERROR(-PPMT($AQ$66/12,(AK251-60),($F$1-5)*12,$AQ$65),0))</f>
        <v>0</v>
      </c>
      <c r="AN251" s="497">
        <f>IF(('Comparison Calculator'!$E$11-AL251)&gt;=0,$C$1*$AQ$66/12,IFERROR(-IPMT($AQ$66/12,(AK251-60),($F$1-5)*12,$AQ$65,0),0))</f>
        <v>0</v>
      </c>
      <c r="AO251" s="497">
        <f t="shared" si="94"/>
        <v>0</v>
      </c>
      <c r="AP251" s="497">
        <f t="shared" si="107"/>
        <v>1800000</v>
      </c>
      <c r="AQ251" s="493"/>
      <c r="AR251" s="493"/>
      <c r="AT251" s="492">
        <v>247</v>
      </c>
      <c r="AU251" s="492">
        <v>21</v>
      </c>
      <c r="AV251" s="497">
        <f>IF(('Comparison Calculator'!$E$11-AU251)&gt;=0,0,IFERROR(-PPMT($AZ$66/12,(AT251-60),($F$1-5)*12,$AZ$65),0))</f>
        <v>0</v>
      </c>
      <c r="AW251" s="497">
        <f>IF(('Comparison Calculator'!$E$11-AU251)&gt;=0,$C$1*$AZ$66/12,IFERROR(-IPMT($AZ$66/12,(AT251-60),($F$1-5)*12,$AZ$65,0),0))</f>
        <v>0</v>
      </c>
      <c r="AX251" s="497">
        <f t="shared" si="95"/>
        <v>0</v>
      </c>
      <c r="AY251" s="497">
        <f t="shared" si="108"/>
        <v>1800000</v>
      </c>
      <c r="AZ251" s="493"/>
      <c r="BA251" s="493"/>
      <c r="BC251" s="492">
        <v>247</v>
      </c>
      <c r="BD251" s="492">
        <v>21</v>
      </c>
      <c r="BE251" s="497">
        <f>IF(('Comparison Calculator'!$E$11-BD251)&gt;=0,0,IFERROR(-PPMT($BI$66/12,(BC251-60),($F$1-5)*12,$BI$65),0))</f>
        <v>0</v>
      </c>
      <c r="BF251" s="497">
        <f>IF(('Comparison Calculator'!$E$11-BD251)&gt;=0,$C$1*$BI$66/12,IFERROR(-IPMT($BI$66/12,(BC251-60),($F$1-5)*12,$BI$65,0),0))</f>
        <v>0</v>
      </c>
      <c r="BG251" s="497">
        <f t="shared" si="96"/>
        <v>0</v>
      </c>
      <c r="BH251" s="497">
        <f t="shared" si="109"/>
        <v>1800000</v>
      </c>
      <c r="BI251" s="493"/>
      <c r="BJ251" s="493"/>
      <c r="BK251" s="492">
        <v>247</v>
      </c>
      <c r="BL251" s="492">
        <v>21</v>
      </c>
      <c r="BM251" s="497">
        <f>IF(('Comparison Calculator'!$E$11-BL251)&gt;=0,0,IFERROR(-PPMT($BQ$66/12,(BK251-60),($F$1-5)*12,$BQ$65),0))</f>
        <v>0</v>
      </c>
      <c r="BN251" s="497">
        <f>IF(('Comparison Calculator'!$E$11-BL251)&gt;=0,$C$1*$BQ$66/12,IFERROR(-IPMT($BQ$66/12,(BK251-60),($F$1-5)*12,$BQ$65,0),0))</f>
        <v>0</v>
      </c>
      <c r="BO251" s="497">
        <f t="shared" si="97"/>
        <v>0</v>
      </c>
      <c r="BP251" s="497">
        <f t="shared" si="110"/>
        <v>1800000</v>
      </c>
      <c r="BQ251" s="493"/>
      <c r="BR251" s="493"/>
      <c r="BT251" s="492">
        <v>247</v>
      </c>
      <c r="BU251" s="492">
        <v>21</v>
      </c>
      <c r="BV251" s="497">
        <f>IF(('Comparison Calculator'!$E$11-BU251)&gt;=0,0,IFERROR(-PPMT($BZ$66/12,(BT251-60),($F$1-5)*12,$BZ$65),0))</f>
        <v>0</v>
      </c>
      <c r="BW251" s="497">
        <f>IF(('Comparison Calculator'!$E$11-BU251)&gt;=0,$C$1*$BZ$66/12,IFERROR(-IPMT($BZ$66/12,(BT251-60),($F$1-5)*12,$BZ$65,0),0))</f>
        <v>0</v>
      </c>
      <c r="BX251" s="497">
        <f t="shared" si="98"/>
        <v>0</v>
      </c>
      <c r="BY251" s="497">
        <f t="shared" si="111"/>
        <v>1800000</v>
      </c>
      <c r="BZ251" s="493"/>
      <c r="CA251" s="493"/>
      <c r="CC251" s="492">
        <v>247</v>
      </c>
      <c r="CD251" s="492">
        <v>21</v>
      </c>
      <c r="CE251" s="497">
        <f>IF(('Comparison Calculator'!$E$11-CD251)&gt;=0,0,IFERROR(-PPMT($CI$66/12,(CC251-60),($F$1-5)*12,$CI$65),0))</f>
        <v>0</v>
      </c>
      <c r="CF251" s="497">
        <f>IF(('Comparison Calculator'!$E$11-CD251)&gt;=0,$C$1*$CI$66/12,IFERROR(-IPMT($CI$66/12,(CC251-60),($F$1-5)*12,$CI$65,0),0))</f>
        <v>0</v>
      </c>
      <c r="CG251" s="497">
        <f t="shared" si="99"/>
        <v>0</v>
      </c>
      <c r="CH251" s="497">
        <f t="shared" si="112"/>
        <v>1800000</v>
      </c>
      <c r="CI251" s="493"/>
      <c r="CJ251" s="493"/>
      <c r="CL251" s="492">
        <v>247</v>
      </c>
      <c r="CM251" s="492">
        <v>21</v>
      </c>
      <c r="CN251" s="497">
        <f>IF(('Comparison Calculator'!$E$11-CM251)&gt;=0,0,IFERROR(-PPMT($CR$66/12,(CL251-60),($F$1-5)*12,$CR$65),0))</f>
        <v>0</v>
      </c>
      <c r="CO251" s="497">
        <f>IF(('Comparison Calculator'!$E$11-CM251)&gt;=0,$C$1*$CI$66/12,IFERROR(-IPMT($CI$66/12,(CL251-60),($F$1-5)*12,$CI$65,0),0))</f>
        <v>0</v>
      </c>
      <c r="CP251" s="497">
        <f t="shared" si="100"/>
        <v>0</v>
      </c>
      <c r="CQ251" s="497">
        <f t="shared" si="113"/>
        <v>1800000</v>
      </c>
      <c r="CR251" s="493"/>
      <c r="CS251" s="493"/>
      <c r="CU251" s="492">
        <v>247</v>
      </c>
      <c r="CV251" s="492">
        <v>21</v>
      </c>
      <c r="CW251" s="497">
        <f>IF(('Comparison Calculator'!$E$11-CV251)&gt;=0,0,IFERROR(-PPMT($DA$66/12,(CU251-60),($F$1-5)*12,$DA$65),0))</f>
        <v>0</v>
      </c>
      <c r="CX251" s="497">
        <f>IF(('Comparison Calculator'!$E$11-CV251)&gt;=0,$C$1*$DA$66/12,IFERROR(-IPMT($DA$66/12,(CU251-60),($F$1-5)*12,$DA$65,0),0))</f>
        <v>0</v>
      </c>
      <c r="CY251" s="497">
        <f t="shared" si="101"/>
        <v>0</v>
      </c>
      <c r="CZ251" s="497">
        <f t="shared" si="114"/>
        <v>1800000</v>
      </c>
      <c r="DA251" s="493"/>
      <c r="DB251" s="493"/>
      <c r="DD251" s="492">
        <v>247</v>
      </c>
      <c r="DE251" s="492">
        <v>21</v>
      </c>
      <c r="DF251" s="497">
        <f>IF(('Comparison Calculator'!$E$11-DE251)&gt;=0,0,IFERROR(-PPMT($DJ$66/12,(DD251-60),($F$1-5)*12,$DJ$65),0))</f>
        <v>0</v>
      </c>
      <c r="DG251" s="497">
        <f>IF(('Comparison Calculator'!$E$11-DE251)&gt;=0,$C$1*$DJ$66/12,IFERROR(-IPMT($DJ$66/12,(DD251-60),($F$1-5)*12,$DJ$65,0),0))</f>
        <v>0</v>
      </c>
      <c r="DH251" s="497">
        <f t="shared" si="102"/>
        <v>0</v>
      </c>
      <c r="DI251" s="497">
        <f t="shared" si="115"/>
        <v>1800000</v>
      </c>
      <c r="DJ251" s="493"/>
      <c r="DK251" s="493"/>
    </row>
    <row r="252" spans="1:115">
      <c r="A252" s="492">
        <v>248</v>
      </c>
      <c r="B252" s="492">
        <v>21</v>
      </c>
      <c r="C252" s="497">
        <f>IF(('Comparison Calculator'!$E$11-B252)&gt;=0,0,IFERROR(-PPMT($G$66/12,(A252-60),($F$1-5)*12,$G$65),0))</f>
        <v>0</v>
      </c>
      <c r="D252" s="497">
        <f>IF(('Comparison Calculator'!$E$11-B252)&gt;=0,$C$1*$G$66/12,IFERROR(-IPMT($G$66/12,(A252-60),($F$1-5)*12,$G$65,0),0))</f>
        <v>0</v>
      </c>
      <c r="E252" s="497">
        <f t="shared" si="90"/>
        <v>0</v>
      </c>
      <c r="F252" s="497">
        <f t="shared" si="103"/>
        <v>1800000</v>
      </c>
      <c r="G252" s="493"/>
      <c r="H252" s="493"/>
      <c r="I252" s="489"/>
      <c r="J252" s="492">
        <v>248</v>
      </c>
      <c r="K252" s="492">
        <v>21</v>
      </c>
      <c r="L252" s="497">
        <f>IF(('Comparison Calculator'!$E$11-K252)&gt;=0,0,IFERROR(-PPMT($P$66/12,(J252-60),($F$1-5)*12,$P$65),0))</f>
        <v>0</v>
      </c>
      <c r="M252" s="497">
        <f>IF(('Comparison Calculator'!$E$11-K252)&gt;=0,$C$1*$P$66/12,IFERROR(-IPMT($P$66/12,(J252-60),($F$1-5)*12,$P$65,0),0))</f>
        <v>0</v>
      </c>
      <c r="N252" s="497">
        <f t="shared" si="91"/>
        <v>0</v>
      </c>
      <c r="O252" s="497">
        <f t="shared" si="104"/>
        <v>1800000</v>
      </c>
      <c r="P252" s="493"/>
      <c r="Q252" s="493"/>
      <c r="S252" s="492">
        <v>248</v>
      </c>
      <c r="T252" s="492">
        <v>21</v>
      </c>
      <c r="U252" s="497">
        <f>IF(('Comparison Calculator'!$E$11-T252)&gt;=0,0,IFERROR(-PPMT($Y$66/12,(S252-60),($F$1-5)*12,$Y$65),0))</f>
        <v>0</v>
      </c>
      <c r="V252" s="497">
        <f>IF(('Comparison Calculator'!$E$11-T252)&gt;=0,$C$1*$Y$66/12,IFERROR(-IPMT($Y$66/12,(S252-60),($F$1-5)*12,$Y$65,0),0))</f>
        <v>0</v>
      </c>
      <c r="W252" s="497">
        <f t="shared" si="92"/>
        <v>0</v>
      </c>
      <c r="X252" s="497">
        <f t="shared" si="105"/>
        <v>1800000</v>
      </c>
      <c r="Y252" s="493"/>
      <c r="Z252" s="493"/>
      <c r="AB252" s="492">
        <v>248</v>
      </c>
      <c r="AC252" s="492">
        <v>21</v>
      </c>
      <c r="AD252" s="497">
        <f>IF(('Comparison Calculator'!$E$11-AC252)&gt;=0,0,IFERROR(-PPMT($AH$66/12,(AB252-60),($F$1-5)*12,$AH$65),0))</f>
        <v>0</v>
      </c>
      <c r="AE252" s="497">
        <f>IF(('Comparison Calculator'!$E$11-AC252)&gt;=0,$C$1*$AH$66/12,IFERROR(-IPMT($AH$66/12,(AB252-60),($F$1-5)*12,$AH$65,0),0))</f>
        <v>0</v>
      </c>
      <c r="AF252" s="497">
        <f t="shared" si="93"/>
        <v>0</v>
      </c>
      <c r="AG252" s="497">
        <f t="shared" si="106"/>
        <v>1800000</v>
      </c>
      <c r="AH252" s="493"/>
      <c r="AI252" s="493"/>
      <c r="AK252" s="492">
        <v>248</v>
      </c>
      <c r="AL252" s="492">
        <v>21</v>
      </c>
      <c r="AM252" s="497">
        <f>IF(('Comparison Calculator'!$E$11-AL252)&gt;=0,0,IFERROR(-PPMT($AQ$66/12,(AK252-60),($F$1-5)*12,$AQ$65),0))</f>
        <v>0</v>
      </c>
      <c r="AN252" s="497">
        <f>IF(('Comparison Calculator'!$E$11-AL252)&gt;=0,$C$1*$AQ$66/12,IFERROR(-IPMT($AQ$66/12,(AK252-60),($F$1-5)*12,$AQ$65,0),0))</f>
        <v>0</v>
      </c>
      <c r="AO252" s="497">
        <f t="shared" si="94"/>
        <v>0</v>
      </c>
      <c r="AP252" s="497">
        <f t="shared" si="107"/>
        <v>1800000</v>
      </c>
      <c r="AQ252" s="493"/>
      <c r="AR252" s="493"/>
      <c r="AT252" s="492">
        <v>248</v>
      </c>
      <c r="AU252" s="492">
        <v>21</v>
      </c>
      <c r="AV252" s="497">
        <f>IF(('Comparison Calculator'!$E$11-AU252)&gt;=0,0,IFERROR(-PPMT($AZ$66/12,(AT252-60),($F$1-5)*12,$AZ$65),0))</f>
        <v>0</v>
      </c>
      <c r="AW252" s="497">
        <f>IF(('Comparison Calculator'!$E$11-AU252)&gt;=0,$C$1*$AZ$66/12,IFERROR(-IPMT($AZ$66/12,(AT252-60),($F$1-5)*12,$AZ$65,0),0))</f>
        <v>0</v>
      </c>
      <c r="AX252" s="497">
        <f t="shared" si="95"/>
        <v>0</v>
      </c>
      <c r="AY252" s="497">
        <f t="shared" si="108"/>
        <v>1800000</v>
      </c>
      <c r="AZ252" s="493"/>
      <c r="BA252" s="493"/>
      <c r="BC252" s="492">
        <v>248</v>
      </c>
      <c r="BD252" s="492">
        <v>21</v>
      </c>
      <c r="BE252" s="497">
        <f>IF(('Comparison Calculator'!$E$11-BD252)&gt;=0,0,IFERROR(-PPMT($BI$66/12,(BC252-60),($F$1-5)*12,$BI$65),0))</f>
        <v>0</v>
      </c>
      <c r="BF252" s="497">
        <f>IF(('Comparison Calculator'!$E$11-BD252)&gt;=0,$C$1*$BI$66/12,IFERROR(-IPMT($BI$66/12,(BC252-60),($F$1-5)*12,$BI$65,0),0))</f>
        <v>0</v>
      </c>
      <c r="BG252" s="497">
        <f t="shared" si="96"/>
        <v>0</v>
      </c>
      <c r="BH252" s="497">
        <f t="shared" si="109"/>
        <v>1800000</v>
      </c>
      <c r="BI252" s="493"/>
      <c r="BJ252" s="493"/>
      <c r="BK252" s="492">
        <v>248</v>
      </c>
      <c r="BL252" s="492">
        <v>21</v>
      </c>
      <c r="BM252" s="497">
        <f>IF(('Comparison Calculator'!$E$11-BL252)&gt;=0,0,IFERROR(-PPMT($BQ$66/12,(BK252-60),($F$1-5)*12,$BQ$65),0))</f>
        <v>0</v>
      </c>
      <c r="BN252" s="497">
        <f>IF(('Comparison Calculator'!$E$11-BL252)&gt;=0,$C$1*$BQ$66/12,IFERROR(-IPMT($BQ$66/12,(BK252-60),($F$1-5)*12,$BQ$65,0),0))</f>
        <v>0</v>
      </c>
      <c r="BO252" s="497">
        <f t="shared" si="97"/>
        <v>0</v>
      </c>
      <c r="BP252" s="497">
        <f t="shared" si="110"/>
        <v>1800000</v>
      </c>
      <c r="BQ252" s="493"/>
      <c r="BR252" s="493"/>
      <c r="BT252" s="492">
        <v>248</v>
      </c>
      <c r="BU252" s="492">
        <v>21</v>
      </c>
      <c r="BV252" s="497">
        <f>IF(('Comparison Calculator'!$E$11-BU252)&gt;=0,0,IFERROR(-PPMT($BZ$66/12,(BT252-60),($F$1-5)*12,$BZ$65),0))</f>
        <v>0</v>
      </c>
      <c r="BW252" s="497">
        <f>IF(('Comparison Calculator'!$E$11-BU252)&gt;=0,$C$1*$BZ$66/12,IFERROR(-IPMT($BZ$66/12,(BT252-60),($F$1-5)*12,$BZ$65,0),0))</f>
        <v>0</v>
      </c>
      <c r="BX252" s="497">
        <f t="shared" si="98"/>
        <v>0</v>
      </c>
      <c r="BY252" s="497">
        <f t="shared" si="111"/>
        <v>1800000</v>
      </c>
      <c r="BZ252" s="493"/>
      <c r="CA252" s="493"/>
      <c r="CC252" s="492">
        <v>248</v>
      </c>
      <c r="CD252" s="492">
        <v>21</v>
      </c>
      <c r="CE252" s="497">
        <f>IF(('Comparison Calculator'!$E$11-CD252)&gt;=0,0,IFERROR(-PPMT($CI$66/12,(CC252-60),($F$1-5)*12,$CI$65),0))</f>
        <v>0</v>
      </c>
      <c r="CF252" s="497">
        <f>IF(('Comparison Calculator'!$E$11-CD252)&gt;=0,$C$1*$CI$66/12,IFERROR(-IPMT($CI$66/12,(CC252-60),($F$1-5)*12,$CI$65,0),0))</f>
        <v>0</v>
      </c>
      <c r="CG252" s="497">
        <f t="shared" si="99"/>
        <v>0</v>
      </c>
      <c r="CH252" s="497">
        <f t="shared" si="112"/>
        <v>1800000</v>
      </c>
      <c r="CI252" s="493"/>
      <c r="CJ252" s="493"/>
      <c r="CL252" s="492">
        <v>248</v>
      </c>
      <c r="CM252" s="492">
        <v>21</v>
      </c>
      <c r="CN252" s="497">
        <f>IF(('Comparison Calculator'!$E$11-CM252)&gt;=0,0,IFERROR(-PPMT($CR$66/12,(CL252-60),($F$1-5)*12,$CR$65),0))</f>
        <v>0</v>
      </c>
      <c r="CO252" s="497">
        <f>IF(('Comparison Calculator'!$E$11-CM252)&gt;=0,$C$1*$CI$66/12,IFERROR(-IPMT($CI$66/12,(CL252-60),($F$1-5)*12,$CI$65,0),0))</f>
        <v>0</v>
      </c>
      <c r="CP252" s="497">
        <f t="shared" si="100"/>
        <v>0</v>
      </c>
      <c r="CQ252" s="497">
        <f t="shared" si="113"/>
        <v>1800000</v>
      </c>
      <c r="CR252" s="493"/>
      <c r="CS252" s="493"/>
      <c r="CU252" s="492">
        <v>248</v>
      </c>
      <c r="CV252" s="492">
        <v>21</v>
      </c>
      <c r="CW252" s="497">
        <f>IF(('Comparison Calculator'!$E$11-CV252)&gt;=0,0,IFERROR(-PPMT($DA$66/12,(CU252-60),($F$1-5)*12,$DA$65),0))</f>
        <v>0</v>
      </c>
      <c r="CX252" s="497">
        <f>IF(('Comparison Calculator'!$E$11-CV252)&gt;=0,$C$1*$DA$66/12,IFERROR(-IPMT($DA$66/12,(CU252-60),($F$1-5)*12,$DA$65,0),0))</f>
        <v>0</v>
      </c>
      <c r="CY252" s="497">
        <f t="shared" si="101"/>
        <v>0</v>
      </c>
      <c r="CZ252" s="497">
        <f t="shared" si="114"/>
        <v>1800000</v>
      </c>
      <c r="DA252" s="493"/>
      <c r="DB252" s="493"/>
      <c r="DD252" s="492">
        <v>248</v>
      </c>
      <c r="DE252" s="492">
        <v>21</v>
      </c>
      <c r="DF252" s="497">
        <f>IF(('Comparison Calculator'!$E$11-DE252)&gt;=0,0,IFERROR(-PPMT($DJ$66/12,(DD252-60),($F$1-5)*12,$DJ$65),0))</f>
        <v>0</v>
      </c>
      <c r="DG252" s="497">
        <f>IF(('Comparison Calculator'!$E$11-DE252)&gt;=0,$C$1*$DJ$66/12,IFERROR(-IPMT($DJ$66/12,(DD252-60),($F$1-5)*12,$DJ$65,0),0))</f>
        <v>0</v>
      </c>
      <c r="DH252" s="497">
        <f t="shared" si="102"/>
        <v>0</v>
      </c>
      <c r="DI252" s="497">
        <f t="shared" si="115"/>
        <v>1800000</v>
      </c>
      <c r="DJ252" s="493"/>
      <c r="DK252" s="493"/>
    </row>
    <row r="253" spans="1:115">
      <c r="A253" s="492">
        <v>249</v>
      </c>
      <c r="B253" s="492">
        <v>21</v>
      </c>
      <c r="C253" s="497">
        <f>IF(('Comparison Calculator'!$E$11-B253)&gt;=0,0,IFERROR(-PPMT($G$66/12,(A253-60),($F$1-5)*12,$G$65),0))</f>
        <v>0</v>
      </c>
      <c r="D253" s="497">
        <f>IF(('Comparison Calculator'!$E$11-B253)&gt;=0,$C$1*$G$66/12,IFERROR(-IPMT($G$66/12,(A253-60),($F$1-5)*12,$G$65,0),0))</f>
        <v>0</v>
      </c>
      <c r="E253" s="497">
        <f t="shared" si="90"/>
        <v>0</v>
      </c>
      <c r="F253" s="497">
        <f t="shared" si="103"/>
        <v>1800000</v>
      </c>
      <c r="G253" s="493"/>
      <c r="H253" s="493"/>
      <c r="I253" s="489"/>
      <c r="J253" s="492">
        <v>249</v>
      </c>
      <c r="K253" s="492">
        <v>21</v>
      </c>
      <c r="L253" s="497">
        <f>IF(('Comparison Calculator'!$E$11-K253)&gt;=0,0,IFERROR(-PPMT($P$66/12,(J253-60),($F$1-5)*12,$P$65),0))</f>
        <v>0</v>
      </c>
      <c r="M253" s="497">
        <f>IF(('Comparison Calculator'!$E$11-K253)&gt;=0,$C$1*$P$66/12,IFERROR(-IPMT($P$66/12,(J253-60),($F$1-5)*12,$P$65,0),0))</f>
        <v>0</v>
      </c>
      <c r="N253" s="497">
        <f t="shared" si="91"/>
        <v>0</v>
      </c>
      <c r="O253" s="497">
        <f t="shared" si="104"/>
        <v>1800000</v>
      </c>
      <c r="P253" s="493"/>
      <c r="Q253" s="493"/>
      <c r="S253" s="492">
        <v>249</v>
      </c>
      <c r="T253" s="492">
        <v>21</v>
      </c>
      <c r="U253" s="497">
        <f>IF(('Comparison Calculator'!$E$11-T253)&gt;=0,0,IFERROR(-PPMT($Y$66/12,(S253-60),($F$1-5)*12,$Y$65),0))</f>
        <v>0</v>
      </c>
      <c r="V253" s="497">
        <f>IF(('Comparison Calculator'!$E$11-T253)&gt;=0,$C$1*$Y$66/12,IFERROR(-IPMT($Y$66/12,(S253-60),($F$1-5)*12,$Y$65,0),0))</f>
        <v>0</v>
      </c>
      <c r="W253" s="497">
        <f t="shared" si="92"/>
        <v>0</v>
      </c>
      <c r="X253" s="497">
        <f t="shared" si="105"/>
        <v>1800000</v>
      </c>
      <c r="Y253" s="493"/>
      <c r="Z253" s="493"/>
      <c r="AB253" s="492">
        <v>249</v>
      </c>
      <c r="AC253" s="492">
        <v>21</v>
      </c>
      <c r="AD253" s="497">
        <f>IF(('Comparison Calculator'!$E$11-AC253)&gt;=0,0,IFERROR(-PPMT($AH$66/12,(AB253-60),($F$1-5)*12,$AH$65),0))</f>
        <v>0</v>
      </c>
      <c r="AE253" s="497">
        <f>IF(('Comparison Calculator'!$E$11-AC253)&gt;=0,$C$1*$AH$66/12,IFERROR(-IPMT($AH$66/12,(AB253-60),($F$1-5)*12,$AH$65,0),0))</f>
        <v>0</v>
      </c>
      <c r="AF253" s="497">
        <f t="shared" si="93"/>
        <v>0</v>
      </c>
      <c r="AG253" s="497">
        <f t="shared" si="106"/>
        <v>1800000</v>
      </c>
      <c r="AH253" s="493"/>
      <c r="AI253" s="493"/>
      <c r="AK253" s="492">
        <v>249</v>
      </c>
      <c r="AL253" s="492">
        <v>21</v>
      </c>
      <c r="AM253" s="497">
        <f>IF(('Comparison Calculator'!$E$11-AL253)&gt;=0,0,IFERROR(-PPMT($AQ$66/12,(AK253-60),($F$1-5)*12,$AQ$65),0))</f>
        <v>0</v>
      </c>
      <c r="AN253" s="497">
        <f>IF(('Comparison Calculator'!$E$11-AL253)&gt;=0,$C$1*$AQ$66/12,IFERROR(-IPMT($AQ$66/12,(AK253-60),($F$1-5)*12,$AQ$65,0),0))</f>
        <v>0</v>
      </c>
      <c r="AO253" s="497">
        <f t="shared" si="94"/>
        <v>0</v>
      </c>
      <c r="AP253" s="497">
        <f t="shared" si="107"/>
        <v>1800000</v>
      </c>
      <c r="AQ253" s="493"/>
      <c r="AR253" s="493"/>
      <c r="AT253" s="492">
        <v>249</v>
      </c>
      <c r="AU253" s="492">
        <v>21</v>
      </c>
      <c r="AV253" s="497">
        <f>IF(('Comparison Calculator'!$E$11-AU253)&gt;=0,0,IFERROR(-PPMT($AZ$66/12,(AT253-60),($F$1-5)*12,$AZ$65),0))</f>
        <v>0</v>
      </c>
      <c r="AW253" s="497">
        <f>IF(('Comparison Calculator'!$E$11-AU253)&gt;=0,$C$1*$AZ$66/12,IFERROR(-IPMT($AZ$66/12,(AT253-60),($F$1-5)*12,$AZ$65,0),0))</f>
        <v>0</v>
      </c>
      <c r="AX253" s="497">
        <f t="shared" si="95"/>
        <v>0</v>
      </c>
      <c r="AY253" s="497">
        <f t="shared" si="108"/>
        <v>1800000</v>
      </c>
      <c r="AZ253" s="493"/>
      <c r="BA253" s="493"/>
      <c r="BC253" s="492">
        <v>249</v>
      </c>
      <c r="BD253" s="492">
        <v>21</v>
      </c>
      <c r="BE253" s="497">
        <f>IF(('Comparison Calculator'!$E$11-BD253)&gt;=0,0,IFERROR(-PPMT($BI$66/12,(BC253-60),($F$1-5)*12,$BI$65),0))</f>
        <v>0</v>
      </c>
      <c r="BF253" s="497">
        <f>IF(('Comparison Calculator'!$E$11-BD253)&gt;=0,$C$1*$BI$66/12,IFERROR(-IPMT($BI$66/12,(BC253-60),($F$1-5)*12,$BI$65,0),0))</f>
        <v>0</v>
      </c>
      <c r="BG253" s="497">
        <f t="shared" si="96"/>
        <v>0</v>
      </c>
      <c r="BH253" s="497">
        <f t="shared" si="109"/>
        <v>1800000</v>
      </c>
      <c r="BI253" s="493"/>
      <c r="BJ253" s="493"/>
      <c r="BK253" s="492">
        <v>249</v>
      </c>
      <c r="BL253" s="492">
        <v>21</v>
      </c>
      <c r="BM253" s="497">
        <f>IF(('Comparison Calculator'!$E$11-BL253)&gt;=0,0,IFERROR(-PPMT($BQ$66/12,(BK253-60),($F$1-5)*12,$BQ$65),0))</f>
        <v>0</v>
      </c>
      <c r="BN253" s="497">
        <f>IF(('Comparison Calculator'!$E$11-BL253)&gt;=0,$C$1*$BQ$66/12,IFERROR(-IPMT($BQ$66/12,(BK253-60),($F$1-5)*12,$BQ$65,0),0))</f>
        <v>0</v>
      </c>
      <c r="BO253" s="497">
        <f t="shared" si="97"/>
        <v>0</v>
      </c>
      <c r="BP253" s="497">
        <f t="shared" si="110"/>
        <v>1800000</v>
      </c>
      <c r="BQ253" s="493"/>
      <c r="BR253" s="493"/>
      <c r="BT253" s="492">
        <v>249</v>
      </c>
      <c r="BU253" s="492">
        <v>21</v>
      </c>
      <c r="BV253" s="497">
        <f>IF(('Comparison Calculator'!$E$11-BU253)&gt;=0,0,IFERROR(-PPMT($BZ$66/12,(BT253-60),($F$1-5)*12,$BZ$65),0))</f>
        <v>0</v>
      </c>
      <c r="BW253" s="497">
        <f>IF(('Comparison Calculator'!$E$11-BU253)&gt;=0,$C$1*$BZ$66/12,IFERROR(-IPMT($BZ$66/12,(BT253-60),($F$1-5)*12,$BZ$65,0),0))</f>
        <v>0</v>
      </c>
      <c r="BX253" s="497">
        <f t="shared" si="98"/>
        <v>0</v>
      </c>
      <c r="BY253" s="497">
        <f t="shared" si="111"/>
        <v>1800000</v>
      </c>
      <c r="BZ253" s="493"/>
      <c r="CA253" s="493"/>
      <c r="CC253" s="492">
        <v>249</v>
      </c>
      <c r="CD253" s="492">
        <v>21</v>
      </c>
      <c r="CE253" s="497">
        <f>IF(('Comparison Calculator'!$E$11-CD253)&gt;=0,0,IFERROR(-PPMT($CI$66/12,(CC253-60),($F$1-5)*12,$CI$65),0))</f>
        <v>0</v>
      </c>
      <c r="CF253" s="497">
        <f>IF(('Comparison Calculator'!$E$11-CD253)&gt;=0,$C$1*$CI$66/12,IFERROR(-IPMT($CI$66/12,(CC253-60),($F$1-5)*12,$CI$65,0),0))</f>
        <v>0</v>
      </c>
      <c r="CG253" s="497">
        <f t="shared" si="99"/>
        <v>0</v>
      </c>
      <c r="CH253" s="497">
        <f t="shared" si="112"/>
        <v>1800000</v>
      </c>
      <c r="CI253" s="493"/>
      <c r="CJ253" s="493"/>
      <c r="CL253" s="492">
        <v>249</v>
      </c>
      <c r="CM253" s="492">
        <v>21</v>
      </c>
      <c r="CN253" s="497">
        <f>IF(('Comparison Calculator'!$E$11-CM253)&gt;=0,0,IFERROR(-PPMT($CR$66/12,(CL253-60),($F$1-5)*12,$CR$65),0))</f>
        <v>0</v>
      </c>
      <c r="CO253" s="497">
        <f>IF(('Comparison Calculator'!$E$11-CM253)&gt;=0,$C$1*$CI$66/12,IFERROR(-IPMT($CI$66/12,(CL253-60),($F$1-5)*12,$CI$65,0),0))</f>
        <v>0</v>
      </c>
      <c r="CP253" s="497">
        <f t="shared" si="100"/>
        <v>0</v>
      </c>
      <c r="CQ253" s="497">
        <f t="shared" si="113"/>
        <v>1800000</v>
      </c>
      <c r="CR253" s="493"/>
      <c r="CS253" s="493"/>
      <c r="CU253" s="492">
        <v>249</v>
      </c>
      <c r="CV253" s="492">
        <v>21</v>
      </c>
      <c r="CW253" s="497">
        <f>IF(('Comparison Calculator'!$E$11-CV253)&gt;=0,0,IFERROR(-PPMT($DA$66/12,(CU253-60),($F$1-5)*12,$DA$65),0))</f>
        <v>0</v>
      </c>
      <c r="CX253" s="497">
        <f>IF(('Comparison Calculator'!$E$11-CV253)&gt;=0,$C$1*$DA$66/12,IFERROR(-IPMT($DA$66/12,(CU253-60),($F$1-5)*12,$DA$65,0),0))</f>
        <v>0</v>
      </c>
      <c r="CY253" s="497">
        <f t="shared" si="101"/>
        <v>0</v>
      </c>
      <c r="CZ253" s="497">
        <f t="shared" si="114"/>
        <v>1800000</v>
      </c>
      <c r="DA253" s="493"/>
      <c r="DB253" s="493"/>
      <c r="DD253" s="492">
        <v>249</v>
      </c>
      <c r="DE253" s="492">
        <v>21</v>
      </c>
      <c r="DF253" s="497">
        <f>IF(('Comparison Calculator'!$E$11-DE253)&gt;=0,0,IFERROR(-PPMT($DJ$66/12,(DD253-60),($F$1-5)*12,$DJ$65),0))</f>
        <v>0</v>
      </c>
      <c r="DG253" s="497">
        <f>IF(('Comparison Calculator'!$E$11-DE253)&gt;=0,$C$1*$DJ$66/12,IFERROR(-IPMT($DJ$66/12,(DD253-60),($F$1-5)*12,$DJ$65,0),0))</f>
        <v>0</v>
      </c>
      <c r="DH253" s="497">
        <f t="shared" si="102"/>
        <v>0</v>
      </c>
      <c r="DI253" s="497">
        <f t="shared" si="115"/>
        <v>1800000</v>
      </c>
      <c r="DJ253" s="493"/>
      <c r="DK253" s="493"/>
    </row>
    <row r="254" spans="1:115">
      <c r="A254" s="492">
        <v>250</v>
      </c>
      <c r="B254" s="492">
        <v>21</v>
      </c>
      <c r="C254" s="497">
        <f>IF(('Comparison Calculator'!$E$11-B254)&gt;=0,0,IFERROR(-PPMT($G$66/12,(A254-60),($F$1-5)*12,$G$65),0))</f>
        <v>0</v>
      </c>
      <c r="D254" s="497">
        <f>IF(('Comparison Calculator'!$E$11-B254)&gt;=0,$C$1*$G$66/12,IFERROR(-IPMT($G$66/12,(A254-60),($F$1-5)*12,$G$65,0),0))</f>
        <v>0</v>
      </c>
      <c r="E254" s="497">
        <f t="shared" si="90"/>
        <v>0</v>
      </c>
      <c r="F254" s="497">
        <f t="shared" si="103"/>
        <v>1800000</v>
      </c>
      <c r="G254" s="493"/>
      <c r="H254" s="493"/>
      <c r="I254" s="489"/>
      <c r="J254" s="492">
        <v>250</v>
      </c>
      <c r="K254" s="492">
        <v>21</v>
      </c>
      <c r="L254" s="497">
        <f>IF(('Comparison Calculator'!$E$11-K254)&gt;=0,0,IFERROR(-PPMT($P$66/12,(J254-60),($F$1-5)*12,$P$65),0))</f>
        <v>0</v>
      </c>
      <c r="M254" s="497">
        <f>IF(('Comparison Calculator'!$E$11-K254)&gt;=0,$C$1*$P$66/12,IFERROR(-IPMT($P$66/12,(J254-60),($F$1-5)*12,$P$65,0),0))</f>
        <v>0</v>
      </c>
      <c r="N254" s="497">
        <f t="shared" si="91"/>
        <v>0</v>
      </c>
      <c r="O254" s="497">
        <f t="shared" si="104"/>
        <v>1800000</v>
      </c>
      <c r="P254" s="493"/>
      <c r="Q254" s="493"/>
      <c r="S254" s="492">
        <v>250</v>
      </c>
      <c r="T254" s="492">
        <v>21</v>
      </c>
      <c r="U254" s="497">
        <f>IF(('Comparison Calculator'!$E$11-T254)&gt;=0,0,IFERROR(-PPMT($Y$66/12,(S254-60),($F$1-5)*12,$Y$65),0))</f>
        <v>0</v>
      </c>
      <c r="V254" s="497">
        <f>IF(('Comparison Calculator'!$E$11-T254)&gt;=0,$C$1*$Y$66/12,IFERROR(-IPMT($Y$66/12,(S254-60),($F$1-5)*12,$Y$65,0),0))</f>
        <v>0</v>
      </c>
      <c r="W254" s="497">
        <f t="shared" si="92"/>
        <v>0</v>
      </c>
      <c r="X254" s="497">
        <f t="shared" si="105"/>
        <v>1800000</v>
      </c>
      <c r="Y254" s="493"/>
      <c r="Z254" s="493"/>
      <c r="AB254" s="492">
        <v>250</v>
      </c>
      <c r="AC254" s="492">
        <v>21</v>
      </c>
      <c r="AD254" s="497">
        <f>IF(('Comparison Calculator'!$E$11-AC254)&gt;=0,0,IFERROR(-PPMT($AH$66/12,(AB254-60),($F$1-5)*12,$AH$65),0))</f>
        <v>0</v>
      </c>
      <c r="AE254" s="497">
        <f>IF(('Comparison Calculator'!$E$11-AC254)&gt;=0,$C$1*$AH$66/12,IFERROR(-IPMT($AH$66/12,(AB254-60),($F$1-5)*12,$AH$65,0),0))</f>
        <v>0</v>
      </c>
      <c r="AF254" s="497">
        <f t="shared" si="93"/>
        <v>0</v>
      </c>
      <c r="AG254" s="497">
        <f t="shared" si="106"/>
        <v>1800000</v>
      </c>
      <c r="AH254" s="493"/>
      <c r="AI254" s="493"/>
      <c r="AK254" s="492">
        <v>250</v>
      </c>
      <c r="AL254" s="492">
        <v>21</v>
      </c>
      <c r="AM254" s="497">
        <f>IF(('Comparison Calculator'!$E$11-AL254)&gt;=0,0,IFERROR(-PPMT($AQ$66/12,(AK254-60),($F$1-5)*12,$AQ$65),0))</f>
        <v>0</v>
      </c>
      <c r="AN254" s="497">
        <f>IF(('Comparison Calculator'!$E$11-AL254)&gt;=0,$C$1*$AQ$66/12,IFERROR(-IPMT($AQ$66/12,(AK254-60),($F$1-5)*12,$AQ$65,0),0))</f>
        <v>0</v>
      </c>
      <c r="AO254" s="497">
        <f t="shared" si="94"/>
        <v>0</v>
      </c>
      <c r="AP254" s="497">
        <f t="shared" si="107"/>
        <v>1800000</v>
      </c>
      <c r="AQ254" s="493"/>
      <c r="AR254" s="493"/>
      <c r="AT254" s="492">
        <v>250</v>
      </c>
      <c r="AU254" s="492">
        <v>21</v>
      </c>
      <c r="AV254" s="497">
        <f>IF(('Comparison Calculator'!$E$11-AU254)&gt;=0,0,IFERROR(-PPMT($AZ$66/12,(AT254-60),($F$1-5)*12,$AZ$65),0))</f>
        <v>0</v>
      </c>
      <c r="AW254" s="497">
        <f>IF(('Comparison Calculator'!$E$11-AU254)&gt;=0,$C$1*$AZ$66/12,IFERROR(-IPMT($AZ$66/12,(AT254-60),($F$1-5)*12,$AZ$65,0),0))</f>
        <v>0</v>
      </c>
      <c r="AX254" s="497">
        <f t="shared" si="95"/>
        <v>0</v>
      </c>
      <c r="AY254" s="497">
        <f t="shared" si="108"/>
        <v>1800000</v>
      </c>
      <c r="AZ254" s="493"/>
      <c r="BA254" s="493"/>
      <c r="BC254" s="492">
        <v>250</v>
      </c>
      <c r="BD254" s="492">
        <v>21</v>
      </c>
      <c r="BE254" s="497">
        <f>IF(('Comparison Calculator'!$E$11-BD254)&gt;=0,0,IFERROR(-PPMT($BI$66/12,(BC254-60),($F$1-5)*12,$BI$65),0))</f>
        <v>0</v>
      </c>
      <c r="BF254" s="497">
        <f>IF(('Comparison Calculator'!$E$11-BD254)&gt;=0,$C$1*$BI$66/12,IFERROR(-IPMT($BI$66/12,(BC254-60),($F$1-5)*12,$BI$65,0),0))</f>
        <v>0</v>
      </c>
      <c r="BG254" s="497">
        <f t="shared" si="96"/>
        <v>0</v>
      </c>
      <c r="BH254" s="497">
        <f t="shared" si="109"/>
        <v>1800000</v>
      </c>
      <c r="BI254" s="493"/>
      <c r="BJ254" s="493"/>
      <c r="BK254" s="492">
        <v>250</v>
      </c>
      <c r="BL254" s="492">
        <v>21</v>
      </c>
      <c r="BM254" s="497">
        <f>IF(('Comparison Calculator'!$E$11-BL254)&gt;=0,0,IFERROR(-PPMT($BQ$66/12,(BK254-60),($F$1-5)*12,$BQ$65),0))</f>
        <v>0</v>
      </c>
      <c r="BN254" s="497">
        <f>IF(('Comparison Calculator'!$E$11-BL254)&gt;=0,$C$1*$BQ$66/12,IFERROR(-IPMT($BQ$66/12,(BK254-60),($F$1-5)*12,$BQ$65,0),0))</f>
        <v>0</v>
      </c>
      <c r="BO254" s="497">
        <f t="shared" si="97"/>
        <v>0</v>
      </c>
      <c r="BP254" s="497">
        <f t="shared" si="110"/>
        <v>1800000</v>
      </c>
      <c r="BQ254" s="493"/>
      <c r="BR254" s="493"/>
      <c r="BT254" s="492">
        <v>250</v>
      </c>
      <c r="BU254" s="492">
        <v>21</v>
      </c>
      <c r="BV254" s="497">
        <f>IF(('Comparison Calculator'!$E$11-BU254)&gt;=0,0,IFERROR(-PPMT($BZ$66/12,(BT254-60),($F$1-5)*12,$BZ$65),0))</f>
        <v>0</v>
      </c>
      <c r="BW254" s="497">
        <f>IF(('Comparison Calculator'!$E$11-BU254)&gt;=0,$C$1*$BZ$66/12,IFERROR(-IPMT($BZ$66/12,(BT254-60),($F$1-5)*12,$BZ$65,0),0))</f>
        <v>0</v>
      </c>
      <c r="BX254" s="497">
        <f t="shared" si="98"/>
        <v>0</v>
      </c>
      <c r="BY254" s="497">
        <f t="shared" si="111"/>
        <v>1800000</v>
      </c>
      <c r="BZ254" s="493"/>
      <c r="CA254" s="493"/>
      <c r="CC254" s="492">
        <v>250</v>
      </c>
      <c r="CD254" s="492">
        <v>21</v>
      </c>
      <c r="CE254" s="497">
        <f>IF(('Comparison Calculator'!$E$11-CD254)&gt;=0,0,IFERROR(-PPMT($CI$66/12,(CC254-60),($F$1-5)*12,$CI$65),0))</f>
        <v>0</v>
      </c>
      <c r="CF254" s="497">
        <f>IF(('Comparison Calculator'!$E$11-CD254)&gt;=0,$C$1*$CI$66/12,IFERROR(-IPMT($CI$66/12,(CC254-60),($F$1-5)*12,$CI$65,0),0))</f>
        <v>0</v>
      </c>
      <c r="CG254" s="497">
        <f t="shared" si="99"/>
        <v>0</v>
      </c>
      <c r="CH254" s="497">
        <f t="shared" si="112"/>
        <v>1800000</v>
      </c>
      <c r="CI254" s="493"/>
      <c r="CJ254" s="493"/>
      <c r="CL254" s="492">
        <v>250</v>
      </c>
      <c r="CM254" s="492">
        <v>21</v>
      </c>
      <c r="CN254" s="497">
        <f>IF(('Comparison Calculator'!$E$11-CM254)&gt;=0,0,IFERROR(-PPMT($CR$66/12,(CL254-60),($F$1-5)*12,$CR$65),0))</f>
        <v>0</v>
      </c>
      <c r="CO254" s="497">
        <f>IF(('Comparison Calculator'!$E$11-CM254)&gt;=0,$C$1*$CI$66/12,IFERROR(-IPMT($CI$66/12,(CL254-60),($F$1-5)*12,$CI$65,0),0))</f>
        <v>0</v>
      </c>
      <c r="CP254" s="497">
        <f t="shared" si="100"/>
        <v>0</v>
      </c>
      <c r="CQ254" s="497">
        <f t="shared" si="113"/>
        <v>1800000</v>
      </c>
      <c r="CR254" s="493"/>
      <c r="CS254" s="493"/>
      <c r="CU254" s="492">
        <v>250</v>
      </c>
      <c r="CV254" s="492">
        <v>21</v>
      </c>
      <c r="CW254" s="497">
        <f>IF(('Comparison Calculator'!$E$11-CV254)&gt;=0,0,IFERROR(-PPMT($DA$66/12,(CU254-60),($F$1-5)*12,$DA$65),0))</f>
        <v>0</v>
      </c>
      <c r="CX254" s="497">
        <f>IF(('Comparison Calculator'!$E$11-CV254)&gt;=0,$C$1*$DA$66/12,IFERROR(-IPMT($DA$66/12,(CU254-60),($F$1-5)*12,$DA$65,0),0))</f>
        <v>0</v>
      </c>
      <c r="CY254" s="497">
        <f t="shared" si="101"/>
        <v>0</v>
      </c>
      <c r="CZ254" s="497">
        <f t="shared" si="114"/>
        <v>1800000</v>
      </c>
      <c r="DA254" s="493"/>
      <c r="DB254" s="493"/>
      <c r="DD254" s="492">
        <v>250</v>
      </c>
      <c r="DE254" s="492">
        <v>21</v>
      </c>
      <c r="DF254" s="497">
        <f>IF(('Comparison Calculator'!$E$11-DE254)&gt;=0,0,IFERROR(-PPMT($DJ$66/12,(DD254-60),($F$1-5)*12,$DJ$65),0))</f>
        <v>0</v>
      </c>
      <c r="DG254" s="497">
        <f>IF(('Comparison Calculator'!$E$11-DE254)&gt;=0,$C$1*$DJ$66/12,IFERROR(-IPMT($DJ$66/12,(DD254-60),($F$1-5)*12,$DJ$65,0),0))</f>
        <v>0</v>
      </c>
      <c r="DH254" s="497">
        <f t="shared" si="102"/>
        <v>0</v>
      </c>
      <c r="DI254" s="497">
        <f t="shared" si="115"/>
        <v>1800000</v>
      </c>
      <c r="DJ254" s="493"/>
      <c r="DK254" s="493"/>
    </row>
    <row r="255" spans="1:115">
      <c r="A255" s="492">
        <v>251</v>
      </c>
      <c r="B255" s="492">
        <v>21</v>
      </c>
      <c r="C255" s="497">
        <f>IF(('Comparison Calculator'!$E$11-B255)&gt;=0,0,IFERROR(-PPMT($G$66/12,(A255-60),($F$1-5)*12,$G$65),0))</f>
        <v>0</v>
      </c>
      <c r="D255" s="497">
        <f>IF(('Comparison Calculator'!$E$11-B255)&gt;=0,$C$1*$G$66/12,IFERROR(-IPMT($G$66/12,(A255-60),($F$1-5)*12,$G$65,0),0))</f>
        <v>0</v>
      </c>
      <c r="E255" s="497">
        <f t="shared" si="90"/>
        <v>0</v>
      </c>
      <c r="F255" s="497">
        <f t="shared" si="103"/>
        <v>1800000</v>
      </c>
      <c r="G255" s="493"/>
      <c r="H255" s="493"/>
      <c r="I255" s="489"/>
      <c r="J255" s="492">
        <v>251</v>
      </c>
      <c r="K255" s="492">
        <v>21</v>
      </c>
      <c r="L255" s="497">
        <f>IF(('Comparison Calculator'!$E$11-K255)&gt;=0,0,IFERROR(-PPMT($P$66/12,(J255-60),($F$1-5)*12,$P$65),0))</f>
        <v>0</v>
      </c>
      <c r="M255" s="497">
        <f>IF(('Comparison Calculator'!$E$11-K255)&gt;=0,$C$1*$P$66/12,IFERROR(-IPMT($P$66/12,(J255-60),($F$1-5)*12,$P$65,0),0))</f>
        <v>0</v>
      </c>
      <c r="N255" s="497">
        <f t="shared" si="91"/>
        <v>0</v>
      </c>
      <c r="O255" s="497">
        <f t="shared" si="104"/>
        <v>1800000</v>
      </c>
      <c r="P255" s="493"/>
      <c r="Q255" s="493"/>
      <c r="S255" s="492">
        <v>251</v>
      </c>
      <c r="T255" s="492">
        <v>21</v>
      </c>
      <c r="U255" s="497">
        <f>IF(('Comparison Calculator'!$E$11-T255)&gt;=0,0,IFERROR(-PPMT($Y$66/12,(S255-60),($F$1-5)*12,$Y$65),0))</f>
        <v>0</v>
      </c>
      <c r="V255" s="497">
        <f>IF(('Comparison Calculator'!$E$11-T255)&gt;=0,$C$1*$Y$66/12,IFERROR(-IPMT($Y$66/12,(S255-60),($F$1-5)*12,$Y$65,0),0))</f>
        <v>0</v>
      </c>
      <c r="W255" s="497">
        <f t="shared" si="92"/>
        <v>0</v>
      </c>
      <c r="X255" s="497">
        <f t="shared" si="105"/>
        <v>1800000</v>
      </c>
      <c r="Y255" s="493"/>
      <c r="Z255" s="493"/>
      <c r="AB255" s="492">
        <v>251</v>
      </c>
      <c r="AC255" s="492">
        <v>21</v>
      </c>
      <c r="AD255" s="497">
        <f>IF(('Comparison Calculator'!$E$11-AC255)&gt;=0,0,IFERROR(-PPMT($AH$66/12,(AB255-60),($F$1-5)*12,$AH$65),0))</f>
        <v>0</v>
      </c>
      <c r="AE255" s="497">
        <f>IF(('Comparison Calculator'!$E$11-AC255)&gt;=0,$C$1*$AH$66/12,IFERROR(-IPMT($AH$66/12,(AB255-60),($F$1-5)*12,$AH$65,0),0))</f>
        <v>0</v>
      </c>
      <c r="AF255" s="497">
        <f t="shared" si="93"/>
        <v>0</v>
      </c>
      <c r="AG255" s="497">
        <f t="shared" si="106"/>
        <v>1800000</v>
      </c>
      <c r="AH255" s="493"/>
      <c r="AI255" s="493"/>
      <c r="AK255" s="492">
        <v>251</v>
      </c>
      <c r="AL255" s="492">
        <v>21</v>
      </c>
      <c r="AM255" s="497">
        <f>IF(('Comparison Calculator'!$E$11-AL255)&gt;=0,0,IFERROR(-PPMT($AQ$66/12,(AK255-60),($F$1-5)*12,$AQ$65),0))</f>
        <v>0</v>
      </c>
      <c r="AN255" s="497">
        <f>IF(('Comparison Calculator'!$E$11-AL255)&gt;=0,$C$1*$AQ$66/12,IFERROR(-IPMT($AQ$66/12,(AK255-60),($F$1-5)*12,$AQ$65,0),0))</f>
        <v>0</v>
      </c>
      <c r="AO255" s="497">
        <f t="shared" si="94"/>
        <v>0</v>
      </c>
      <c r="AP255" s="497">
        <f t="shared" si="107"/>
        <v>1800000</v>
      </c>
      <c r="AQ255" s="493"/>
      <c r="AR255" s="493"/>
      <c r="AT255" s="492">
        <v>251</v>
      </c>
      <c r="AU255" s="492">
        <v>21</v>
      </c>
      <c r="AV255" s="497">
        <f>IF(('Comparison Calculator'!$E$11-AU255)&gt;=0,0,IFERROR(-PPMT($AZ$66/12,(AT255-60),($F$1-5)*12,$AZ$65),0))</f>
        <v>0</v>
      </c>
      <c r="AW255" s="497">
        <f>IF(('Comparison Calculator'!$E$11-AU255)&gt;=0,$C$1*$AZ$66/12,IFERROR(-IPMT($AZ$66/12,(AT255-60),($F$1-5)*12,$AZ$65,0),0))</f>
        <v>0</v>
      </c>
      <c r="AX255" s="497">
        <f t="shared" si="95"/>
        <v>0</v>
      </c>
      <c r="AY255" s="497">
        <f t="shared" si="108"/>
        <v>1800000</v>
      </c>
      <c r="AZ255" s="493"/>
      <c r="BA255" s="493"/>
      <c r="BC255" s="492">
        <v>251</v>
      </c>
      <c r="BD255" s="492">
        <v>21</v>
      </c>
      <c r="BE255" s="497">
        <f>IF(('Comparison Calculator'!$E$11-BD255)&gt;=0,0,IFERROR(-PPMT($BI$66/12,(BC255-60),($F$1-5)*12,$BI$65),0))</f>
        <v>0</v>
      </c>
      <c r="BF255" s="497">
        <f>IF(('Comparison Calculator'!$E$11-BD255)&gt;=0,$C$1*$BI$66/12,IFERROR(-IPMT($BI$66/12,(BC255-60),($F$1-5)*12,$BI$65,0),0))</f>
        <v>0</v>
      </c>
      <c r="BG255" s="497">
        <f t="shared" si="96"/>
        <v>0</v>
      </c>
      <c r="BH255" s="497">
        <f t="shared" si="109"/>
        <v>1800000</v>
      </c>
      <c r="BI255" s="493"/>
      <c r="BJ255" s="493"/>
      <c r="BK255" s="492">
        <v>251</v>
      </c>
      <c r="BL255" s="492">
        <v>21</v>
      </c>
      <c r="BM255" s="497">
        <f>IF(('Comparison Calculator'!$E$11-BL255)&gt;=0,0,IFERROR(-PPMT($BQ$66/12,(BK255-60),($F$1-5)*12,$BQ$65),0))</f>
        <v>0</v>
      </c>
      <c r="BN255" s="497">
        <f>IF(('Comparison Calculator'!$E$11-BL255)&gt;=0,$C$1*$BQ$66/12,IFERROR(-IPMT($BQ$66/12,(BK255-60),($F$1-5)*12,$BQ$65,0),0))</f>
        <v>0</v>
      </c>
      <c r="BO255" s="497">
        <f t="shared" si="97"/>
        <v>0</v>
      </c>
      <c r="BP255" s="497">
        <f t="shared" si="110"/>
        <v>1800000</v>
      </c>
      <c r="BQ255" s="493"/>
      <c r="BR255" s="493"/>
      <c r="BT255" s="492">
        <v>251</v>
      </c>
      <c r="BU255" s="492">
        <v>21</v>
      </c>
      <c r="BV255" s="497">
        <f>IF(('Comparison Calculator'!$E$11-BU255)&gt;=0,0,IFERROR(-PPMT($BZ$66/12,(BT255-60),($F$1-5)*12,$BZ$65),0))</f>
        <v>0</v>
      </c>
      <c r="BW255" s="497">
        <f>IF(('Comparison Calculator'!$E$11-BU255)&gt;=0,$C$1*$BZ$66/12,IFERROR(-IPMT($BZ$66/12,(BT255-60),($F$1-5)*12,$BZ$65,0),0))</f>
        <v>0</v>
      </c>
      <c r="BX255" s="497">
        <f t="shared" si="98"/>
        <v>0</v>
      </c>
      <c r="BY255" s="497">
        <f t="shared" si="111"/>
        <v>1800000</v>
      </c>
      <c r="BZ255" s="493"/>
      <c r="CA255" s="493"/>
      <c r="CC255" s="492">
        <v>251</v>
      </c>
      <c r="CD255" s="492">
        <v>21</v>
      </c>
      <c r="CE255" s="497">
        <f>IF(('Comparison Calculator'!$E$11-CD255)&gt;=0,0,IFERROR(-PPMT($CI$66/12,(CC255-60),($F$1-5)*12,$CI$65),0))</f>
        <v>0</v>
      </c>
      <c r="CF255" s="497">
        <f>IF(('Comparison Calculator'!$E$11-CD255)&gt;=0,$C$1*$CI$66/12,IFERROR(-IPMT($CI$66/12,(CC255-60),($F$1-5)*12,$CI$65,0),0))</f>
        <v>0</v>
      </c>
      <c r="CG255" s="497">
        <f t="shared" si="99"/>
        <v>0</v>
      </c>
      <c r="CH255" s="497">
        <f t="shared" si="112"/>
        <v>1800000</v>
      </c>
      <c r="CI255" s="493"/>
      <c r="CJ255" s="493"/>
      <c r="CL255" s="492">
        <v>251</v>
      </c>
      <c r="CM255" s="492">
        <v>21</v>
      </c>
      <c r="CN255" s="497">
        <f>IF(('Comparison Calculator'!$E$11-CM255)&gt;=0,0,IFERROR(-PPMT($CR$66/12,(CL255-60),($F$1-5)*12,$CR$65),0))</f>
        <v>0</v>
      </c>
      <c r="CO255" s="497">
        <f>IF(('Comparison Calculator'!$E$11-CM255)&gt;=0,$C$1*$CI$66/12,IFERROR(-IPMT($CI$66/12,(CL255-60),($F$1-5)*12,$CI$65,0),0))</f>
        <v>0</v>
      </c>
      <c r="CP255" s="497">
        <f t="shared" si="100"/>
        <v>0</v>
      </c>
      <c r="CQ255" s="497">
        <f t="shared" si="113"/>
        <v>1800000</v>
      </c>
      <c r="CR255" s="493"/>
      <c r="CS255" s="493"/>
      <c r="CU255" s="492">
        <v>251</v>
      </c>
      <c r="CV255" s="492">
        <v>21</v>
      </c>
      <c r="CW255" s="497">
        <f>IF(('Comparison Calculator'!$E$11-CV255)&gt;=0,0,IFERROR(-PPMT($DA$66/12,(CU255-60),($F$1-5)*12,$DA$65),0))</f>
        <v>0</v>
      </c>
      <c r="CX255" s="497">
        <f>IF(('Comparison Calculator'!$E$11-CV255)&gt;=0,$C$1*$DA$66/12,IFERROR(-IPMT($DA$66/12,(CU255-60),($F$1-5)*12,$DA$65,0),0))</f>
        <v>0</v>
      </c>
      <c r="CY255" s="497">
        <f t="shared" si="101"/>
        <v>0</v>
      </c>
      <c r="CZ255" s="497">
        <f t="shared" si="114"/>
        <v>1800000</v>
      </c>
      <c r="DA255" s="493"/>
      <c r="DB255" s="493"/>
      <c r="DD255" s="492">
        <v>251</v>
      </c>
      <c r="DE255" s="492">
        <v>21</v>
      </c>
      <c r="DF255" s="497">
        <f>IF(('Comparison Calculator'!$E$11-DE255)&gt;=0,0,IFERROR(-PPMT($DJ$66/12,(DD255-60),($F$1-5)*12,$DJ$65),0))</f>
        <v>0</v>
      </c>
      <c r="DG255" s="497">
        <f>IF(('Comparison Calculator'!$E$11-DE255)&gt;=0,$C$1*$DJ$66/12,IFERROR(-IPMT($DJ$66/12,(DD255-60),($F$1-5)*12,$DJ$65,0),0))</f>
        <v>0</v>
      </c>
      <c r="DH255" s="497">
        <f t="shared" si="102"/>
        <v>0</v>
      </c>
      <c r="DI255" s="497">
        <f t="shared" si="115"/>
        <v>1800000</v>
      </c>
      <c r="DJ255" s="493"/>
      <c r="DK255" s="493"/>
    </row>
    <row r="256" spans="1:115">
      <c r="A256" s="492">
        <v>252</v>
      </c>
      <c r="B256" s="492">
        <v>21</v>
      </c>
      <c r="C256" s="497">
        <f>IF(('Comparison Calculator'!$E$11-B256)&gt;=0,0,IFERROR(-PPMT($G$66/12,(A256-60),($F$1-5)*12,$G$65),0))</f>
        <v>0</v>
      </c>
      <c r="D256" s="497">
        <f>IF(('Comparison Calculator'!$E$11-B256)&gt;=0,$C$1*$G$66/12,IFERROR(-IPMT($G$66/12,(A256-60),($F$1-5)*12,$G$65,0),0))</f>
        <v>0</v>
      </c>
      <c r="E256" s="497">
        <f t="shared" si="90"/>
        <v>0</v>
      </c>
      <c r="F256" s="497">
        <f t="shared" si="103"/>
        <v>1800000</v>
      </c>
      <c r="G256" s="493"/>
      <c r="H256" s="493"/>
      <c r="I256" s="489"/>
      <c r="J256" s="492">
        <v>252</v>
      </c>
      <c r="K256" s="492">
        <v>21</v>
      </c>
      <c r="L256" s="497">
        <f>IF(('Comparison Calculator'!$E$11-K256)&gt;=0,0,IFERROR(-PPMT($P$66/12,(J256-60),($F$1-5)*12,$P$65),0))</f>
        <v>0</v>
      </c>
      <c r="M256" s="497">
        <f>IF(('Comparison Calculator'!$E$11-K256)&gt;=0,$C$1*$P$66/12,IFERROR(-IPMT($P$66/12,(J256-60),($F$1-5)*12,$P$65,0),0))</f>
        <v>0</v>
      </c>
      <c r="N256" s="497">
        <f t="shared" si="91"/>
        <v>0</v>
      </c>
      <c r="O256" s="497">
        <f t="shared" si="104"/>
        <v>1800000</v>
      </c>
      <c r="P256" s="493"/>
      <c r="Q256" s="493"/>
      <c r="S256" s="492">
        <v>252</v>
      </c>
      <c r="T256" s="492">
        <v>21</v>
      </c>
      <c r="U256" s="497">
        <f>IF(('Comparison Calculator'!$E$11-T256)&gt;=0,0,IFERROR(-PPMT($Y$66/12,(S256-60),($F$1-5)*12,$Y$65),0))</f>
        <v>0</v>
      </c>
      <c r="V256" s="497">
        <f>IF(('Comparison Calculator'!$E$11-T256)&gt;=0,$C$1*$Y$66/12,IFERROR(-IPMT($Y$66/12,(S256-60),($F$1-5)*12,$Y$65,0),0))</f>
        <v>0</v>
      </c>
      <c r="W256" s="497">
        <f t="shared" si="92"/>
        <v>0</v>
      </c>
      <c r="X256" s="497">
        <f t="shared" si="105"/>
        <v>1800000</v>
      </c>
      <c r="Y256" s="493"/>
      <c r="Z256" s="493"/>
      <c r="AB256" s="492">
        <v>252</v>
      </c>
      <c r="AC256" s="492">
        <v>21</v>
      </c>
      <c r="AD256" s="497">
        <f>IF(('Comparison Calculator'!$E$11-AC256)&gt;=0,0,IFERROR(-PPMT($AH$66/12,(AB256-60),($F$1-5)*12,$AH$65),0))</f>
        <v>0</v>
      </c>
      <c r="AE256" s="497">
        <f>IF(('Comparison Calculator'!$E$11-AC256)&gt;=0,$C$1*$AH$66/12,IFERROR(-IPMT($AH$66/12,(AB256-60),($F$1-5)*12,$AH$65,0),0))</f>
        <v>0</v>
      </c>
      <c r="AF256" s="497">
        <f t="shared" si="93"/>
        <v>0</v>
      </c>
      <c r="AG256" s="497">
        <f t="shared" si="106"/>
        <v>1800000</v>
      </c>
      <c r="AH256" s="493"/>
      <c r="AI256" s="493"/>
      <c r="AK256" s="492">
        <v>252</v>
      </c>
      <c r="AL256" s="492">
        <v>21</v>
      </c>
      <c r="AM256" s="497">
        <f>IF(('Comparison Calculator'!$E$11-AL256)&gt;=0,0,IFERROR(-PPMT($AQ$66/12,(AK256-60),($F$1-5)*12,$AQ$65),0))</f>
        <v>0</v>
      </c>
      <c r="AN256" s="497">
        <f>IF(('Comparison Calculator'!$E$11-AL256)&gt;=0,$C$1*$AQ$66/12,IFERROR(-IPMT($AQ$66/12,(AK256-60),($F$1-5)*12,$AQ$65,0),0))</f>
        <v>0</v>
      </c>
      <c r="AO256" s="497">
        <f t="shared" si="94"/>
        <v>0</v>
      </c>
      <c r="AP256" s="497">
        <f t="shared" si="107"/>
        <v>1800000</v>
      </c>
      <c r="AQ256" s="493"/>
      <c r="AR256" s="493"/>
      <c r="AT256" s="492">
        <v>252</v>
      </c>
      <c r="AU256" s="492">
        <v>21</v>
      </c>
      <c r="AV256" s="497">
        <f>IF(('Comparison Calculator'!$E$11-AU256)&gt;=0,0,IFERROR(-PPMT($AZ$66/12,(AT256-60),($F$1-5)*12,$AZ$65),0))</f>
        <v>0</v>
      </c>
      <c r="AW256" s="497">
        <f>IF(('Comparison Calculator'!$E$11-AU256)&gt;=0,$C$1*$AZ$66/12,IFERROR(-IPMT($AZ$66/12,(AT256-60),($F$1-5)*12,$AZ$65,0),0))</f>
        <v>0</v>
      </c>
      <c r="AX256" s="497">
        <f t="shared" si="95"/>
        <v>0</v>
      </c>
      <c r="AY256" s="497">
        <f t="shared" si="108"/>
        <v>1800000</v>
      </c>
      <c r="AZ256" s="493"/>
      <c r="BA256" s="493"/>
      <c r="BC256" s="492">
        <v>252</v>
      </c>
      <c r="BD256" s="492">
        <v>21</v>
      </c>
      <c r="BE256" s="497">
        <f>IF(('Comparison Calculator'!$E$11-BD256)&gt;=0,0,IFERROR(-PPMT($BI$66/12,(BC256-60),($F$1-5)*12,$BI$65),0))</f>
        <v>0</v>
      </c>
      <c r="BF256" s="497">
        <f>IF(('Comparison Calculator'!$E$11-BD256)&gt;=0,$C$1*$BI$66/12,IFERROR(-IPMT($BI$66/12,(BC256-60),($F$1-5)*12,$BI$65,0),0))</f>
        <v>0</v>
      </c>
      <c r="BG256" s="497">
        <f t="shared" si="96"/>
        <v>0</v>
      </c>
      <c r="BH256" s="497">
        <f t="shared" si="109"/>
        <v>1800000</v>
      </c>
      <c r="BI256" s="493"/>
      <c r="BJ256" s="493"/>
      <c r="BK256" s="492">
        <v>252</v>
      </c>
      <c r="BL256" s="492">
        <v>21</v>
      </c>
      <c r="BM256" s="497">
        <f>IF(('Comparison Calculator'!$E$11-BL256)&gt;=0,0,IFERROR(-PPMT($BQ$66/12,(BK256-60),($F$1-5)*12,$BQ$65),0))</f>
        <v>0</v>
      </c>
      <c r="BN256" s="497">
        <f>IF(('Comparison Calculator'!$E$11-BL256)&gt;=0,$C$1*$BQ$66/12,IFERROR(-IPMT($BQ$66/12,(BK256-60),($F$1-5)*12,$BQ$65,0),0))</f>
        <v>0</v>
      </c>
      <c r="BO256" s="497">
        <f t="shared" si="97"/>
        <v>0</v>
      </c>
      <c r="BP256" s="497">
        <f t="shared" si="110"/>
        <v>1800000</v>
      </c>
      <c r="BQ256" s="493"/>
      <c r="BR256" s="493"/>
      <c r="BT256" s="492">
        <v>252</v>
      </c>
      <c r="BU256" s="492">
        <v>21</v>
      </c>
      <c r="BV256" s="497">
        <f>IF(('Comparison Calculator'!$E$11-BU256)&gt;=0,0,IFERROR(-PPMT($BZ$66/12,(BT256-60),($F$1-5)*12,$BZ$65),0))</f>
        <v>0</v>
      </c>
      <c r="BW256" s="497">
        <f>IF(('Comparison Calculator'!$E$11-BU256)&gt;=0,$C$1*$BZ$66/12,IFERROR(-IPMT($BZ$66/12,(BT256-60),($F$1-5)*12,$BZ$65,0),0))</f>
        <v>0</v>
      </c>
      <c r="BX256" s="497">
        <f t="shared" si="98"/>
        <v>0</v>
      </c>
      <c r="BY256" s="497">
        <f t="shared" si="111"/>
        <v>1800000</v>
      </c>
      <c r="BZ256" s="493"/>
      <c r="CA256" s="493"/>
      <c r="CC256" s="492">
        <v>252</v>
      </c>
      <c r="CD256" s="492">
        <v>21</v>
      </c>
      <c r="CE256" s="497">
        <f>IF(('Comparison Calculator'!$E$11-CD256)&gt;=0,0,IFERROR(-PPMT($CI$66/12,(CC256-60),($F$1-5)*12,$CI$65),0))</f>
        <v>0</v>
      </c>
      <c r="CF256" s="497">
        <f>IF(('Comparison Calculator'!$E$11-CD256)&gt;=0,$C$1*$CI$66/12,IFERROR(-IPMT($CI$66/12,(CC256-60),($F$1-5)*12,$CI$65,0),0))</f>
        <v>0</v>
      </c>
      <c r="CG256" s="497">
        <f t="shared" si="99"/>
        <v>0</v>
      </c>
      <c r="CH256" s="497">
        <f t="shared" si="112"/>
        <v>1800000</v>
      </c>
      <c r="CI256" s="493"/>
      <c r="CJ256" s="493"/>
      <c r="CL256" s="492">
        <v>252</v>
      </c>
      <c r="CM256" s="492">
        <v>21</v>
      </c>
      <c r="CN256" s="497">
        <f>IF(('Comparison Calculator'!$E$11-CM256)&gt;=0,0,IFERROR(-PPMT($CR$66/12,(CL256-60),($F$1-5)*12,$CR$65),0))</f>
        <v>0</v>
      </c>
      <c r="CO256" s="497">
        <f>IF(('Comparison Calculator'!$E$11-CM256)&gt;=0,$C$1*$CI$66/12,IFERROR(-IPMT($CI$66/12,(CL256-60),($F$1-5)*12,$CI$65,0),0))</f>
        <v>0</v>
      </c>
      <c r="CP256" s="497">
        <f t="shared" si="100"/>
        <v>0</v>
      </c>
      <c r="CQ256" s="497">
        <f t="shared" si="113"/>
        <v>1800000</v>
      </c>
      <c r="CR256" s="493"/>
      <c r="CS256" s="493"/>
      <c r="CU256" s="492">
        <v>252</v>
      </c>
      <c r="CV256" s="492">
        <v>21</v>
      </c>
      <c r="CW256" s="497">
        <f>IF(('Comparison Calculator'!$E$11-CV256)&gt;=0,0,IFERROR(-PPMT($DA$66/12,(CU256-60),($F$1-5)*12,$DA$65),0))</f>
        <v>0</v>
      </c>
      <c r="CX256" s="497">
        <f>IF(('Comparison Calculator'!$E$11-CV256)&gt;=0,$C$1*$DA$66/12,IFERROR(-IPMT($DA$66/12,(CU256-60),($F$1-5)*12,$DA$65,0),0))</f>
        <v>0</v>
      </c>
      <c r="CY256" s="497">
        <f t="shared" si="101"/>
        <v>0</v>
      </c>
      <c r="CZ256" s="497">
        <f t="shared" si="114"/>
        <v>1800000</v>
      </c>
      <c r="DA256" s="493"/>
      <c r="DB256" s="493"/>
      <c r="DD256" s="492">
        <v>252</v>
      </c>
      <c r="DE256" s="492">
        <v>21</v>
      </c>
      <c r="DF256" s="497">
        <f>IF(('Comparison Calculator'!$E$11-DE256)&gt;=0,0,IFERROR(-PPMT($DJ$66/12,(DD256-60),($F$1-5)*12,$DJ$65),0))</f>
        <v>0</v>
      </c>
      <c r="DG256" s="497">
        <f>IF(('Comparison Calculator'!$E$11-DE256)&gt;=0,$C$1*$DJ$66/12,IFERROR(-IPMT($DJ$66/12,(DD256-60),($F$1-5)*12,$DJ$65,0),0))</f>
        <v>0</v>
      </c>
      <c r="DH256" s="497">
        <f t="shared" si="102"/>
        <v>0</v>
      </c>
      <c r="DI256" s="497">
        <f t="shared" si="115"/>
        <v>1800000</v>
      </c>
      <c r="DJ256" s="493"/>
      <c r="DK256" s="493"/>
    </row>
    <row r="257" spans="1:115">
      <c r="A257" s="492">
        <v>253</v>
      </c>
      <c r="B257" s="492">
        <v>22</v>
      </c>
      <c r="C257" s="497">
        <f>IF(('Comparison Calculator'!$E$11-B257)&gt;=0,0,IFERROR(-PPMT($G$66/12,(A257-60),($F$1-5)*12,$G$65),0))</f>
        <v>0</v>
      </c>
      <c r="D257" s="497">
        <f>IF(('Comparison Calculator'!$E$11-B257)&gt;=0,$C$1*$G$66/12,IFERROR(-IPMT($G$66/12,(A257-60),($F$1-5)*12,$G$65,0),0))</f>
        <v>0</v>
      </c>
      <c r="E257" s="497">
        <f t="shared" si="90"/>
        <v>0</v>
      </c>
      <c r="F257" s="497">
        <f t="shared" si="103"/>
        <v>1800000</v>
      </c>
      <c r="G257" s="493"/>
      <c r="H257" s="493"/>
      <c r="I257" s="489"/>
      <c r="J257" s="492">
        <v>253</v>
      </c>
      <c r="K257" s="492">
        <v>22</v>
      </c>
      <c r="L257" s="497">
        <f>IF(('Comparison Calculator'!$E$11-K257)&gt;=0,0,IFERROR(-PPMT($P$66/12,(J257-60),($F$1-5)*12,$P$65),0))</f>
        <v>0</v>
      </c>
      <c r="M257" s="497">
        <f>IF(('Comparison Calculator'!$E$11-K257)&gt;=0,$C$1*$P$66/12,IFERROR(-IPMT($P$66/12,(J257-60),($F$1-5)*12,$P$65,0),0))</f>
        <v>0</v>
      </c>
      <c r="N257" s="497">
        <f t="shared" si="91"/>
        <v>0</v>
      </c>
      <c r="O257" s="497">
        <f t="shared" si="104"/>
        <v>1800000</v>
      </c>
      <c r="P257" s="493"/>
      <c r="Q257" s="493"/>
      <c r="S257" s="492">
        <v>253</v>
      </c>
      <c r="T257" s="492">
        <v>22</v>
      </c>
      <c r="U257" s="497">
        <f>IF(('Comparison Calculator'!$E$11-T257)&gt;=0,0,IFERROR(-PPMT($Y$66/12,(S257-60),($F$1-5)*12,$Y$65),0))</f>
        <v>0</v>
      </c>
      <c r="V257" s="497">
        <f>IF(('Comparison Calculator'!$E$11-T257)&gt;=0,$C$1*$Y$66/12,IFERROR(-IPMT($Y$66/12,(S257-60),($F$1-5)*12,$Y$65,0),0))</f>
        <v>0</v>
      </c>
      <c r="W257" s="497">
        <f t="shared" si="92"/>
        <v>0</v>
      </c>
      <c r="X257" s="497">
        <f t="shared" si="105"/>
        <v>1800000</v>
      </c>
      <c r="Y257" s="493"/>
      <c r="Z257" s="493"/>
      <c r="AB257" s="492">
        <v>253</v>
      </c>
      <c r="AC257" s="492">
        <v>22</v>
      </c>
      <c r="AD257" s="497">
        <f>IF(('Comparison Calculator'!$E$11-AC257)&gt;=0,0,IFERROR(-PPMT($AH$66/12,(AB257-60),($F$1-5)*12,$AH$65),0))</f>
        <v>0</v>
      </c>
      <c r="AE257" s="497">
        <f>IF(('Comparison Calculator'!$E$11-AC257)&gt;=0,$C$1*$AH$66/12,IFERROR(-IPMT($AH$66/12,(AB257-60),($F$1-5)*12,$AH$65,0),0))</f>
        <v>0</v>
      </c>
      <c r="AF257" s="497">
        <f t="shared" si="93"/>
        <v>0</v>
      </c>
      <c r="AG257" s="497">
        <f t="shared" si="106"/>
        <v>1800000</v>
      </c>
      <c r="AH257" s="493"/>
      <c r="AI257" s="493"/>
      <c r="AK257" s="492">
        <v>253</v>
      </c>
      <c r="AL257" s="492">
        <v>22</v>
      </c>
      <c r="AM257" s="497">
        <f>IF(('Comparison Calculator'!$E$11-AL257)&gt;=0,0,IFERROR(-PPMT($AQ$66/12,(AK257-60),($F$1-5)*12,$AQ$65),0))</f>
        <v>0</v>
      </c>
      <c r="AN257" s="497">
        <f>IF(('Comparison Calculator'!$E$11-AL257)&gt;=0,$C$1*$AQ$66/12,IFERROR(-IPMT($AQ$66/12,(AK257-60),($F$1-5)*12,$AQ$65,0),0))</f>
        <v>0</v>
      </c>
      <c r="AO257" s="497">
        <f t="shared" si="94"/>
        <v>0</v>
      </c>
      <c r="AP257" s="497">
        <f t="shared" si="107"/>
        <v>1800000</v>
      </c>
      <c r="AQ257" s="493"/>
      <c r="AR257" s="493"/>
      <c r="AT257" s="492">
        <v>253</v>
      </c>
      <c r="AU257" s="492">
        <v>22</v>
      </c>
      <c r="AV257" s="497">
        <f>IF(('Comparison Calculator'!$E$11-AU257)&gt;=0,0,IFERROR(-PPMT($AZ$66/12,(AT257-60),($F$1-5)*12,$AZ$65),0))</f>
        <v>0</v>
      </c>
      <c r="AW257" s="497">
        <f>IF(('Comparison Calculator'!$E$11-AU257)&gt;=0,$C$1*$AZ$66/12,IFERROR(-IPMT($AZ$66/12,(AT257-60),($F$1-5)*12,$AZ$65,0),0))</f>
        <v>0</v>
      </c>
      <c r="AX257" s="497">
        <f t="shared" si="95"/>
        <v>0</v>
      </c>
      <c r="AY257" s="497">
        <f t="shared" si="108"/>
        <v>1800000</v>
      </c>
      <c r="AZ257" s="493"/>
      <c r="BA257" s="493"/>
      <c r="BC257" s="492">
        <v>253</v>
      </c>
      <c r="BD257" s="492">
        <v>22</v>
      </c>
      <c r="BE257" s="497">
        <f>IF(('Comparison Calculator'!$E$11-BD257)&gt;=0,0,IFERROR(-PPMT($BI$66/12,(BC257-60),($F$1-5)*12,$BI$65),0))</f>
        <v>0</v>
      </c>
      <c r="BF257" s="497">
        <f>IF(('Comparison Calculator'!$E$11-BD257)&gt;=0,$C$1*$BI$66/12,IFERROR(-IPMT($BI$66/12,(BC257-60),($F$1-5)*12,$BI$65,0),0))</f>
        <v>0</v>
      </c>
      <c r="BG257" s="497">
        <f t="shared" si="96"/>
        <v>0</v>
      </c>
      <c r="BH257" s="497">
        <f t="shared" si="109"/>
        <v>1800000</v>
      </c>
      <c r="BI257" s="493"/>
      <c r="BJ257" s="493"/>
      <c r="BK257" s="492">
        <v>253</v>
      </c>
      <c r="BL257" s="492">
        <v>22</v>
      </c>
      <c r="BM257" s="497">
        <f>IF(('Comparison Calculator'!$E$11-BL257)&gt;=0,0,IFERROR(-PPMT($BQ$66/12,(BK257-60),($F$1-5)*12,$BQ$65),0))</f>
        <v>0</v>
      </c>
      <c r="BN257" s="497">
        <f>IF(('Comparison Calculator'!$E$11-BL257)&gt;=0,$C$1*$BQ$66/12,IFERROR(-IPMT($BQ$66/12,(BK257-60),($F$1-5)*12,$BQ$65,0),0))</f>
        <v>0</v>
      </c>
      <c r="BO257" s="497">
        <f t="shared" si="97"/>
        <v>0</v>
      </c>
      <c r="BP257" s="497">
        <f t="shared" si="110"/>
        <v>1800000</v>
      </c>
      <c r="BQ257" s="493"/>
      <c r="BR257" s="493"/>
      <c r="BT257" s="492">
        <v>253</v>
      </c>
      <c r="BU257" s="492">
        <v>22</v>
      </c>
      <c r="BV257" s="497">
        <f>IF(('Comparison Calculator'!$E$11-BU257)&gt;=0,0,IFERROR(-PPMT($BZ$66/12,(BT257-60),($F$1-5)*12,$BZ$65),0))</f>
        <v>0</v>
      </c>
      <c r="BW257" s="497">
        <f>IF(('Comparison Calculator'!$E$11-BU257)&gt;=0,$C$1*$BZ$66/12,IFERROR(-IPMT($BZ$66/12,(BT257-60),($F$1-5)*12,$BZ$65,0),0))</f>
        <v>0</v>
      </c>
      <c r="BX257" s="497">
        <f t="shared" si="98"/>
        <v>0</v>
      </c>
      <c r="BY257" s="497">
        <f t="shared" si="111"/>
        <v>1800000</v>
      </c>
      <c r="BZ257" s="493"/>
      <c r="CA257" s="493"/>
      <c r="CC257" s="492">
        <v>253</v>
      </c>
      <c r="CD257" s="492">
        <v>22</v>
      </c>
      <c r="CE257" s="497">
        <f>IF(('Comparison Calculator'!$E$11-CD257)&gt;=0,0,IFERROR(-PPMT($CI$66/12,(CC257-60),($F$1-5)*12,$CI$65),0))</f>
        <v>0</v>
      </c>
      <c r="CF257" s="497">
        <f>IF(('Comparison Calculator'!$E$11-CD257)&gt;=0,$C$1*$CI$66/12,IFERROR(-IPMT($CI$66/12,(CC257-60),($F$1-5)*12,$CI$65,0),0))</f>
        <v>0</v>
      </c>
      <c r="CG257" s="497">
        <f t="shared" si="99"/>
        <v>0</v>
      </c>
      <c r="CH257" s="497">
        <f t="shared" si="112"/>
        <v>1800000</v>
      </c>
      <c r="CI257" s="493"/>
      <c r="CJ257" s="493"/>
      <c r="CL257" s="492">
        <v>253</v>
      </c>
      <c r="CM257" s="492">
        <v>22</v>
      </c>
      <c r="CN257" s="497">
        <f>IF(('Comparison Calculator'!$E$11-CM257)&gt;=0,0,IFERROR(-PPMT($CR$66/12,(CL257-60),($F$1-5)*12,$CR$65),0))</f>
        <v>0</v>
      </c>
      <c r="CO257" s="497">
        <f>IF(('Comparison Calculator'!$E$11-CM257)&gt;=0,$C$1*$CI$66/12,IFERROR(-IPMT($CI$66/12,(CL257-60),($F$1-5)*12,$CI$65,0),0))</f>
        <v>0</v>
      </c>
      <c r="CP257" s="497">
        <f t="shared" si="100"/>
        <v>0</v>
      </c>
      <c r="CQ257" s="497">
        <f t="shared" si="113"/>
        <v>1800000</v>
      </c>
      <c r="CR257" s="493"/>
      <c r="CS257" s="493"/>
      <c r="CU257" s="492">
        <v>253</v>
      </c>
      <c r="CV257" s="492">
        <v>22</v>
      </c>
      <c r="CW257" s="497">
        <f>IF(('Comparison Calculator'!$E$11-CV257)&gt;=0,0,IFERROR(-PPMT($DA$66/12,(CU257-60),($F$1-5)*12,$DA$65),0))</f>
        <v>0</v>
      </c>
      <c r="CX257" s="497">
        <f>IF(('Comparison Calculator'!$E$11-CV257)&gt;=0,$C$1*$DA$66/12,IFERROR(-IPMT($DA$66/12,(CU257-60),($F$1-5)*12,$DA$65,0),0))</f>
        <v>0</v>
      </c>
      <c r="CY257" s="497">
        <f t="shared" si="101"/>
        <v>0</v>
      </c>
      <c r="CZ257" s="497">
        <f t="shared" si="114"/>
        <v>1800000</v>
      </c>
      <c r="DA257" s="493"/>
      <c r="DB257" s="493"/>
      <c r="DD257" s="492">
        <v>253</v>
      </c>
      <c r="DE257" s="492">
        <v>22</v>
      </c>
      <c r="DF257" s="497">
        <f>IF(('Comparison Calculator'!$E$11-DE257)&gt;=0,0,IFERROR(-PPMT($DJ$66/12,(DD257-60),($F$1-5)*12,$DJ$65),0))</f>
        <v>0</v>
      </c>
      <c r="DG257" s="497">
        <f>IF(('Comparison Calculator'!$E$11-DE257)&gt;=0,$C$1*$DJ$66/12,IFERROR(-IPMT($DJ$66/12,(DD257-60),($F$1-5)*12,$DJ$65,0),0))</f>
        <v>0</v>
      </c>
      <c r="DH257" s="497">
        <f t="shared" si="102"/>
        <v>0</v>
      </c>
      <c r="DI257" s="497">
        <f t="shared" si="115"/>
        <v>1800000</v>
      </c>
      <c r="DJ257" s="493"/>
      <c r="DK257" s="493"/>
    </row>
    <row r="258" spans="1:115">
      <c r="A258" s="492">
        <v>254</v>
      </c>
      <c r="B258" s="492">
        <v>22</v>
      </c>
      <c r="C258" s="497">
        <f>IF(('Comparison Calculator'!$E$11-B258)&gt;=0,0,IFERROR(-PPMT($G$66/12,(A258-60),($F$1-5)*12,$G$65),0))</f>
        <v>0</v>
      </c>
      <c r="D258" s="497">
        <f>IF(('Comparison Calculator'!$E$11-B258)&gt;=0,$C$1*$G$66/12,IFERROR(-IPMT($G$66/12,(A258-60),($F$1-5)*12,$G$65,0),0))</f>
        <v>0</v>
      </c>
      <c r="E258" s="497">
        <f t="shared" si="90"/>
        <v>0</v>
      </c>
      <c r="F258" s="497">
        <f t="shared" si="103"/>
        <v>1800000</v>
      </c>
      <c r="G258" s="493"/>
      <c r="H258" s="493"/>
      <c r="I258" s="489"/>
      <c r="J258" s="492">
        <v>254</v>
      </c>
      <c r="K258" s="492">
        <v>22</v>
      </c>
      <c r="L258" s="497">
        <f>IF(('Comparison Calculator'!$E$11-K258)&gt;=0,0,IFERROR(-PPMT($P$66/12,(J258-60),($F$1-5)*12,$P$65),0))</f>
        <v>0</v>
      </c>
      <c r="M258" s="497">
        <f>IF(('Comparison Calculator'!$E$11-K258)&gt;=0,$C$1*$P$66/12,IFERROR(-IPMT($P$66/12,(J258-60),($F$1-5)*12,$P$65,0),0))</f>
        <v>0</v>
      </c>
      <c r="N258" s="497">
        <f t="shared" si="91"/>
        <v>0</v>
      </c>
      <c r="O258" s="497">
        <f t="shared" si="104"/>
        <v>1800000</v>
      </c>
      <c r="P258" s="493"/>
      <c r="Q258" s="493"/>
      <c r="S258" s="492">
        <v>254</v>
      </c>
      <c r="T258" s="492">
        <v>22</v>
      </c>
      <c r="U258" s="497">
        <f>IF(('Comparison Calculator'!$E$11-T258)&gt;=0,0,IFERROR(-PPMT($Y$66/12,(S258-60),($F$1-5)*12,$Y$65),0))</f>
        <v>0</v>
      </c>
      <c r="V258" s="497">
        <f>IF(('Comparison Calculator'!$E$11-T258)&gt;=0,$C$1*$Y$66/12,IFERROR(-IPMT($Y$66/12,(S258-60),($F$1-5)*12,$Y$65,0),0))</f>
        <v>0</v>
      </c>
      <c r="W258" s="497">
        <f t="shared" si="92"/>
        <v>0</v>
      </c>
      <c r="X258" s="497">
        <f t="shared" si="105"/>
        <v>1800000</v>
      </c>
      <c r="Y258" s="493"/>
      <c r="Z258" s="493"/>
      <c r="AB258" s="492">
        <v>254</v>
      </c>
      <c r="AC258" s="492">
        <v>22</v>
      </c>
      <c r="AD258" s="497">
        <f>IF(('Comparison Calculator'!$E$11-AC258)&gt;=0,0,IFERROR(-PPMT($AH$66/12,(AB258-60),($F$1-5)*12,$AH$65),0))</f>
        <v>0</v>
      </c>
      <c r="AE258" s="497">
        <f>IF(('Comparison Calculator'!$E$11-AC258)&gt;=0,$C$1*$AH$66/12,IFERROR(-IPMT($AH$66/12,(AB258-60),($F$1-5)*12,$AH$65,0),0))</f>
        <v>0</v>
      </c>
      <c r="AF258" s="497">
        <f t="shared" si="93"/>
        <v>0</v>
      </c>
      <c r="AG258" s="497">
        <f t="shared" si="106"/>
        <v>1800000</v>
      </c>
      <c r="AH258" s="493"/>
      <c r="AI258" s="493"/>
      <c r="AK258" s="492">
        <v>254</v>
      </c>
      <c r="AL258" s="492">
        <v>22</v>
      </c>
      <c r="AM258" s="497">
        <f>IF(('Comparison Calculator'!$E$11-AL258)&gt;=0,0,IFERROR(-PPMT($AQ$66/12,(AK258-60),($F$1-5)*12,$AQ$65),0))</f>
        <v>0</v>
      </c>
      <c r="AN258" s="497">
        <f>IF(('Comparison Calculator'!$E$11-AL258)&gt;=0,$C$1*$AQ$66/12,IFERROR(-IPMT($AQ$66/12,(AK258-60),($F$1-5)*12,$AQ$65,0),0))</f>
        <v>0</v>
      </c>
      <c r="AO258" s="497">
        <f t="shared" si="94"/>
        <v>0</v>
      </c>
      <c r="AP258" s="497">
        <f t="shared" si="107"/>
        <v>1800000</v>
      </c>
      <c r="AQ258" s="493"/>
      <c r="AR258" s="493"/>
      <c r="AT258" s="492">
        <v>254</v>
      </c>
      <c r="AU258" s="492">
        <v>22</v>
      </c>
      <c r="AV258" s="497">
        <f>IF(('Comparison Calculator'!$E$11-AU258)&gt;=0,0,IFERROR(-PPMT($AZ$66/12,(AT258-60),($F$1-5)*12,$AZ$65),0))</f>
        <v>0</v>
      </c>
      <c r="AW258" s="497">
        <f>IF(('Comparison Calculator'!$E$11-AU258)&gt;=0,$C$1*$AZ$66/12,IFERROR(-IPMT($AZ$66/12,(AT258-60),($F$1-5)*12,$AZ$65,0),0))</f>
        <v>0</v>
      </c>
      <c r="AX258" s="497">
        <f t="shared" si="95"/>
        <v>0</v>
      </c>
      <c r="AY258" s="497">
        <f t="shared" si="108"/>
        <v>1800000</v>
      </c>
      <c r="AZ258" s="493"/>
      <c r="BA258" s="493"/>
      <c r="BC258" s="492">
        <v>254</v>
      </c>
      <c r="BD258" s="492">
        <v>22</v>
      </c>
      <c r="BE258" s="497">
        <f>IF(('Comparison Calculator'!$E$11-BD258)&gt;=0,0,IFERROR(-PPMT($BI$66/12,(BC258-60),($F$1-5)*12,$BI$65),0))</f>
        <v>0</v>
      </c>
      <c r="BF258" s="497">
        <f>IF(('Comparison Calculator'!$E$11-BD258)&gt;=0,$C$1*$BI$66/12,IFERROR(-IPMT($BI$66/12,(BC258-60),($F$1-5)*12,$BI$65,0),0))</f>
        <v>0</v>
      </c>
      <c r="BG258" s="497">
        <f t="shared" si="96"/>
        <v>0</v>
      </c>
      <c r="BH258" s="497">
        <f t="shared" si="109"/>
        <v>1800000</v>
      </c>
      <c r="BI258" s="493"/>
      <c r="BJ258" s="493"/>
      <c r="BK258" s="492">
        <v>254</v>
      </c>
      <c r="BL258" s="492">
        <v>22</v>
      </c>
      <c r="BM258" s="497">
        <f>IF(('Comparison Calculator'!$E$11-BL258)&gt;=0,0,IFERROR(-PPMT($BQ$66/12,(BK258-60),($F$1-5)*12,$BQ$65),0))</f>
        <v>0</v>
      </c>
      <c r="BN258" s="497">
        <f>IF(('Comparison Calculator'!$E$11-BL258)&gt;=0,$C$1*$BQ$66/12,IFERROR(-IPMT($BQ$66/12,(BK258-60),($F$1-5)*12,$BQ$65,0),0))</f>
        <v>0</v>
      </c>
      <c r="BO258" s="497">
        <f t="shared" si="97"/>
        <v>0</v>
      </c>
      <c r="BP258" s="497">
        <f t="shared" si="110"/>
        <v>1800000</v>
      </c>
      <c r="BQ258" s="493"/>
      <c r="BR258" s="493"/>
      <c r="BT258" s="492">
        <v>254</v>
      </c>
      <c r="BU258" s="492">
        <v>22</v>
      </c>
      <c r="BV258" s="497">
        <f>IF(('Comparison Calculator'!$E$11-BU258)&gt;=0,0,IFERROR(-PPMT($BZ$66/12,(BT258-60),($F$1-5)*12,$BZ$65),0))</f>
        <v>0</v>
      </c>
      <c r="BW258" s="497">
        <f>IF(('Comparison Calculator'!$E$11-BU258)&gt;=0,$C$1*$BZ$66/12,IFERROR(-IPMT($BZ$66/12,(BT258-60),($F$1-5)*12,$BZ$65,0),0))</f>
        <v>0</v>
      </c>
      <c r="BX258" s="497">
        <f t="shared" si="98"/>
        <v>0</v>
      </c>
      <c r="BY258" s="497">
        <f t="shared" si="111"/>
        <v>1800000</v>
      </c>
      <c r="BZ258" s="493"/>
      <c r="CA258" s="493"/>
      <c r="CC258" s="492">
        <v>254</v>
      </c>
      <c r="CD258" s="492">
        <v>22</v>
      </c>
      <c r="CE258" s="497">
        <f>IF(('Comparison Calculator'!$E$11-CD258)&gt;=0,0,IFERROR(-PPMT($CI$66/12,(CC258-60),($F$1-5)*12,$CI$65),0))</f>
        <v>0</v>
      </c>
      <c r="CF258" s="497">
        <f>IF(('Comparison Calculator'!$E$11-CD258)&gt;=0,$C$1*$CI$66/12,IFERROR(-IPMT($CI$66/12,(CC258-60),($F$1-5)*12,$CI$65,0),0))</f>
        <v>0</v>
      </c>
      <c r="CG258" s="497">
        <f t="shared" si="99"/>
        <v>0</v>
      </c>
      <c r="CH258" s="497">
        <f t="shared" si="112"/>
        <v>1800000</v>
      </c>
      <c r="CI258" s="493"/>
      <c r="CJ258" s="493"/>
      <c r="CL258" s="492">
        <v>254</v>
      </c>
      <c r="CM258" s="492">
        <v>22</v>
      </c>
      <c r="CN258" s="497">
        <f>IF(('Comparison Calculator'!$E$11-CM258)&gt;=0,0,IFERROR(-PPMT($CR$66/12,(CL258-60),($F$1-5)*12,$CR$65),0))</f>
        <v>0</v>
      </c>
      <c r="CO258" s="497">
        <f>IF(('Comparison Calculator'!$E$11-CM258)&gt;=0,$C$1*$CI$66/12,IFERROR(-IPMT($CI$66/12,(CL258-60),($F$1-5)*12,$CI$65,0),0))</f>
        <v>0</v>
      </c>
      <c r="CP258" s="497">
        <f t="shared" si="100"/>
        <v>0</v>
      </c>
      <c r="CQ258" s="497">
        <f t="shared" si="113"/>
        <v>1800000</v>
      </c>
      <c r="CR258" s="493"/>
      <c r="CS258" s="493"/>
      <c r="CU258" s="492">
        <v>254</v>
      </c>
      <c r="CV258" s="492">
        <v>22</v>
      </c>
      <c r="CW258" s="497">
        <f>IF(('Comparison Calculator'!$E$11-CV258)&gt;=0,0,IFERROR(-PPMT($DA$66/12,(CU258-60),($F$1-5)*12,$DA$65),0))</f>
        <v>0</v>
      </c>
      <c r="CX258" s="497">
        <f>IF(('Comparison Calculator'!$E$11-CV258)&gt;=0,$C$1*$DA$66/12,IFERROR(-IPMT($DA$66/12,(CU258-60),($F$1-5)*12,$DA$65,0),0))</f>
        <v>0</v>
      </c>
      <c r="CY258" s="497">
        <f t="shared" si="101"/>
        <v>0</v>
      </c>
      <c r="CZ258" s="497">
        <f t="shared" si="114"/>
        <v>1800000</v>
      </c>
      <c r="DA258" s="493"/>
      <c r="DB258" s="493"/>
      <c r="DD258" s="492">
        <v>254</v>
      </c>
      <c r="DE258" s="492">
        <v>22</v>
      </c>
      <c r="DF258" s="497">
        <f>IF(('Comparison Calculator'!$E$11-DE258)&gt;=0,0,IFERROR(-PPMT($DJ$66/12,(DD258-60),($F$1-5)*12,$DJ$65),0))</f>
        <v>0</v>
      </c>
      <c r="DG258" s="497">
        <f>IF(('Comparison Calculator'!$E$11-DE258)&gt;=0,$C$1*$DJ$66/12,IFERROR(-IPMT($DJ$66/12,(DD258-60),($F$1-5)*12,$DJ$65,0),0))</f>
        <v>0</v>
      </c>
      <c r="DH258" s="497">
        <f t="shared" si="102"/>
        <v>0</v>
      </c>
      <c r="DI258" s="497">
        <f t="shared" si="115"/>
        <v>1800000</v>
      </c>
      <c r="DJ258" s="493"/>
      <c r="DK258" s="493"/>
    </row>
    <row r="259" spans="1:115">
      <c r="A259" s="492">
        <v>255</v>
      </c>
      <c r="B259" s="492">
        <v>22</v>
      </c>
      <c r="C259" s="497">
        <f>IF(('Comparison Calculator'!$E$11-B259)&gt;=0,0,IFERROR(-PPMT($G$66/12,(A259-60),($F$1-5)*12,$G$65),0))</f>
        <v>0</v>
      </c>
      <c r="D259" s="497">
        <f>IF(('Comparison Calculator'!$E$11-B259)&gt;=0,$C$1*$G$66/12,IFERROR(-IPMT($G$66/12,(A259-60),($F$1-5)*12,$G$65,0),0))</f>
        <v>0</v>
      </c>
      <c r="E259" s="497">
        <f t="shared" si="90"/>
        <v>0</v>
      </c>
      <c r="F259" s="497">
        <f t="shared" si="103"/>
        <v>1800000</v>
      </c>
      <c r="G259" s="493"/>
      <c r="H259" s="493"/>
      <c r="I259" s="489"/>
      <c r="J259" s="492">
        <v>255</v>
      </c>
      <c r="K259" s="492">
        <v>22</v>
      </c>
      <c r="L259" s="497">
        <f>IF(('Comparison Calculator'!$E$11-K259)&gt;=0,0,IFERROR(-PPMT($P$66/12,(J259-60),($F$1-5)*12,$P$65),0))</f>
        <v>0</v>
      </c>
      <c r="M259" s="497">
        <f>IF(('Comparison Calculator'!$E$11-K259)&gt;=0,$C$1*$P$66/12,IFERROR(-IPMT($P$66/12,(J259-60),($F$1-5)*12,$P$65,0),0))</f>
        <v>0</v>
      </c>
      <c r="N259" s="497">
        <f t="shared" si="91"/>
        <v>0</v>
      </c>
      <c r="O259" s="497">
        <f t="shared" si="104"/>
        <v>1800000</v>
      </c>
      <c r="P259" s="493"/>
      <c r="Q259" s="493"/>
      <c r="S259" s="492">
        <v>255</v>
      </c>
      <c r="T259" s="492">
        <v>22</v>
      </c>
      <c r="U259" s="497">
        <f>IF(('Comparison Calculator'!$E$11-T259)&gt;=0,0,IFERROR(-PPMT($Y$66/12,(S259-60),($F$1-5)*12,$Y$65),0))</f>
        <v>0</v>
      </c>
      <c r="V259" s="497">
        <f>IF(('Comparison Calculator'!$E$11-T259)&gt;=0,$C$1*$Y$66/12,IFERROR(-IPMT($Y$66/12,(S259-60),($F$1-5)*12,$Y$65,0),0))</f>
        <v>0</v>
      </c>
      <c r="W259" s="497">
        <f t="shared" si="92"/>
        <v>0</v>
      </c>
      <c r="X259" s="497">
        <f t="shared" si="105"/>
        <v>1800000</v>
      </c>
      <c r="Y259" s="493"/>
      <c r="Z259" s="493"/>
      <c r="AB259" s="492">
        <v>255</v>
      </c>
      <c r="AC259" s="492">
        <v>22</v>
      </c>
      <c r="AD259" s="497">
        <f>IF(('Comparison Calculator'!$E$11-AC259)&gt;=0,0,IFERROR(-PPMT($AH$66/12,(AB259-60),($F$1-5)*12,$AH$65),0))</f>
        <v>0</v>
      </c>
      <c r="AE259" s="497">
        <f>IF(('Comparison Calculator'!$E$11-AC259)&gt;=0,$C$1*$AH$66/12,IFERROR(-IPMT($AH$66/12,(AB259-60),($F$1-5)*12,$AH$65,0),0))</f>
        <v>0</v>
      </c>
      <c r="AF259" s="497">
        <f t="shared" si="93"/>
        <v>0</v>
      </c>
      <c r="AG259" s="497">
        <f t="shared" si="106"/>
        <v>1800000</v>
      </c>
      <c r="AH259" s="493"/>
      <c r="AI259" s="493"/>
      <c r="AK259" s="492">
        <v>255</v>
      </c>
      <c r="AL259" s="492">
        <v>22</v>
      </c>
      <c r="AM259" s="497">
        <f>IF(('Comparison Calculator'!$E$11-AL259)&gt;=0,0,IFERROR(-PPMT($AQ$66/12,(AK259-60),($F$1-5)*12,$AQ$65),0))</f>
        <v>0</v>
      </c>
      <c r="AN259" s="497">
        <f>IF(('Comparison Calculator'!$E$11-AL259)&gt;=0,$C$1*$AQ$66/12,IFERROR(-IPMT($AQ$66/12,(AK259-60),($F$1-5)*12,$AQ$65,0),0))</f>
        <v>0</v>
      </c>
      <c r="AO259" s="497">
        <f t="shared" si="94"/>
        <v>0</v>
      </c>
      <c r="AP259" s="497">
        <f t="shared" si="107"/>
        <v>1800000</v>
      </c>
      <c r="AQ259" s="493"/>
      <c r="AR259" s="493"/>
      <c r="AT259" s="492">
        <v>255</v>
      </c>
      <c r="AU259" s="492">
        <v>22</v>
      </c>
      <c r="AV259" s="497">
        <f>IF(('Comparison Calculator'!$E$11-AU259)&gt;=0,0,IFERROR(-PPMT($AZ$66/12,(AT259-60),($F$1-5)*12,$AZ$65),0))</f>
        <v>0</v>
      </c>
      <c r="AW259" s="497">
        <f>IF(('Comparison Calculator'!$E$11-AU259)&gt;=0,$C$1*$AZ$66/12,IFERROR(-IPMT($AZ$66/12,(AT259-60),($F$1-5)*12,$AZ$65,0),0))</f>
        <v>0</v>
      </c>
      <c r="AX259" s="497">
        <f t="shared" si="95"/>
        <v>0</v>
      </c>
      <c r="AY259" s="497">
        <f t="shared" si="108"/>
        <v>1800000</v>
      </c>
      <c r="AZ259" s="493"/>
      <c r="BA259" s="493"/>
      <c r="BC259" s="492">
        <v>255</v>
      </c>
      <c r="BD259" s="492">
        <v>22</v>
      </c>
      <c r="BE259" s="497">
        <f>IF(('Comparison Calculator'!$E$11-BD259)&gt;=0,0,IFERROR(-PPMT($BI$66/12,(BC259-60),($F$1-5)*12,$BI$65),0))</f>
        <v>0</v>
      </c>
      <c r="BF259" s="497">
        <f>IF(('Comparison Calculator'!$E$11-BD259)&gt;=0,$C$1*$BI$66/12,IFERROR(-IPMT($BI$66/12,(BC259-60),($F$1-5)*12,$BI$65,0),0))</f>
        <v>0</v>
      </c>
      <c r="BG259" s="497">
        <f t="shared" si="96"/>
        <v>0</v>
      </c>
      <c r="BH259" s="497">
        <f t="shared" si="109"/>
        <v>1800000</v>
      </c>
      <c r="BI259" s="493"/>
      <c r="BJ259" s="493"/>
      <c r="BK259" s="492">
        <v>255</v>
      </c>
      <c r="BL259" s="492">
        <v>22</v>
      </c>
      <c r="BM259" s="497">
        <f>IF(('Comparison Calculator'!$E$11-BL259)&gt;=0,0,IFERROR(-PPMT($BQ$66/12,(BK259-60),($F$1-5)*12,$BQ$65),0))</f>
        <v>0</v>
      </c>
      <c r="BN259" s="497">
        <f>IF(('Comparison Calculator'!$E$11-BL259)&gt;=0,$C$1*$BQ$66/12,IFERROR(-IPMT($BQ$66/12,(BK259-60),($F$1-5)*12,$BQ$65,0),0))</f>
        <v>0</v>
      </c>
      <c r="BO259" s="497">
        <f t="shared" si="97"/>
        <v>0</v>
      </c>
      <c r="BP259" s="497">
        <f t="shared" si="110"/>
        <v>1800000</v>
      </c>
      <c r="BQ259" s="493"/>
      <c r="BR259" s="493"/>
      <c r="BT259" s="492">
        <v>255</v>
      </c>
      <c r="BU259" s="492">
        <v>22</v>
      </c>
      <c r="BV259" s="497">
        <f>IF(('Comparison Calculator'!$E$11-BU259)&gt;=0,0,IFERROR(-PPMT($BZ$66/12,(BT259-60),($F$1-5)*12,$BZ$65),0))</f>
        <v>0</v>
      </c>
      <c r="BW259" s="497">
        <f>IF(('Comparison Calculator'!$E$11-BU259)&gt;=0,$C$1*$BZ$66/12,IFERROR(-IPMT($BZ$66/12,(BT259-60),($F$1-5)*12,$BZ$65,0),0))</f>
        <v>0</v>
      </c>
      <c r="BX259" s="497">
        <f t="shared" si="98"/>
        <v>0</v>
      </c>
      <c r="BY259" s="497">
        <f t="shared" si="111"/>
        <v>1800000</v>
      </c>
      <c r="BZ259" s="493"/>
      <c r="CA259" s="493"/>
      <c r="CC259" s="492">
        <v>255</v>
      </c>
      <c r="CD259" s="492">
        <v>22</v>
      </c>
      <c r="CE259" s="497">
        <f>IF(('Comparison Calculator'!$E$11-CD259)&gt;=0,0,IFERROR(-PPMT($CI$66/12,(CC259-60),($F$1-5)*12,$CI$65),0))</f>
        <v>0</v>
      </c>
      <c r="CF259" s="497">
        <f>IF(('Comparison Calculator'!$E$11-CD259)&gt;=0,$C$1*$CI$66/12,IFERROR(-IPMT($CI$66/12,(CC259-60),($F$1-5)*12,$CI$65,0),0))</f>
        <v>0</v>
      </c>
      <c r="CG259" s="497">
        <f t="shared" si="99"/>
        <v>0</v>
      </c>
      <c r="CH259" s="497">
        <f t="shared" si="112"/>
        <v>1800000</v>
      </c>
      <c r="CI259" s="493"/>
      <c r="CJ259" s="493"/>
      <c r="CL259" s="492">
        <v>255</v>
      </c>
      <c r="CM259" s="492">
        <v>22</v>
      </c>
      <c r="CN259" s="497">
        <f>IF(('Comparison Calculator'!$E$11-CM259)&gt;=0,0,IFERROR(-PPMT($CR$66/12,(CL259-60),($F$1-5)*12,$CR$65),0))</f>
        <v>0</v>
      </c>
      <c r="CO259" s="497">
        <f>IF(('Comparison Calculator'!$E$11-CM259)&gt;=0,$C$1*$CI$66/12,IFERROR(-IPMT($CI$66/12,(CL259-60),($F$1-5)*12,$CI$65,0),0))</f>
        <v>0</v>
      </c>
      <c r="CP259" s="497">
        <f t="shared" si="100"/>
        <v>0</v>
      </c>
      <c r="CQ259" s="497">
        <f t="shared" si="113"/>
        <v>1800000</v>
      </c>
      <c r="CR259" s="493"/>
      <c r="CS259" s="493"/>
      <c r="CU259" s="492">
        <v>255</v>
      </c>
      <c r="CV259" s="492">
        <v>22</v>
      </c>
      <c r="CW259" s="497">
        <f>IF(('Comparison Calculator'!$E$11-CV259)&gt;=0,0,IFERROR(-PPMT($DA$66/12,(CU259-60),($F$1-5)*12,$DA$65),0))</f>
        <v>0</v>
      </c>
      <c r="CX259" s="497">
        <f>IF(('Comparison Calculator'!$E$11-CV259)&gt;=0,$C$1*$DA$66/12,IFERROR(-IPMT($DA$66/12,(CU259-60),($F$1-5)*12,$DA$65,0),0))</f>
        <v>0</v>
      </c>
      <c r="CY259" s="497">
        <f t="shared" si="101"/>
        <v>0</v>
      </c>
      <c r="CZ259" s="497">
        <f t="shared" si="114"/>
        <v>1800000</v>
      </c>
      <c r="DA259" s="493"/>
      <c r="DB259" s="493"/>
      <c r="DD259" s="492">
        <v>255</v>
      </c>
      <c r="DE259" s="492">
        <v>22</v>
      </c>
      <c r="DF259" s="497">
        <f>IF(('Comparison Calculator'!$E$11-DE259)&gt;=0,0,IFERROR(-PPMT($DJ$66/12,(DD259-60),($F$1-5)*12,$DJ$65),0))</f>
        <v>0</v>
      </c>
      <c r="DG259" s="497">
        <f>IF(('Comparison Calculator'!$E$11-DE259)&gt;=0,$C$1*$DJ$66/12,IFERROR(-IPMT($DJ$66/12,(DD259-60),($F$1-5)*12,$DJ$65,0),0))</f>
        <v>0</v>
      </c>
      <c r="DH259" s="497">
        <f t="shared" si="102"/>
        <v>0</v>
      </c>
      <c r="DI259" s="497">
        <f t="shared" si="115"/>
        <v>1800000</v>
      </c>
      <c r="DJ259" s="493"/>
      <c r="DK259" s="493"/>
    </row>
    <row r="260" spans="1:115">
      <c r="A260" s="492">
        <v>256</v>
      </c>
      <c r="B260" s="492">
        <v>22</v>
      </c>
      <c r="C260" s="497">
        <f>IF(('Comparison Calculator'!$E$11-B260)&gt;=0,0,IFERROR(-PPMT($G$66/12,(A260-60),($F$1-5)*12,$G$65),0))</f>
        <v>0</v>
      </c>
      <c r="D260" s="497">
        <f>IF(('Comparison Calculator'!$E$11-B260)&gt;=0,$C$1*$G$66/12,IFERROR(-IPMT($G$66/12,(A260-60),($F$1-5)*12,$G$65,0),0))</f>
        <v>0</v>
      </c>
      <c r="E260" s="497">
        <f t="shared" si="90"/>
        <v>0</v>
      </c>
      <c r="F260" s="497">
        <f t="shared" si="103"/>
        <v>1800000</v>
      </c>
      <c r="G260" s="493"/>
      <c r="H260" s="493"/>
      <c r="I260" s="489"/>
      <c r="J260" s="492">
        <v>256</v>
      </c>
      <c r="K260" s="492">
        <v>22</v>
      </c>
      <c r="L260" s="497">
        <f>IF(('Comparison Calculator'!$E$11-K260)&gt;=0,0,IFERROR(-PPMT($P$66/12,(J260-60),($F$1-5)*12,$P$65),0))</f>
        <v>0</v>
      </c>
      <c r="M260" s="497">
        <f>IF(('Comparison Calculator'!$E$11-K260)&gt;=0,$C$1*$P$66/12,IFERROR(-IPMT($P$66/12,(J260-60),($F$1-5)*12,$P$65,0),0))</f>
        <v>0</v>
      </c>
      <c r="N260" s="497">
        <f t="shared" si="91"/>
        <v>0</v>
      </c>
      <c r="O260" s="497">
        <f t="shared" si="104"/>
        <v>1800000</v>
      </c>
      <c r="P260" s="493"/>
      <c r="Q260" s="493"/>
      <c r="S260" s="492">
        <v>256</v>
      </c>
      <c r="T260" s="492">
        <v>22</v>
      </c>
      <c r="U260" s="497">
        <f>IF(('Comparison Calculator'!$E$11-T260)&gt;=0,0,IFERROR(-PPMT($Y$66/12,(S260-60),($F$1-5)*12,$Y$65),0))</f>
        <v>0</v>
      </c>
      <c r="V260" s="497">
        <f>IF(('Comparison Calculator'!$E$11-T260)&gt;=0,$C$1*$Y$66/12,IFERROR(-IPMT($Y$66/12,(S260-60),($F$1-5)*12,$Y$65,0),0))</f>
        <v>0</v>
      </c>
      <c r="W260" s="497">
        <f t="shared" si="92"/>
        <v>0</v>
      </c>
      <c r="X260" s="497">
        <f t="shared" si="105"/>
        <v>1800000</v>
      </c>
      <c r="Y260" s="493"/>
      <c r="Z260" s="493"/>
      <c r="AB260" s="492">
        <v>256</v>
      </c>
      <c r="AC260" s="492">
        <v>22</v>
      </c>
      <c r="AD260" s="497">
        <f>IF(('Comparison Calculator'!$E$11-AC260)&gt;=0,0,IFERROR(-PPMT($AH$66/12,(AB260-60),($F$1-5)*12,$AH$65),0))</f>
        <v>0</v>
      </c>
      <c r="AE260" s="497">
        <f>IF(('Comparison Calculator'!$E$11-AC260)&gt;=0,$C$1*$AH$66/12,IFERROR(-IPMT($AH$66/12,(AB260-60),($F$1-5)*12,$AH$65,0),0))</f>
        <v>0</v>
      </c>
      <c r="AF260" s="497">
        <f t="shared" si="93"/>
        <v>0</v>
      </c>
      <c r="AG260" s="497">
        <f t="shared" si="106"/>
        <v>1800000</v>
      </c>
      <c r="AH260" s="493"/>
      <c r="AI260" s="493"/>
      <c r="AK260" s="492">
        <v>256</v>
      </c>
      <c r="AL260" s="492">
        <v>22</v>
      </c>
      <c r="AM260" s="497">
        <f>IF(('Comparison Calculator'!$E$11-AL260)&gt;=0,0,IFERROR(-PPMT($AQ$66/12,(AK260-60),($F$1-5)*12,$AQ$65),0))</f>
        <v>0</v>
      </c>
      <c r="AN260" s="497">
        <f>IF(('Comparison Calculator'!$E$11-AL260)&gt;=0,$C$1*$AQ$66/12,IFERROR(-IPMT($AQ$66/12,(AK260-60),($F$1-5)*12,$AQ$65,0),0))</f>
        <v>0</v>
      </c>
      <c r="AO260" s="497">
        <f t="shared" si="94"/>
        <v>0</v>
      </c>
      <c r="AP260" s="497">
        <f t="shared" si="107"/>
        <v>1800000</v>
      </c>
      <c r="AQ260" s="493"/>
      <c r="AR260" s="493"/>
      <c r="AT260" s="492">
        <v>256</v>
      </c>
      <c r="AU260" s="492">
        <v>22</v>
      </c>
      <c r="AV260" s="497">
        <f>IF(('Comparison Calculator'!$E$11-AU260)&gt;=0,0,IFERROR(-PPMT($AZ$66/12,(AT260-60),($F$1-5)*12,$AZ$65),0))</f>
        <v>0</v>
      </c>
      <c r="AW260" s="497">
        <f>IF(('Comparison Calculator'!$E$11-AU260)&gt;=0,$C$1*$AZ$66/12,IFERROR(-IPMT($AZ$66/12,(AT260-60),($F$1-5)*12,$AZ$65,0),0))</f>
        <v>0</v>
      </c>
      <c r="AX260" s="497">
        <f t="shared" si="95"/>
        <v>0</v>
      </c>
      <c r="AY260" s="497">
        <f t="shared" si="108"/>
        <v>1800000</v>
      </c>
      <c r="AZ260" s="493"/>
      <c r="BA260" s="493"/>
      <c r="BC260" s="492">
        <v>256</v>
      </c>
      <c r="BD260" s="492">
        <v>22</v>
      </c>
      <c r="BE260" s="497">
        <f>IF(('Comparison Calculator'!$E$11-BD260)&gt;=0,0,IFERROR(-PPMT($BI$66/12,(BC260-60),($F$1-5)*12,$BI$65),0))</f>
        <v>0</v>
      </c>
      <c r="BF260" s="497">
        <f>IF(('Comparison Calculator'!$E$11-BD260)&gt;=0,$C$1*$BI$66/12,IFERROR(-IPMT($BI$66/12,(BC260-60),($F$1-5)*12,$BI$65,0),0))</f>
        <v>0</v>
      </c>
      <c r="BG260" s="497">
        <f t="shared" si="96"/>
        <v>0</v>
      </c>
      <c r="BH260" s="497">
        <f t="shared" si="109"/>
        <v>1800000</v>
      </c>
      <c r="BI260" s="493"/>
      <c r="BJ260" s="493"/>
      <c r="BK260" s="492">
        <v>256</v>
      </c>
      <c r="BL260" s="492">
        <v>22</v>
      </c>
      <c r="BM260" s="497">
        <f>IF(('Comparison Calculator'!$E$11-BL260)&gt;=0,0,IFERROR(-PPMT($BQ$66/12,(BK260-60),($F$1-5)*12,$BQ$65),0))</f>
        <v>0</v>
      </c>
      <c r="BN260" s="497">
        <f>IF(('Comparison Calculator'!$E$11-BL260)&gt;=0,$C$1*$BQ$66/12,IFERROR(-IPMT($BQ$66/12,(BK260-60),($F$1-5)*12,$BQ$65,0),0))</f>
        <v>0</v>
      </c>
      <c r="BO260" s="497">
        <f t="shared" si="97"/>
        <v>0</v>
      </c>
      <c r="BP260" s="497">
        <f t="shared" si="110"/>
        <v>1800000</v>
      </c>
      <c r="BQ260" s="493"/>
      <c r="BR260" s="493"/>
      <c r="BT260" s="492">
        <v>256</v>
      </c>
      <c r="BU260" s="492">
        <v>22</v>
      </c>
      <c r="BV260" s="497">
        <f>IF(('Comparison Calculator'!$E$11-BU260)&gt;=0,0,IFERROR(-PPMT($BZ$66/12,(BT260-60),($F$1-5)*12,$BZ$65),0))</f>
        <v>0</v>
      </c>
      <c r="BW260" s="497">
        <f>IF(('Comparison Calculator'!$E$11-BU260)&gt;=0,$C$1*$BZ$66/12,IFERROR(-IPMT($BZ$66/12,(BT260-60),($F$1-5)*12,$BZ$65,0),0))</f>
        <v>0</v>
      </c>
      <c r="BX260" s="497">
        <f t="shared" si="98"/>
        <v>0</v>
      </c>
      <c r="BY260" s="497">
        <f t="shared" si="111"/>
        <v>1800000</v>
      </c>
      <c r="BZ260" s="493"/>
      <c r="CA260" s="493"/>
      <c r="CC260" s="492">
        <v>256</v>
      </c>
      <c r="CD260" s="492">
        <v>22</v>
      </c>
      <c r="CE260" s="497">
        <f>IF(('Comparison Calculator'!$E$11-CD260)&gt;=0,0,IFERROR(-PPMT($CI$66/12,(CC260-60),($F$1-5)*12,$CI$65),0))</f>
        <v>0</v>
      </c>
      <c r="CF260" s="497">
        <f>IF(('Comparison Calculator'!$E$11-CD260)&gt;=0,$C$1*$CI$66/12,IFERROR(-IPMT($CI$66/12,(CC260-60),($F$1-5)*12,$CI$65,0),0))</f>
        <v>0</v>
      </c>
      <c r="CG260" s="497">
        <f t="shared" si="99"/>
        <v>0</v>
      </c>
      <c r="CH260" s="497">
        <f t="shared" si="112"/>
        <v>1800000</v>
      </c>
      <c r="CI260" s="493"/>
      <c r="CJ260" s="493"/>
      <c r="CL260" s="492">
        <v>256</v>
      </c>
      <c r="CM260" s="492">
        <v>22</v>
      </c>
      <c r="CN260" s="497">
        <f>IF(('Comparison Calculator'!$E$11-CM260)&gt;=0,0,IFERROR(-PPMT($CR$66/12,(CL260-60),($F$1-5)*12,$CR$65),0))</f>
        <v>0</v>
      </c>
      <c r="CO260" s="497">
        <f>IF(('Comparison Calculator'!$E$11-CM260)&gt;=0,$C$1*$CI$66/12,IFERROR(-IPMT($CI$66/12,(CL260-60),($F$1-5)*12,$CI$65,0),0))</f>
        <v>0</v>
      </c>
      <c r="CP260" s="497">
        <f t="shared" si="100"/>
        <v>0</v>
      </c>
      <c r="CQ260" s="497">
        <f t="shared" si="113"/>
        <v>1800000</v>
      </c>
      <c r="CR260" s="493"/>
      <c r="CS260" s="493"/>
      <c r="CU260" s="492">
        <v>256</v>
      </c>
      <c r="CV260" s="492">
        <v>22</v>
      </c>
      <c r="CW260" s="497">
        <f>IF(('Comparison Calculator'!$E$11-CV260)&gt;=0,0,IFERROR(-PPMT($DA$66/12,(CU260-60),($F$1-5)*12,$DA$65),0))</f>
        <v>0</v>
      </c>
      <c r="CX260" s="497">
        <f>IF(('Comparison Calculator'!$E$11-CV260)&gt;=0,$C$1*$DA$66/12,IFERROR(-IPMT($DA$66/12,(CU260-60),($F$1-5)*12,$DA$65,0),0))</f>
        <v>0</v>
      </c>
      <c r="CY260" s="497">
        <f t="shared" si="101"/>
        <v>0</v>
      </c>
      <c r="CZ260" s="497">
        <f t="shared" si="114"/>
        <v>1800000</v>
      </c>
      <c r="DA260" s="493"/>
      <c r="DB260" s="493"/>
      <c r="DD260" s="492">
        <v>256</v>
      </c>
      <c r="DE260" s="492">
        <v>22</v>
      </c>
      <c r="DF260" s="497">
        <f>IF(('Comparison Calculator'!$E$11-DE260)&gt;=0,0,IFERROR(-PPMT($DJ$66/12,(DD260-60),($F$1-5)*12,$DJ$65),0))</f>
        <v>0</v>
      </c>
      <c r="DG260" s="497">
        <f>IF(('Comparison Calculator'!$E$11-DE260)&gt;=0,$C$1*$DJ$66/12,IFERROR(-IPMT($DJ$66/12,(DD260-60),($F$1-5)*12,$DJ$65,0),0))</f>
        <v>0</v>
      </c>
      <c r="DH260" s="497">
        <f t="shared" si="102"/>
        <v>0</v>
      </c>
      <c r="DI260" s="497">
        <f t="shared" si="115"/>
        <v>1800000</v>
      </c>
      <c r="DJ260" s="493"/>
      <c r="DK260" s="493"/>
    </row>
    <row r="261" spans="1:115">
      <c r="A261" s="492">
        <v>257</v>
      </c>
      <c r="B261" s="492">
        <v>22</v>
      </c>
      <c r="C261" s="497">
        <f>IF(('Comparison Calculator'!$E$11-B261)&gt;=0,0,IFERROR(-PPMT($G$66/12,(A261-60),($F$1-5)*12,$G$65),0))</f>
        <v>0</v>
      </c>
      <c r="D261" s="497">
        <f>IF(('Comparison Calculator'!$E$11-B261)&gt;=0,$C$1*$G$66/12,IFERROR(-IPMT($G$66/12,(A261-60),($F$1-5)*12,$G$65,0),0))</f>
        <v>0</v>
      </c>
      <c r="E261" s="497">
        <f t="shared" si="90"/>
        <v>0</v>
      </c>
      <c r="F261" s="497">
        <f t="shared" si="103"/>
        <v>1800000</v>
      </c>
      <c r="G261" s="493"/>
      <c r="H261" s="493"/>
      <c r="I261" s="489"/>
      <c r="J261" s="492">
        <v>257</v>
      </c>
      <c r="K261" s="492">
        <v>22</v>
      </c>
      <c r="L261" s="497">
        <f>IF(('Comparison Calculator'!$E$11-K261)&gt;=0,0,IFERROR(-PPMT($P$66/12,(J261-60),($F$1-5)*12,$P$65),0))</f>
        <v>0</v>
      </c>
      <c r="M261" s="497">
        <f>IF(('Comparison Calculator'!$E$11-K261)&gt;=0,$C$1*$P$66/12,IFERROR(-IPMT($P$66/12,(J261-60),($F$1-5)*12,$P$65,0),0))</f>
        <v>0</v>
      </c>
      <c r="N261" s="497">
        <f t="shared" si="91"/>
        <v>0</v>
      </c>
      <c r="O261" s="497">
        <f t="shared" si="104"/>
        <v>1800000</v>
      </c>
      <c r="P261" s="493"/>
      <c r="Q261" s="493"/>
      <c r="S261" s="492">
        <v>257</v>
      </c>
      <c r="T261" s="492">
        <v>22</v>
      </c>
      <c r="U261" s="497">
        <f>IF(('Comparison Calculator'!$E$11-T261)&gt;=0,0,IFERROR(-PPMT($Y$66/12,(S261-60),($F$1-5)*12,$Y$65),0))</f>
        <v>0</v>
      </c>
      <c r="V261" s="497">
        <f>IF(('Comparison Calculator'!$E$11-T261)&gt;=0,$C$1*$Y$66/12,IFERROR(-IPMT($Y$66/12,(S261-60),($F$1-5)*12,$Y$65,0),0))</f>
        <v>0</v>
      </c>
      <c r="W261" s="497">
        <f t="shared" si="92"/>
        <v>0</v>
      </c>
      <c r="X261" s="497">
        <f t="shared" si="105"/>
        <v>1800000</v>
      </c>
      <c r="Y261" s="493"/>
      <c r="Z261" s="493"/>
      <c r="AB261" s="492">
        <v>257</v>
      </c>
      <c r="AC261" s="492">
        <v>22</v>
      </c>
      <c r="AD261" s="497">
        <f>IF(('Comparison Calculator'!$E$11-AC261)&gt;=0,0,IFERROR(-PPMT($AH$66/12,(AB261-60),($F$1-5)*12,$AH$65),0))</f>
        <v>0</v>
      </c>
      <c r="AE261" s="497">
        <f>IF(('Comparison Calculator'!$E$11-AC261)&gt;=0,$C$1*$AH$66/12,IFERROR(-IPMT($AH$66/12,(AB261-60),($F$1-5)*12,$AH$65,0),0))</f>
        <v>0</v>
      </c>
      <c r="AF261" s="497">
        <f t="shared" si="93"/>
        <v>0</v>
      </c>
      <c r="AG261" s="497">
        <f t="shared" si="106"/>
        <v>1800000</v>
      </c>
      <c r="AH261" s="493"/>
      <c r="AI261" s="493"/>
      <c r="AK261" s="492">
        <v>257</v>
      </c>
      <c r="AL261" s="492">
        <v>22</v>
      </c>
      <c r="AM261" s="497">
        <f>IF(('Comparison Calculator'!$E$11-AL261)&gt;=0,0,IFERROR(-PPMT($AQ$66/12,(AK261-60),($F$1-5)*12,$AQ$65),0))</f>
        <v>0</v>
      </c>
      <c r="AN261" s="497">
        <f>IF(('Comparison Calculator'!$E$11-AL261)&gt;=0,$C$1*$AQ$66/12,IFERROR(-IPMT($AQ$66/12,(AK261-60),($F$1-5)*12,$AQ$65,0),0))</f>
        <v>0</v>
      </c>
      <c r="AO261" s="497">
        <f t="shared" si="94"/>
        <v>0</v>
      </c>
      <c r="AP261" s="497">
        <f t="shared" si="107"/>
        <v>1800000</v>
      </c>
      <c r="AQ261" s="493"/>
      <c r="AR261" s="493"/>
      <c r="AT261" s="492">
        <v>257</v>
      </c>
      <c r="AU261" s="492">
        <v>22</v>
      </c>
      <c r="AV261" s="497">
        <f>IF(('Comparison Calculator'!$E$11-AU261)&gt;=0,0,IFERROR(-PPMT($AZ$66/12,(AT261-60),($F$1-5)*12,$AZ$65),0))</f>
        <v>0</v>
      </c>
      <c r="AW261" s="497">
        <f>IF(('Comparison Calculator'!$E$11-AU261)&gt;=0,$C$1*$AZ$66/12,IFERROR(-IPMT($AZ$66/12,(AT261-60),($F$1-5)*12,$AZ$65,0),0))</f>
        <v>0</v>
      </c>
      <c r="AX261" s="497">
        <f t="shared" si="95"/>
        <v>0</v>
      </c>
      <c r="AY261" s="497">
        <f t="shared" si="108"/>
        <v>1800000</v>
      </c>
      <c r="AZ261" s="493"/>
      <c r="BA261" s="493"/>
      <c r="BC261" s="492">
        <v>257</v>
      </c>
      <c r="BD261" s="492">
        <v>22</v>
      </c>
      <c r="BE261" s="497">
        <f>IF(('Comparison Calculator'!$E$11-BD261)&gt;=0,0,IFERROR(-PPMT($BI$66/12,(BC261-60),($F$1-5)*12,$BI$65),0))</f>
        <v>0</v>
      </c>
      <c r="BF261" s="497">
        <f>IF(('Comparison Calculator'!$E$11-BD261)&gt;=0,$C$1*$BI$66/12,IFERROR(-IPMT($BI$66/12,(BC261-60),($F$1-5)*12,$BI$65,0),0))</f>
        <v>0</v>
      </c>
      <c r="BG261" s="497">
        <f t="shared" si="96"/>
        <v>0</v>
      </c>
      <c r="BH261" s="497">
        <f t="shared" si="109"/>
        <v>1800000</v>
      </c>
      <c r="BI261" s="493"/>
      <c r="BJ261" s="493"/>
      <c r="BK261" s="492">
        <v>257</v>
      </c>
      <c r="BL261" s="492">
        <v>22</v>
      </c>
      <c r="BM261" s="497">
        <f>IF(('Comparison Calculator'!$E$11-BL261)&gt;=0,0,IFERROR(-PPMT($BQ$66/12,(BK261-60),($F$1-5)*12,$BQ$65),0))</f>
        <v>0</v>
      </c>
      <c r="BN261" s="497">
        <f>IF(('Comparison Calculator'!$E$11-BL261)&gt;=0,$C$1*$BQ$66/12,IFERROR(-IPMT($BQ$66/12,(BK261-60),($F$1-5)*12,$BQ$65,0),0))</f>
        <v>0</v>
      </c>
      <c r="BO261" s="497">
        <f t="shared" si="97"/>
        <v>0</v>
      </c>
      <c r="BP261" s="497">
        <f t="shared" si="110"/>
        <v>1800000</v>
      </c>
      <c r="BQ261" s="493"/>
      <c r="BR261" s="493"/>
      <c r="BT261" s="492">
        <v>257</v>
      </c>
      <c r="BU261" s="492">
        <v>22</v>
      </c>
      <c r="BV261" s="497">
        <f>IF(('Comparison Calculator'!$E$11-BU261)&gt;=0,0,IFERROR(-PPMT($BZ$66/12,(BT261-60),($F$1-5)*12,$BZ$65),0))</f>
        <v>0</v>
      </c>
      <c r="BW261" s="497">
        <f>IF(('Comparison Calculator'!$E$11-BU261)&gt;=0,$C$1*$BZ$66/12,IFERROR(-IPMT($BZ$66/12,(BT261-60),($F$1-5)*12,$BZ$65,0),0))</f>
        <v>0</v>
      </c>
      <c r="BX261" s="497">
        <f t="shared" si="98"/>
        <v>0</v>
      </c>
      <c r="BY261" s="497">
        <f t="shared" si="111"/>
        <v>1800000</v>
      </c>
      <c r="BZ261" s="493"/>
      <c r="CA261" s="493"/>
      <c r="CC261" s="492">
        <v>257</v>
      </c>
      <c r="CD261" s="492">
        <v>22</v>
      </c>
      <c r="CE261" s="497">
        <f>IF(('Comparison Calculator'!$E$11-CD261)&gt;=0,0,IFERROR(-PPMT($CI$66/12,(CC261-60),($F$1-5)*12,$CI$65),0))</f>
        <v>0</v>
      </c>
      <c r="CF261" s="497">
        <f>IF(('Comparison Calculator'!$E$11-CD261)&gt;=0,$C$1*$CI$66/12,IFERROR(-IPMT($CI$66/12,(CC261-60),($F$1-5)*12,$CI$65,0),0))</f>
        <v>0</v>
      </c>
      <c r="CG261" s="497">
        <f t="shared" si="99"/>
        <v>0</v>
      </c>
      <c r="CH261" s="497">
        <f t="shared" si="112"/>
        <v>1800000</v>
      </c>
      <c r="CI261" s="493"/>
      <c r="CJ261" s="493"/>
      <c r="CL261" s="492">
        <v>257</v>
      </c>
      <c r="CM261" s="492">
        <v>22</v>
      </c>
      <c r="CN261" s="497">
        <f>IF(('Comparison Calculator'!$E$11-CM261)&gt;=0,0,IFERROR(-PPMT($CR$66/12,(CL261-60),($F$1-5)*12,$CR$65),0))</f>
        <v>0</v>
      </c>
      <c r="CO261" s="497">
        <f>IF(('Comparison Calculator'!$E$11-CM261)&gt;=0,$C$1*$CI$66/12,IFERROR(-IPMT($CI$66/12,(CL261-60),($F$1-5)*12,$CI$65,0),0))</f>
        <v>0</v>
      </c>
      <c r="CP261" s="497">
        <f t="shared" si="100"/>
        <v>0</v>
      </c>
      <c r="CQ261" s="497">
        <f t="shared" si="113"/>
        <v>1800000</v>
      </c>
      <c r="CR261" s="493"/>
      <c r="CS261" s="493"/>
      <c r="CU261" s="492">
        <v>257</v>
      </c>
      <c r="CV261" s="492">
        <v>22</v>
      </c>
      <c r="CW261" s="497">
        <f>IF(('Comparison Calculator'!$E$11-CV261)&gt;=0,0,IFERROR(-PPMT($DA$66/12,(CU261-60),($F$1-5)*12,$DA$65),0))</f>
        <v>0</v>
      </c>
      <c r="CX261" s="497">
        <f>IF(('Comparison Calculator'!$E$11-CV261)&gt;=0,$C$1*$DA$66/12,IFERROR(-IPMT($DA$66/12,(CU261-60),($F$1-5)*12,$DA$65,0),0))</f>
        <v>0</v>
      </c>
      <c r="CY261" s="497">
        <f t="shared" si="101"/>
        <v>0</v>
      </c>
      <c r="CZ261" s="497">
        <f t="shared" si="114"/>
        <v>1800000</v>
      </c>
      <c r="DA261" s="493"/>
      <c r="DB261" s="493"/>
      <c r="DD261" s="492">
        <v>257</v>
      </c>
      <c r="DE261" s="492">
        <v>22</v>
      </c>
      <c r="DF261" s="497">
        <f>IF(('Comparison Calculator'!$E$11-DE261)&gt;=0,0,IFERROR(-PPMT($DJ$66/12,(DD261-60),($F$1-5)*12,$DJ$65),0))</f>
        <v>0</v>
      </c>
      <c r="DG261" s="497">
        <f>IF(('Comparison Calculator'!$E$11-DE261)&gt;=0,$C$1*$DJ$66/12,IFERROR(-IPMT($DJ$66/12,(DD261-60),($F$1-5)*12,$DJ$65,0),0))</f>
        <v>0</v>
      </c>
      <c r="DH261" s="497">
        <f t="shared" si="102"/>
        <v>0</v>
      </c>
      <c r="DI261" s="497">
        <f t="shared" si="115"/>
        <v>1800000</v>
      </c>
      <c r="DJ261" s="493"/>
      <c r="DK261" s="493"/>
    </row>
    <row r="262" spans="1:115">
      <c r="A262" s="492">
        <v>258</v>
      </c>
      <c r="B262" s="492">
        <v>22</v>
      </c>
      <c r="C262" s="497">
        <f>IF(('Comparison Calculator'!$E$11-B262)&gt;=0,0,IFERROR(-PPMT($G$66/12,(A262-60),($F$1-5)*12,$G$65),0))</f>
        <v>0</v>
      </c>
      <c r="D262" s="497">
        <f>IF(('Comparison Calculator'!$E$11-B262)&gt;=0,$C$1*$G$66/12,IFERROR(-IPMT($G$66/12,(A262-60),($F$1-5)*12,$G$65,0),0))</f>
        <v>0</v>
      </c>
      <c r="E262" s="497">
        <f t="shared" ref="E262:E325" si="116">C262+D262</f>
        <v>0</v>
      </c>
      <c r="F262" s="497">
        <f t="shared" si="103"/>
        <v>1800000</v>
      </c>
      <c r="G262" s="493"/>
      <c r="H262" s="493"/>
      <c r="I262" s="489"/>
      <c r="J262" s="492">
        <v>258</v>
      </c>
      <c r="K262" s="492">
        <v>22</v>
      </c>
      <c r="L262" s="497">
        <f>IF(('Comparison Calculator'!$E$11-K262)&gt;=0,0,IFERROR(-PPMT($P$66/12,(J262-60),($F$1-5)*12,$P$65),0))</f>
        <v>0</v>
      </c>
      <c r="M262" s="497">
        <f>IF(('Comparison Calculator'!$E$11-K262)&gt;=0,$C$1*$P$66/12,IFERROR(-IPMT($P$66/12,(J262-60),($F$1-5)*12,$P$65,0),0))</f>
        <v>0</v>
      </c>
      <c r="N262" s="497">
        <f t="shared" ref="N262:N325" si="117">L262+M262</f>
        <v>0</v>
      </c>
      <c r="O262" s="497">
        <f t="shared" si="104"/>
        <v>1800000</v>
      </c>
      <c r="P262" s="493"/>
      <c r="Q262" s="493"/>
      <c r="S262" s="492">
        <v>258</v>
      </c>
      <c r="T262" s="492">
        <v>22</v>
      </c>
      <c r="U262" s="497">
        <f>IF(('Comparison Calculator'!$E$11-T262)&gt;=0,0,IFERROR(-PPMT($Y$66/12,(S262-60),($F$1-5)*12,$Y$65),0))</f>
        <v>0</v>
      </c>
      <c r="V262" s="497">
        <f>IF(('Comparison Calculator'!$E$11-T262)&gt;=0,$C$1*$Y$66/12,IFERROR(-IPMT($Y$66/12,(S262-60),($F$1-5)*12,$Y$65,0),0))</f>
        <v>0</v>
      </c>
      <c r="W262" s="497">
        <f t="shared" ref="W262:W325" si="118">U262+V262</f>
        <v>0</v>
      </c>
      <c r="X262" s="497">
        <f t="shared" si="105"/>
        <v>1800000</v>
      </c>
      <c r="Y262" s="493"/>
      <c r="Z262" s="493"/>
      <c r="AB262" s="492">
        <v>258</v>
      </c>
      <c r="AC262" s="492">
        <v>22</v>
      </c>
      <c r="AD262" s="497">
        <f>IF(('Comparison Calculator'!$E$11-AC262)&gt;=0,0,IFERROR(-PPMT($AH$66/12,(AB262-60),($F$1-5)*12,$AH$65),0))</f>
        <v>0</v>
      </c>
      <c r="AE262" s="497">
        <f>IF(('Comparison Calculator'!$E$11-AC262)&gt;=0,$C$1*$AH$66/12,IFERROR(-IPMT($AH$66/12,(AB262-60),($F$1-5)*12,$AH$65,0),0))</f>
        <v>0</v>
      </c>
      <c r="AF262" s="497">
        <f t="shared" ref="AF262:AF325" si="119">AD262+AE262</f>
        <v>0</v>
      </c>
      <c r="AG262" s="497">
        <f t="shared" si="106"/>
        <v>1800000</v>
      </c>
      <c r="AH262" s="493"/>
      <c r="AI262" s="493"/>
      <c r="AK262" s="492">
        <v>258</v>
      </c>
      <c r="AL262" s="492">
        <v>22</v>
      </c>
      <c r="AM262" s="497">
        <f>IF(('Comparison Calculator'!$E$11-AL262)&gt;=0,0,IFERROR(-PPMT($AQ$66/12,(AK262-60),($F$1-5)*12,$AQ$65),0))</f>
        <v>0</v>
      </c>
      <c r="AN262" s="497">
        <f>IF(('Comparison Calculator'!$E$11-AL262)&gt;=0,$C$1*$AQ$66/12,IFERROR(-IPMT($AQ$66/12,(AK262-60),($F$1-5)*12,$AQ$65,0),0))</f>
        <v>0</v>
      </c>
      <c r="AO262" s="497">
        <f t="shared" ref="AO262:AO325" si="120">AM262+AN262</f>
        <v>0</v>
      </c>
      <c r="AP262" s="497">
        <f t="shared" si="107"/>
        <v>1800000</v>
      </c>
      <c r="AQ262" s="493"/>
      <c r="AR262" s="493"/>
      <c r="AT262" s="492">
        <v>258</v>
      </c>
      <c r="AU262" s="492">
        <v>22</v>
      </c>
      <c r="AV262" s="497">
        <f>IF(('Comparison Calculator'!$E$11-AU262)&gt;=0,0,IFERROR(-PPMT($AZ$66/12,(AT262-60),($F$1-5)*12,$AZ$65),0))</f>
        <v>0</v>
      </c>
      <c r="AW262" s="497">
        <f>IF(('Comparison Calculator'!$E$11-AU262)&gt;=0,$C$1*$AZ$66/12,IFERROR(-IPMT($AZ$66/12,(AT262-60),($F$1-5)*12,$AZ$65,0),0))</f>
        <v>0</v>
      </c>
      <c r="AX262" s="497">
        <f t="shared" ref="AX262:AX325" si="121">AV262+AW262</f>
        <v>0</v>
      </c>
      <c r="AY262" s="497">
        <f t="shared" si="108"/>
        <v>1800000</v>
      </c>
      <c r="AZ262" s="493"/>
      <c r="BA262" s="493"/>
      <c r="BC262" s="492">
        <v>258</v>
      </c>
      <c r="BD262" s="492">
        <v>22</v>
      </c>
      <c r="BE262" s="497">
        <f>IF(('Comparison Calculator'!$E$11-BD262)&gt;=0,0,IFERROR(-PPMT($BI$66/12,(BC262-60),($F$1-5)*12,$BI$65),0))</f>
        <v>0</v>
      </c>
      <c r="BF262" s="497">
        <f>IF(('Comparison Calculator'!$E$11-BD262)&gt;=0,$C$1*$BI$66/12,IFERROR(-IPMT($BI$66/12,(BC262-60),($F$1-5)*12,$BI$65,0),0))</f>
        <v>0</v>
      </c>
      <c r="BG262" s="497">
        <f t="shared" ref="BG262:BG325" si="122">BE262+BF262</f>
        <v>0</v>
      </c>
      <c r="BH262" s="497">
        <f t="shared" si="109"/>
        <v>1800000</v>
      </c>
      <c r="BI262" s="493"/>
      <c r="BJ262" s="493"/>
      <c r="BK262" s="492">
        <v>258</v>
      </c>
      <c r="BL262" s="492">
        <v>22</v>
      </c>
      <c r="BM262" s="497">
        <f>IF(('Comparison Calculator'!$E$11-BL262)&gt;=0,0,IFERROR(-PPMT($BQ$66/12,(BK262-60),($F$1-5)*12,$BQ$65),0))</f>
        <v>0</v>
      </c>
      <c r="BN262" s="497">
        <f>IF(('Comparison Calculator'!$E$11-BL262)&gt;=0,$C$1*$BQ$66/12,IFERROR(-IPMT($BQ$66/12,(BK262-60),($F$1-5)*12,$BQ$65,0),0))</f>
        <v>0</v>
      </c>
      <c r="BO262" s="497">
        <f t="shared" ref="BO262:BO325" si="123">BM262+BN262</f>
        <v>0</v>
      </c>
      <c r="BP262" s="497">
        <f t="shared" si="110"/>
        <v>1800000</v>
      </c>
      <c r="BQ262" s="493"/>
      <c r="BR262" s="493"/>
      <c r="BT262" s="492">
        <v>258</v>
      </c>
      <c r="BU262" s="492">
        <v>22</v>
      </c>
      <c r="BV262" s="497">
        <f>IF(('Comparison Calculator'!$E$11-BU262)&gt;=0,0,IFERROR(-PPMT($BZ$66/12,(BT262-60),($F$1-5)*12,$BZ$65),0))</f>
        <v>0</v>
      </c>
      <c r="BW262" s="497">
        <f>IF(('Comparison Calculator'!$E$11-BU262)&gt;=0,$C$1*$BZ$66/12,IFERROR(-IPMT($BZ$66/12,(BT262-60),($F$1-5)*12,$BZ$65,0),0))</f>
        <v>0</v>
      </c>
      <c r="BX262" s="497">
        <f t="shared" ref="BX262:BX325" si="124">BV262+BW262</f>
        <v>0</v>
      </c>
      <c r="BY262" s="497">
        <f t="shared" si="111"/>
        <v>1800000</v>
      </c>
      <c r="BZ262" s="493"/>
      <c r="CA262" s="493"/>
      <c r="CC262" s="492">
        <v>258</v>
      </c>
      <c r="CD262" s="492">
        <v>22</v>
      </c>
      <c r="CE262" s="497">
        <f>IF(('Comparison Calculator'!$E$11-CD262)&gt;=0,0,IFERROR(-PPMT($CI$66/12,(CC262-60),($F$1-5)*12,$CI$65),0))</f>
        <v>0</v>
      </c>
      <c r="CF262" s="497">
        <f>IF(('Comparison Calculator'!$E$11-CD262)&gt;=0,$C$1*$CI$66/12,IFERROR(-IPMT($CI$66/12,(CC262-60),($F$1-5)*12,$CI$65,0),0))</f>
        <v>0</v>
      </c>
      <c r="CG262" s="497">
        <f t="shared" ref="CG262:CG325" si="125">CE262+CF262</f>
        <v>0</v>
      </c>
      <c r="CH262" s="497">
        <f t="shared" si="112"/>
        <v>1800000</v>
      </c>
      <c r="CI262" s="493"/>
      <c r="CJ262" s="493"/>
      <c r="CL262" s="492">
        <v>258</v>
      </c>
      <c r="CM262" s="492">
        <v>22</v>
      </c>
      <c r="CN262" s="497">
        <f>IF(('Comparison Calculator'!$E$11-CM262)&gt;=0,0,IFERROR(-PPMT($CR$66/12,(CL262-60),($F$1-5)*12,$CR$65),0))</f>
        <v>0</v>
      </c>
      <c r="CO262" s="497">
        <f>IF(('Comparison Calculator'!$E$11-CM262)&gt;=0,$C$1*$CI$66/12,IFERROR(-IPMT($CI$66/12,(CL262-60),($F$1-5)*12,$CI$65,0),0))</f>
        <v>0</v>
      </c>
      <c r="CP262" s="497">
        <f t="shared" ref="CP262:CP325" si="126">CN262+CO262</f>
        <v>0</v>
      </c>
      <c r="CQ262" s="497">
        <f t="shared" si="113"/>
        <v>1800000</v>
      </c>
      <c r="CR262" s="493"/>
      <c r="CS262" s="493"/>
      <c r="CU262" s="492">
        <v>258</v>
      </c>
      <c r="CV262" s="492">
        <v>22</v>
      </c>
      <c r="CW262" s="497">
        <f>IF(('Comparison Calculator'!$E$11-CV262)&gt;=0,0,IFERROR(-PPMT($DA$66/12,(CU262-60),($F$1-5)*12,$DA$65),0))</f>
        <v>0</v>
      </c>
      <c r="CX262" s="497">
        <f>IF(('Comparison Calculator'!$E$11-CV262)&gt;=0,$C$1*$DA$66/12,IFERROR(-IPMT($DA$66/12,(CU262-60),($F$1-5)*12,$DA$65,0),0))</f>
        <v>0</v>
      </c>
      <c r="CY262" s="497">
        <f t="shared" ref="CY262:CY325" si="127">CW262+CX262</f>
        <v>0</v>
      </c>
      <c r="CZ262" s="497">
        <f t="shared" si="114"/>
        <v>1800000</v>
      </c>
      <c r="DA262" s="493"/>
      <c r="DB262" s="493"/>
      <c r="DD262" s="492">
        <v>258</v>
      </c>
      <c r="DE262" s="492">
        <v>22</v>
      </c>
      <c r="DF262" s="497">
        <f>IF(('Comparison Calculator'!$E$11-DE262)&gt;=0,0,IFERROR(-PPMT($DJ$66/12,(DD262-60),($F$1-5)*12,$DJ$65),0))</f>
        <v>0</v>
      </c>
      <c r="DG262" s="497">
        <f>IF(('Comparison Calculator'!$E$11-DE262)&gt;=0,$C$1*$DJ$66/12,IFERROR(-IPMT($DJ$66/12,(DD262-60),($F$1-5)*12,$DJ$65,0),0))</f>
        <v>0</v>
      </c>
      <c r="DH262" s="497">
        <f t="shared" ref="DH262:DH325" si="128">DF262+DG262</f>
        <v>0</v>
      </c>
      <c r="DI262" s="497">
        <f t="shared" si="115"/>
        <v>1800000</v>
      </c>
      <c r="DJ262" s="493"/>
      <c r="DK262" s="493"/>
    </row>
    <row r="263" spans="1:115">
      <c r="A263" s="492">
        <v>259</v>
      </c>
      <c r="B263" s="492">
        <v>22</v>
      </c>
      <c r="C263" s="497">
        <f>IF(('Comparison Calculator'!$E$11-B263)&gt;=0,0,IFERROR(-PPMT($G$66/12,(A263-60),($F$1-5)*12,$G$65),0))</f>
        <v>0</v>
      </c>
      <c r="D263" s="497">
        <f>IF(('Comparison Calculator'!$E$11-B263)&gt;=0,$C$1*$G$66/12,IFERROR(-IPMT($G$66/12,(A263-60),($F$1-5)*12,$G$65,0),0))</f>
        <v>0</v>
      </c>
      <c r="E263" s="497">
        <f t="shared" si="116"/>
        <v>0</v>
      </c>
      <c r="F263" s="497">
        <f t="shared" ref="F263:F326" si="129">F262-C263</f>
        <v>1800000</v>
      </c>
      <c r="G263" s="493"/>
      <c r="H263" s="493"/>
      <c r="I263" s="489"/>
      <c r="J263" s="492">
        <v>259</v>
      </c>
      <c r="K263" s="492">
        <v>22</v>
      </c>
      <c r="L263" s="497">
        <f>IF(('Comparison Calculator'!$E$11-K263)&gt;=0,0,IFERROR(-PPMT($P$66/12,(J263-60),($F$1-5)*12,$P$65),0))</f>
        <v>0</v>
      </c>
      <c r="M263" s="497">
        <f>IF(('Comparison Calculator'!$E$11-K263)&gt;=0,$C$1*$P$66/12,IFERROR(-IPMT($P$66/12,(J263-60),($F$1-5)*12,$P$65,0),0))</f>
        <v>0</v>
      </c>
      <c r="N263" s="497">
        <f t="shared" si="117"/>
        <v>0</v>
      </c>
      <c r="O263" s="497">
        <f t="shared" si="104"/>
        <v>1800000</v>
      </c>
      <c r="P263" s="493"/>
      <c r="Q263" s="493"/>
      <c r="S263" s="492">
        <v>259</v>
      </c>
      <c r="T263" s="492">
        <v>22</v>
      </c>
      <c r="U263" s="497">
        <f>IF(('Comparison Calculator'!$E$11-T263)&gt;=0,0,IFERROR(-PPMT($Y$66/12,(S263-60),($F$1-5)*12,$Y$65),0))</f>
        <v>0</v>
      </c>
      <c r="V263" s="497">
        <f>IF(('Comparison Calculator'!$E$11-T263)&gt;=0,$C$1*$Y$66/12,IFERROR(-IPMT($Y$66/12,(S263-60),($F$1-5)*12,$Y$65,0),0))</f>
        <v>0</v>
      </c>
      <c r="W263" s="497">
        <f t="shared" si="118"/>
        <v>0</v>
      </c>
      <c r="X263" s="497">
        <f t="shared" si="105"/>
        <v>1800000</v>
      </c>
      <c r="Y263" s="493"/>
      <c r="Z263" s="493"/>
      <c r="AB263" s="492">
        <v>259</v>
      </c>
      <c r="AC263" s="492">
        <v>22</v>
      </c>
      <c r="AD263" s="497">
        <f>IF(('Comparison Calculator'!$E$11-AC263)&gt;=0,0,IFERROR(-PPMT($AH$66/12,(AB263-60),($F$1-5)*12,$AH$65),0))</f>
        <v>0</v>
      </c>
      <c r="AE263" s="497">
        <f>IF(('Comparison Calculator'!$E$11-AC263)&gt;=0,$C$1*$AH$66/12,IFERROR(-IPMT($AH$66/12,(AB263-60),($F$1-5)*12,$AH$65,0),0))</f>
        <v>0</v>
      </c>
      <c r="AF263" s="497">
        <f t="shared" si="119"/>
        <v>0</v>
      </c>
      <c r="AG263" s="497">
        <f t="shared" si="106"/>
        <v>1800000</v>
      </c>
      <c r="AH263" s="493"/>
      <c r="AI263" s="493"/>
      <c r="AK263" s="492">
        <v>259</v>
      </c>
      <c r="AL263" s="492">
        <v>22</v>
      </c>
      <c r="AM263" s="497">
        <f>IF(('Comparison Calculator'!$E$11-AL263)&gt;=0,0,IFERROR(-PPMT($AQ$66/12,(AK263-60),($F$1-5)*12,$AQ$65),0))</f>
        <v>0</v>
      </c>
      <c r="AN263" s="497">
        <f>IF(('Comparison Calculator'!$E$11-AL263)&gt;=0,$C$1*$AQ$66/12,IFERROR(-IPMT($AQ$66/12,(AK263-60),($F$1-5)*12,$AQ$65,0),0))</f>
        <v>0</v>
      </c>
      <c r="AO263" s="497">
        <f t="shared" si="120"/>
        <v>0</v>
      </c>
      <c r="AP263" s="497">
        <f t="shared" si="107"/>
        <v>1800000</v>
      </c>
      <c r="AQ263" s="493"/>
      <c r="AR263" s="493"/>
      <c r="AT263" s="492">
        <v>259</v>
      </c>
      <c r="AU263" s="492">
        <v>22</v>
      </c>
      <c r="AV263" s="497">
        <f>IF(('Comparison Calculator'!$E$11-AU263)&gt;=0,0,IFERROR(-PPMT($AZ$66/12,(AT263-60),($F$1-5)*12,$AZ$65),0))</f>
        <v>0</v>
      </c>
      <c r="AW263" s="497">
        <f>IF(('Comparison Calculator'!$E$11-AU263)&gt;=0,$C$1*$AZ$66/12,IFERROR(-IPMT($AZ$66/12,(AT263-60),($F$1-5)*12,$AZ$65,0),0))</f>
        <v>0</v>
      </c>
      <c r="AX263" s="497">
        <f t="shared" si="121"/>
        <v>0</v>
      </c>
      <c r="AY263" s="497">
        <f t="shared" si="108"/>
        <v>1800000</v>
      </c>
      <c r="AZ263" s="493"/>
      <c r="BA263" s="493"/>
      <c r="BC263" s="492">
        <v>259</v>
      </c>
      <c r="BD263" s="492">
        <v>22</v>
      </c>
      <c r="BE263" s="497">
        <f>IF(('Comparison Calculator'!$E$11-BD263)&gt;=0,0,IFERROR(-PPMT($BI$66/12,(BC263-60),($F$1-5)*12,$BI$65),0))</f>
        <v>0</v>
      </c>
      <c r="BF263" s="497">
        <f>IF(('Comparison Calculator'!$E$11-BD263)&gt;=0,$C$1*$BI$66/12,IFERROR(-IPMT($BI$66/12,(BC263-60),($F$1-5)*12,$BI$65,0),0))</f>
        <v>0</v>
      </c>
      <c r="BG263" s="497">
        <f t="shared" si="122"/>
        <v>0</v>
      </c>
      <c r="BH263" s="497">
        <f t="shared" si="109"/>
        <v>1800000</v>
      </c>
      <c r="BI263" s="493"/>
      <c r="BJ263" s="493"/>
      <c r="BK263" s="492">
        <v>259</v>
      </c>
      <c r="BL263" s="492">
        <v>22</v>
      </c>
      <c r="BM263" s="497">
        <f>IF(('Comparison Calculator'!$E$11-BL263)&gt;=0,0,IFERROR(-PPMT($BQ$66/12,(BK263-60),($F$1-5)*12,$BQ$65),0))</f>
        <v>0</v>
      </c>
      <c r="BN263" s="497">
        <f>IF(('Comparison Calculator'!$E$11-BL263)&gt;=0,$C$1*$BQ$66/12,IFERROR(-IPMT($BQ$66/12,(BK263-60),($F$1-5)*12,$BQ$65,0),0))</f>
        <v>0</v>
      </c>
      <c r="BO263" s="497">
        <f t="shared" si="123"/>
        <v>0</v>
      </c>
      <c r="BP263" s="497">
        <f t="shared" si="110"/>
        <v>1800000</v>
      </c>
      <c r="BQ263" s="493"/>
      <c r="BR263" s="493"/>
      <c r="BT263" s="492">
        <v>259</v>
      </c>
      <c r="BU263" s="492">
        <v>22</v>
      </c>
      <c r="BV263" s="497">
        <f>IF(('Comparison Calculator'!$E$11-BU263)&gt;=0,0,IFERROR(-PPMT($BZ$66/12,(BT263-60),($F$1-5)*12,$BZ$65),0))</f>
        <v>0</v>
      </c>
      <c r="BW263" s="497">
        <f>IF(('Comparison Calculator'!$E$11-BU263)&gt;=0,$C$1*$BZ$66/12,IFERROR(-IPMT($BZ$66/12,(BT263-60),($F$1-5)*12,$BZ$65,0),0))</f>
        <v>0</v>
      </c>
      <c r="BX263" s="497">
        <f t="shared" si="124"/>
        <v>0</v>
      </c>
      <c r="BY263" s="497">
        <f t="shared" si="111"/>
        <v>1800000</v>
      </c>
      <c r="BZ263" s="493"/>
      <c r="CA263" s="493"/>
      <c r="CC263" s="492">
        <v>259</v>
      </c>
      <c r="CD263" s="492">
        <v>22</v>
      </c>
      <c r="CE263" s="497">
        <f>IF(('Comparison Calculator'!$E$11-CD263)&gt;=0,0,IFERROR(-PPMT($CI$66/12,(CC263-60),($F$1-5)*12,$CI$65),0))</f>
        <v>0</v>
      </c>
      <c r="CF263" s="497">
        <f>IF(('Comparison Calculator'!$E$11-CD263)&gt;=0,$C$1*$CI$66/12,IFERROR(-IPMT($CI$66/12,(CC263-60),($F$1-5)*12,$CI$65,0),0))</f>
        <v>0</v>
      </c>
      <c r="CG263" s="497">
        <f t="shared" si="125"/>
        <v>0</v>
      </c>
      <c r="CH263" s="497">
        <f t="shared" si="112"/>
        <v>1800000</v>
      </c>
      <c r="CI263" s="493"/>
      <c r="CJ263" s="493"/>
      <c r="CL263" s="492">
        <v>259</v>
      </c>
      <c r="CM263" s="492">
        <v>22</v>
      </c>
      <c r="CN263" s="497">
        <f>IF(('Comparison Calculator'!$E$11-CM263)&gt;=0,0,IFERROR(-PPMT($CR$66/12,(CL263-60),($F$1-5)*12,$CR$65),0))</f>
        <v>0</v>
      </c>
      <c r="CO263" s="497">
        <f>IF(('Comparison Calculator'!$E$11-CM263)&gt;=0,$C$1*$CI$66/12,IFERROR(-IPMT($CI$66/12,(CL263-60),($F$1-5)*12,$CI$65,0),0))</f>
        <v>0</v>
      </c>
      <c r="CP263" s="497">
        <f t="shared" si="126"/>
        <v>0</v>
      </c>
      <c r="CQ263" s="497">
        <f t="shared" si="113"/>
        <v>1800000</v>
      </c>
      <c r="CR263" s="493"/>
      <c r="CS263" s="493"/>
      <c r="CU263" s="492">
        <v>259</v>
      </c>
      <c r="CV263" s="492">
        <v>22</v>
      </c>
      <c r="CW263" s="497">
        <f>IF(('Comparison Calculator'!$E$11-CV263)&gt;=0,0,IFERROR(-PPMT($DA$66/12,(CU263-60),($F$1-5)*12,$DA$65),0))</f>
        <v>0</v>
      </c>
      <c r="CX263" s="497">
        <f>IF(('Comparison Calculator'!$E$11-CV263)&gt;=0,$C$1*$DA$66/12,IFERROR(-IPMT($DA$66/12,(CU263-60),($F$1-5)*12,$DA$65,0),0))</f>
        <v>0</v>
      </c>
      <c r="CY263" s="497">
        <f t="shared" si="127"/>
        <v>0</v>
      </c>
      <c r="CZ263" s="497">
        <f t="shared" si="114"/>
        <v>1800000</v>
      </c>
      <c r="DA263" s="493"/>
      <c r="DB263" s="493"/>
      <c r="DD263" s="492">
        <v>259</v>
      </c>
      <c r="DE263" s="492">
        <v>22</v>
      </c>
      <c r="DF263" s="497">
        <f>IF(('Comparison Calculator'!$E$11-DE263)&gt;=0,0,IFERROR(-PPMT($DJ$66/12,(DD263-60),($F$1-5)*12,$DJ$65),0))</f>
        <v>0</v>
      </c>
      <c r="DG263" s="497">
        <f>IF(('Comparison Calculator'!$E$11-DE263)&gt;=0,$C$1*$DJ$66/12,IFERROR(-IPMT($DJ$66/12,(DD263-60),($F$1-5)*12,$DJ$65,0),0))</f>
        <v>0</v>
      </c>
      <c r="DH263" s="497">
        <f t="shared" si="128"/>
        <v>0</v>
      </c>
      <c r="DI263" s="497">
        <f t="shared" si="115"/>
        <v>1800000</v>
      </c>
      <c r="DJ263" s="493"/>
      <c r="DK263" s="493"/>
    </row>
    <row r="264" spans="1:115">
      <c r="A264" s="492">
        <v>260</v>
      </c>
      <c r="B264" s="492">
        <v>22</v>
      </c>
      <c r="C264" s="497">
        <f>IF(('Comparison Calculator'!$E$11-B264)&gt;=0,0,IFERROR(-PPMT($G$66/12,(A264-60),($F$1-5)*12,$G$65),0))</f>
        <v>0</v>
      </c>
      <c r="D264" s="497">
        <f>IF(('Comparison Calculator'!$E$11-B264)&gt;=0,$C$1*$G$66/12,IFERROR(-IPMT($G$66/12,(A264-60),($F$1-5)*12,$G$65,0),0))</f>
        <v>0</v>
      </c>
      <c r="E264" s="497">
        <f t="shared" si="116"/>
        <v>0</v>
      </c>
      <c r="F264" s="497">
        <f t="shared" si="129"/>
        <v>1800000</v>
      </c>
      <c r="G264" s="493"/>
      <c r="H264" s="493"/>
      <c r="I264" s="489"/>
      <c r="J264" s="492">
        <v>260</v>
      </c>
      <c r="K264" s="492">
        <v>22</v>
      </c>
      <c r="L264" s="497">
        <f>IF(('Comparison Calculator'!$E$11-K264)&gt;=0,0,IFERROR(-PPMT($P$66/12,(J264-60),($F$1-5)*12,$P$65),0))</f>
        <v>0</v>
      </c>
      <c r="M264" s="497">
        <f>IF(('Comparison Calculator'!$E$11-K264)&gt;=0,$C$1*$P$66/12,IFERROR(-IPMT($P$66/12,(J264-60),($F$1-5)*12,$P$65,0),0))</f>
        <v>0</v>
      </c>
      <c r="N264" s="497">
        <f t="shared" si="117"/>
        <v>0</v>
      </c>
      <c r="O264" s="497">
        <f t="shared" si="104"/>
        <v>1800000</v>
      </c>
      <c r="P264" s="493"/>
      <c r="Q264" s="493"/>
      <c r="S264" s="492">
        <v>260</v>
      </c>
      <c r="T264" s="492">
        <v>22</v>
      </c>
      <c r="U264" s="497">
        <f>IF(('Comparison Calculator'!$E$11-T264)&gt;=0,0,IFERROR(-PPMT($Y$66/12,(S264-60),($F$1-5)*12,$Y$65),0))</f>
        <v>0</v>
      </c>
      <c r="V264" s="497">
        <f>IF(('Comparison Calculator'!$E$11-T264)&gt;=0,$C$1*$Y$66/12,IFERROR(-IPMT($Y$66/12,(S264-60),($F$1-5)*12,$Y$65,0),0))</f>
        <v>0</v>
      </c>
      <c r="W264" s="497">
        <f t="shared" si="118"/>
        <v>0</v>
      </c>
      <c r="X264" s="497">
        <f t="shared" si="105"/>
        <v>1800000</v>
      </c>
      <c r="Y264" s="493"/>
      <c r="Z264" s="493"/>
      <c r="AB264" s="492">
        <v>260</v>
      </c>
      <c r="AC264" s="492">
        <v>22</v>
      </c>
      <c r="AD264" s="497">
        <f>IF(('Comparison Calculator'!$E$11-AC264)&gt;=0,0,IFERROR(-PPMT($AH$66/12,(AB264-60),($F$1-5)*12,$AH$65),0))</f>
        <v>0</v>
      </c>
      <c r="AE264" s="497">
        <f>IF(('Comparison Calculator'!$E$11-AC264)&gt;=0,$C$1*$AH$66/12,IFERROR(-IPMT($AH$66/12,(AB264-60),($F$1-5)*12,$AH$65,0),0))</f>
        <v>0</v>
      </c>
      <c r="AF264" s="497">
        <f t="shared" si="119"/>
        <v>0</v>
      </c>
      <c r="AG264" s="497">
        <f t="shared" si="106"/>
        <v>1800000</v>
      </c>
      <c r="AH264" s="493"/>
      <c r="AI264" s="493"/>
      <c r="AK264" s="492">
        <v>260</v>
      </c>
      <c r="AL264" s="492">
        <v>22</v>
      </c>
      <c r="AM264" s="497">
        <f>IF(('Comparison Calculator'!$E$11-AL264)&gt;=0,0,IFERROR(-PPMT($AQ$66/12,(AK264-60),($F$1-5)*12,$AQ$65),0))</f>
        <v>0</v>
      </c>
      <c r="AN264" s="497">
        <f>IF(('Comparison Calculator'!$E$11-AL264)&gt;=0,$C$1*$AQ$66/12,IFERROR(-IPMT($AQ$66/12,(AK264-60),($F$1-5)*12,$AQ$65,0),0))</f>
        <v>0</v>
      </c>
      <c r="AO264" s="497">
        <f t="shared" si="120"/>
        <v>0</v>
      </c>
      <c r="AP264" s="497">
        <f t="shared" si="107"/>
        <v>1800000</v>
      </c>
      <c r="AQ264" s="493"/>
      <c r="AR264" s="493"/>
      <c r="AT264" s="492">
        <v>260</v>
      </c>
      <c r="AU264" s="492">
        <v>22</v>
      </c>
      <c r="AV264" s="497">
        <f>IF(('Comparison Calculator'!$E$11-AU264)&gt;=0,0,IFERROR(-PPMT($AZ$66/12,(AT264-60),($F$1-5)*12,$AZ$65),0))</f>
        <v>0</v>
      </c>
      <c r="AW264" s="497">
        <f>IF(('Comparison Calculator'!$E$11-AU264)&gt;=0,$C$1*$AZ$66/12,IFERROR(-IPMT($AZ$66/12,(AT264-60),($F$1-5)*12,$AZ$65,0),0))</f>
        <v>0</v>
      </c>
      <c r="AX264" s="497">
        <f t="shared" si="121"/>
        <v>0</v>
      </c>
      <c r="AY264" s="497">
        <f t="shared" si="108"/>
        <v>1800000</v>
      </c>
      <c r="AZ264" s="493"/>
      <c r="BA264" s="493"/>
      <c r="BC264" s="492">
        <v>260</v>
      </c>
      <c r="BD264" s="492">
        <v>22</v>
      </c>
      <c r="BE264" s="497">
        <f>IF(('Comparison Calculator'!$E$11-BD264)&gt;=0,0,IFERROR(-PPMT($BI$66/12,(BC264-60),($F$1-5)*12,$BI$65),0))</f>
        <v>0</v>
      </c>
      <c r="BF264" s="497">
        <f>IF(('Comparison Calculator'!$E$11-BD264)&gt;=0,$C$1*$BI$66/12,IFERROR(-IPMT($BI$66/12,(BC264-60),($F$1-5)*12,$BI$65,0),0))</f>
        <v>0</v>
      </c>
      <c r="BG264" s="497">
        <f t="shared" si="122"/>
        <v>0</v>
      </c>
      <c r="BH264" s="497">
        <f t="shared" si="109"/>
        <v>1800000</v>
      </c>
      <c r="BI264" s="493"/>
      <c r="BJ264" s="493"/>
      <c r="BK264" s="492">
        <v>260</v>
      </c>
      <c r="BL264" s="492">
        <v>22</v>
      </c>
      <c r="BM264" s="497">
        <f>IF(('Comparison Calculator'!$E$11-BL264)&gt;=0,0,IFERROR(-PPMT($BQ$66/12,(BK264-60),($F$1-5)*12,$BQ$65),0))</f>
        <v>0</v>
      </c>
      <c r="BN264" s="497">
        <f>IF(('Comparison Calculator'!$E$11-BL264)&gt;=0,$C$1*$BQ$66/12,IFERROR(-IPMT($BQ$66/12,(BK264-60),($F$1-5)*12,$BQ$65,0),0))</f>
        <v>0</v>
      </c>
      <c r="BO264" s="497">
        <f t="shared" si="123"/>
        <v>0</v>
      </c>
      <c r="BP264" s="497">
        <f t="shared" si="110"/>
        <v>1800000</v>
      </c>
      <c r="BQ264" s="493"/>
      <c r="BR264" s="493"/>
      <c r="BT264" s="492">
        <v>260</v>
      </c>
      <c r="BU264" s="492">
        <v>22</v>
      </c>
      <c r="BV264" s="497">
        <f>IF(('Comparison Calculator'!$E$11-BU264)&gt;=0,0,IFERROR(-PPMT($BZ$66/12,(BT264-60),($F$1-5)*12,$BZ$65),0))</f>
        <v>0</v>
      </c>
      <c r="BW264" s="497">
        <f>IF(('Comparison Calculator'!$E$11-BU264)&gt;=0,$C$1*$BZ$66/12,IFERROR(-IPMT($BZ$66/12,(BT264-60),($F$1-5)*12,$BZ$65,0),0))</f>
        <v>0</v>
      </c>
      <c r="BX264" s="497">
        <f t="shared" si="124"/>
        <v>0</v>
      </c>
      <c r="BY264" s="497">
        <f t="shared" si="111"/>
        <v>1800000</v>
      </c>
      <c r="BZ264" s="493"/>
      <c r="CA264" s="493"/>
      <c r="CC264" s="492">
        <v>260</v>
      </c>
      <c r="CD264" s="492">
        <v>22</v>
      </c>
      <c r="CE264" s="497">
        <f>IF(('Comparison Calculator'!$E$11-CD264)&gt;=0,0,IFERROR(-PPMT($CI$66/12,(CC264-60),($F$1-5)*12,$CI$65),0))</f>
        <v>0</v>
      </c>
      <c r="CF264" s="497">
        <f>IF(('Comparison Calculator'!$E$11-CD264)&gt;=0,$C$1*$CI$66/12,IFERROR(-IPMT($CI$66/12,(CC264-60),($F$1-5)*12,$CI$65,0),0))</f>
        <v>0</v>
      </c>
      <c r="CG264" s="497">
        <f t="shared" si="125"/>
        <v>0</v>
      </c>
      <c r="CH264" s="497">
        <f t="shared" si="112"/>
        <v>1800000</v>
      </c>
      <c r="CI264" s="493"/>
      <c r="CJ264" s="493"/>
      <c r="CL264" s="492">
        <v>260</v>
      </c>
      <c r="CM264" s="492">
        <v>22</v>
      </c>
      <c r="CN264" s="497">
        <f>IF(('Comparison Calculator'!$E$11-CM264)&gt;=0,0,IFERROR(-PPMT($CR$66/12,(CL264-60),($F$1-5)*12,$CR$65),0))</f>
        <v>0</v>
      </c>
      <c r="CO264" s="497">
        <f>IF(('Comparison Calculator'!$E$11-CM264)&gt;=0,$C$1*$CI$66/12,IFERROR(-IPMT($CI$66/12,(CL264-60),($F$1-5)*12,$CI$65,0),0))</f>
        <v>0</v>
      </c>
      <c r="CP264" s="497">
        <f t="shared" si="126"/>
        <v>0</v>
      </c>
      <c r="CQ264" s="497">
        <f t="shared" si="113"/>
        <v>1800000</v>
      </c>
      <c r="CR264" s="493"/>
      <c r="CS264" s="493"/>
      <c r="CU264" s="492">
        <v>260</v>
      </c>
      <c r="CV264" s="492">
        <v>22</v>
      </c>
      <c r="CW264" s="497">
        <f>IF(('Comparison Calculator'!$E$11-CV264)&gt;=0,0,IFERROR(-PPMT($DA$66/12,(CU264-60),($F$1-5)*12,$DA$65),0))</f>
        <v>0</v>
      </c>
      <c r="CX264" s="497">
        <f>IF(('Comparison Calculator'!$E$11-CV264)&gt;=0,$C$1*$DA$66/12,IFERROR(-IPMT($DA$66/12,(CU264-60),($F$1-5)*12,$DA$65,0),0))</f>
        <v>0</v>
      </c>
      <c r="CY264" s="497">
        <f t="shared" si="127"/>
        <v>0</v>
      </c>
      <c r="CZ264" s="497">
        <f t="shared" si="114"/>
        <v>1800000</v>
      </c>
      <c r="DA264" s="493"/>
      <c r="DB264" s="493"/>
      <c r="DD264" s="492">
        <v>260</v>
      </c>
      <c r="DE264" s="492">
        <v>22</v>
      </c>
      <c r="DF264" s="497">
        <f>IF(('Comparison Calculator'!$E$11-DE264)&gt;=0,0,IFERROR(-PPMT($DJ$66/12,(DD264-60),($F$1-5)*12,$DJ$65),0))</f>
        <v>0</v>
      </c>
      <c r="DG264" s="497">
        <f>IF(('Comparison Calculator'!$E$11-DE264)&gt;=0,$C$1*$DJ$66/12,IFERROR(-IPMT($DJ$66/12,(DD264-60),($F$1-5)*12,$DJ$65,0),0))</f>
        <v>0</v>
      </c>
      <c r="DH264" s="497">
        <f t="shared" si="128"/>
        <v>0</v>
      </c>
      <c r="DI264" s="497">
        <f t="shared" si="115"/>
        <v>1800000</v>
      </c>
      <c r="DJ264" s="493"/>
      <c r="DK264" s="493"/>
    </row>
    <row r="265" spans="1:115">
      <c r="A265" s="492">
        <v>261</v>
      </c>
      <c r="B265" s="492">
        <v>22</v>
      </c>
      <c r="C265" s="497">
        <f>IF(('Comparison Calculator'!$E$11-B265)&gt;=0,0,IFERROR(-PPMT($G$66/12,(A265-60),($F$1-5)*12,$G$65),0))</f>
        <v>0</v>
      </c>
      <c r="D265" s="497">
        <f>IF(('Comparison Calculator'!$E$11-B265)&gt;=0,$C$1*$G$66/12,IFERROR(-IPMT($G$66/12,(A265-60),($F$1-5)*12,$G$65,0),0))</f>
        <v>0</v>
      </c>
      <c r="E265" s="497">
        <f t="shared" si="116"/>
        <v>0</v>
      </c>
      <c r="F265" s="497">
        <f t="shared" si="129"/>
        <v>1800000</v>
      </c>
      <c r="G265" s="493"/>
      <c r="H265" s="493"/>
      <c r="I265" s="489"/>
      <c r="J265" s="492">
        <v>261</v>
      </c>
      <c r="K265" s="492">
        <v>22</v>
      </c>
      <c r="L265" s="497">
        <f>IF(('Comparison Calculator'!$E$11-K265)&gt;=0,0,IFERROR(-PPMT($P$66/12,(J265-60),($F$1-5)*12,$P$65),0))</f>
        <v>0</v>
      </c>
      <c r="M265" s="497">
        <f>IF(('Comparison Calculator'!$E$11-K265)&gt;=0,$C$1*$P$66/12,IFERROR(-IPMT($P$66/12,(J265-60),($F$1-5)*12,$P$65,0),0))</f>
        <v>0</v>
      </c>
      <c r="N265" s="497">
        <f t="shared" si="117"/>
        <v>0</v>
      </c>
      <c r="O265" s="497">
        <f t="shared" si="104"/>
        <v>1800000</v>
      </c>
      <c r="P265" s="493"/>
      <c r="Q265" s="493"/>
      <c r="S265" s="492">
        <v>261</v>
      </c>
      <c r="T265" s="492">
        <v>22</v>
      </c>
      <c r="U265" s="497">
        <f>IF(('Comparison Calculator'!$E$11-T265)&gt;=0,0,IFERROR(-PPMT($Y$66/12,(S265-60),($F$1-5)*12,$Y$65),0))</f>
        <v>0</v>
      </c>
      <c r="V265" s="497">
        <f>IF(('Comparison Calculator'!$E$11-T265)&gt;=0,$C$1*$Y$66/12,IFERROR(-IPMT($Y$66/12,(S265-60),($F$1-5)*12,$Y$65,0),0))</f>
        <v>0</v>
      </c>
      <c r="W265" s="497">
        <f t="shared" si="118"/>
        <v>0</v>
      </c>
      <c r="X265" s="497">
        <f t="shared" si="105"/>
        <v>1800000</v>
      </c>
      <c r="Y265" s="493"/>
      <c r="Z265" s="493"/>
      <c r="AB265" s="492">
        <v>261</v>
      </c>
      <c r="AC265" s="492">
        <v>22</v>
      </c>
      <c r="AD265" s="497">
        <f>IF(('Comparison Calculator'!$E$11-AC265)&gt;=0,0,IFERROR(-PPMT($AH$66/12,(AB265-60),($F$1-5)*12,$AH$65),0))</f>
        <v>0</v>
      </c>
      <c r="AE265" s="497">
        <f>IF(('Comparison Calculator'!$E$11-AC265)&gt;=0,$C$1*$AH$66/12,IFERROR(-IPMT($AH$66/12,(AB265-60),($F$1-5)*12,$AH$65,0),0))</f>
        <v>0</v>
      </c>
      <c r="AF265" s="497">
        <f t="shared" si="119"/>
        <v>0</v>
      </c>
      <c r="AG265" s="497">
        <f t="shared" si="106"/>
        <v>1800000</v>
      </c>
      <c r="AH265" s="493"/>
      <c r="AI265" s="493"/>
      <c r="AK265" s="492">
        <v>261</v>
      </c>
      <c r="AL265" s="492">
        <v>22</v>
      </c>
      <c r="AM265" s="497">
        <f>IF(('Comparison Calculator'!$E$11-AL265)&gt;=0,0,IFERROR(-PPMT($AQ$66/12,(AK265-60),($F$1-5)*12,$AQ$65),0))</f>
        <v>0</v>
      </c>
      <c r="AN265" s="497">
        <f>IF(('Comparison Calculator'!$E$11-AL265)&gt;=0,$C$1*$AQ$66/12,IFERROR(-IPMT($AQ$66/12,(AK265-60),($F$1-5)*12,$AQ$65,0),0))</f>
        <v>0</v>
      </c>
      <c r="AO265" s="497">
        <f t="shared" si="120"/>
        <v>0</v>
      </c>
      <c r="AP265" s="497">
        <f t="shared" si="107"/>
        <v>1800000</v>
      </c>
      <c r="AQ265" s="493"/>
      <c r="AR265" s="493"/>
      <c r="AT265" s="492">
        <v>261</v>
      </c>
      <c r="AU265" s="492">
        <v>22</v>
      </c>
      <c r="AV265" s="497">
        <f>IF(('Comparison Calculator'!$E$11-AU265)&gt;=0,0,IFERROR(-PPMT($AZ$66/12,(AT265-60),($F$1-5)*12,$AZ$65),0))</f>
        <v>0</v>
      </c>
      <c r="AW265" s="497">
        <f>IF(('Comparison Calculator'!$E$11-AU265)&gt;=0,$C$1*$AZ$66/12,IFERROR(-IPMT($AZ$66/12,(AT265-60),($F$1-5)*12,$AZ$65,0),0))</f>
        <v>0</v>
      </c>
      <c r="AX265" s="497">
        <f t="shared" si="121"/>
        <v>0</v>
      </c>
      <c r="AY265" s="497">
        <f t="shared" si="108"/>
        <v>1800000</v>
      </c>
      <c r="AZ265" s="493"/>
      <c r="BA265" s="493"/>
      <c r="BC265" s="492">
        <v>261</v>
      </c>
      <c r="BD265" s="492">
        <v>22</v>
      </c>
      <c r="BE265" s="497">
        <f>IF(('Comparison Calculator'!$E$11-BD265)&gt;=0,0,IFERROR(-PPMT($BI$66/12,(BC265-60),($F$1-5)*12,$BI$65),0))</f>
        <v>0</v>
      </c>
      <c r="BF265" s="497">
        <f>IF(('Comparison Calculator'!$E$11-BD265)&gt;=0,$C$1*$BI$66/12,IFERROR(-IPMT($BI$66/12,(BC265-60),($F$1-5)*12,$BI$65,0),0))</f>
        <v>0</v>
      </c>
      <c r="BG265" s="497">
        <f t="shared" si="122"/>
        <v>0</v>
      </c>
      <c r="BH265" s="497">
        <f t="shared" si="109"/>
        <v>1800000</v>
      </c>
      <c r="BI265" s="493"/>
      <c r="BJ265" s="493"/>
      <c r="BK265" s="492">
        <v>261</v>
      </c>
      <c r="BL265" s="492">
        <v>22</v>
      </c>
      <c r="BM265" s="497">
        <f>IF(('Comparison Calculator'!$E$11-BL265)&gt;=0,0,IFERROR(-PPMT($BQ$66/12,(BK265-60),($F$1-5)*12,$BQ$65),0))</f>
        <v>0</v>
      </c>
      <c r="BN265" s="497">
        <f>IF(('Comparison Calculator'!$E$11-BL265)&gt;=0,$C$1*$BQ$66/12,IFERROR(-IPMT($BQ$66/12,(BK265-60),($F$1-5)*12,$BQ$65,0),0))</f>
        <v>0</v>
      </c>
      <c r="BO265" s="497">
        <f t="shared" si="123"/>
        <v>0</v>
      </c>
      <c r="BP265" s="497">
        <f t="shared" si="110"/>
        <v>1800000</v>
      </c>
      <c r="BQ265" s="493"/>
      <c r="BR265" s="493"/>
      <c r="BT265" s="492">
        <v>261</v>
      </c>
      <c r="BU265" s="492">
        <v>22</v>
      </c>
      <c r="BV265" s="497">
        <f>IF(('Comparison Calculator'!$E$11-BU265)&gt;=0,0,IFERROR(-PPMT($BZ$66/12,(BT265-60),($F$1-5)*12,$BZ$65),0))</f>
        <v>0</v>
      </c>
      <c r="BW265" s="497">
        <f>IF(('Comparison Calculator'!$E$11-BU265)&gt;=0,$C$1*$BZ$66/12,IFERROR(-IPMT($BZ$66/12,(BT265-60),($F$1-5)*12,$BZ$65,0),0))</f>
        <v>0</v>
      </c>
      <c r="BX265" s="497">
        <f t="shared" si="124"/>
        <v>0</v>
      </c>
      <c r="BY265" s="497">
        <f t="shared" si="111"/>
        <v>1800000</v>
      </c>
      <c r="BZ265" s="493"/>
      <c r="CA265" s="493"/>
      <c r="CC265" s="492">
        <v>261</v>
      </c>
      <c r="CD265" s="492">
        <v>22</v>
      </c>
      <c r="CE265" s="497">
        <f>IF(('Comparison Calculator'!$E$11-CD265)&gt;=0,0,IFERROR(-PPMT($CI$66/12,(CC265-60),($F$1-5)*12,$CI$65),0))</f>
        <v>0</v>
      </c>
      <c r="CF265" s="497">
        <f>IF(('Comparison Calculator'!$E$11-CD265)&gt;=0,$C$1*$CI$66/12,IFERROR(-IPMT($CI$66/12,(CC265-60),($F$1-5)*12,$CI$65,0),0))</f>
        <v>0</v>
      </c>
      <c r="CG265" s="497">
        <f t="shared" si="125"/>
        <v>0</v>
      </c>
      <c r="CH265" s="497">
        <f t="shared" si="112"/>
        <v>1800000</v>
      </c>
      <c r="CI265" s="493"/>
      <c r="CJ265" s="493"/>
      <c r="CL265" s="492">
        <v>261</v>
      </c>
      <c r="CM265" s="492">
        <v>22</v>
      </c>
      <c r="CN265" s="497">
        <f>IF(('Comparison Calculator'!$E$11-CM265)&gt;=0,0,IFERROR(-PPMT($CR$66/12,(CL265-60),($F$1-5)*12,$CR$65),0))</f>
        <v>0</v>
      </c>
      <c r="CO265" s="497">
        <f>IF(('Comparison Calculator'!$E$11-CM265)&gt;=0,$C$1*$CI$66/12,IFERROR(-IPMT($CI$66/12,(CL265-60),($F$1-5)*12,$CI$65,0),0))</f>
        <v>0</v>
      </c>
      <c r="CP265" s="497">
        <f t="shared" si="126"/>
        <v>0</v>
      </c>
      <c r="CQ265" s="497">
        <f t="shared" si="113"/>
        <v>1800000</v>
      </c>
      <c r="CR265" s="493"/>
      <c r="CS265" s="493"/>
      <c r="CU265" s="492">
        <v>261</v>
      </c>
      <c r="CV265" s="492">
        <v>22</v>
      </c>
      <c r="CW265" s="497">
        <f>IF(('Comparison Calculator'!$E$11-CV265)&gt;=0,0,IFERROR(-PPMT($DA$66/12,(CU265-60),($F$1-5)*12,$DA$65),0))</f>
        <v>0</v>
      </c>
      <c r="CX265" s="497">
        <f>IF(('Comparison Calculator'!$E$11-CV265)&gt;=0,$C$1*$DA$66/12,IFERROR(-IPMT($DA$66/12,(CU265-60),($F$1-5)*12,$DA$65,0),0))</f>
        <v>0</v>
      </c>
      <c r="CY265" s="497">
        <f t="shared" si="127"/>
        <v>0</v>
      </c>
      <c r="CZ265" s="497">
        <f t="shared" si="114"/>
        <v>1800000</v>
      </c>
      <c r="DA265" s="493"/>
      <c r="DB265" s="493"/>
      <c r="DD265" s="492">
        <v>261</v>
      </c>
      <c r="DE265" s="492">
        <v>22</v>
      </c>
      <c r="DF265" s="497">
        <f>IF(('Comparison Calculator'!$E$11-DE265)&gt;=0,0,IFERROR(-PPMT($DJ$66/12,(DD265-60),($F$1-5)*12,$DJ$65),0))</f>
        <v>0</v>
      </c>
      <c r="DG265" s="497">
        <f>IF(('Comparison Calculator'!$E$11-DE265)&gt;=0,$C$1*$DJ$66/12,IFERROR(-IPMT($DJ$66/12,(DD265-60),($F$1-5)*12,$DJ$65,0),0))</f>
        <v>0</v>
      </c>
      <c r="DH265" s="497">
        <f t="shared" si="128"/>
        <v>0</v>
      </c>
      <c r="DI265" s="497">
        <f t="shared" si="115"/>
        <v>1800000</v>
      </c>
      <c r="DJ265" s="493"/>
      <c r="DK265" s="493"/>
    </row>
    <row r="266" spans="1:115">
      <c r="A266" s="492">
        <v>262</v>
      </c>
      <c r="B266" s="492">
        <v>22</v>
      </c>
      <c r="C266" s="497">
        <f>IF(('Comparison Calculator'!$E$11-B266)&gt;=0,0,IFERROR(-PPMT($G$66/12,(A266-60),($F$1-5)*12,$G$65),0))</f>
        <v>0</v>
      </c>
      <c r="D266" s="497">
        <f>IF(('Comparison Calculator'!$E$11-B266)&gt;=0,$C$1*$G$66/12,IFERROR(-IPMT($G$66/12,(A266-60),($F$1-5)*12,$G$65,0),0))</f>
        <v>0</v>
      </c>
      <c r="E266" s="497">
        <f t="shared" si="116"/>
        <v>0</v>
      </c>
      <c r="F266" s="497">
        <f t="shared" si="129"/>
        <v>1800000</v>
      </c>
      <c r="G266" s="493"/>
      <c r="H266" s="493"/>
      <c r="I266" s="489"/>
      <c r="J266" s="492">
        <v>262</v>
      </c>
      <c r="K266" s="492">
        <v>22</v>
      </c>
      <c r="L266" s="497">
        <f>IF(('Comparison Calculator'!$E$11-K266)&gt;=0,0,IFERROR(-PPMT($P$66/12,(J266-60),($F$1-5)*12,$P$65),0))</f>
        <v>0</v>
      </c>
      <c r="M266" s="497">
        <f>IF(('Comparison Calculator'!$E$11-K266)&gt;=0,$C$1*$P$66/12,IFERROR(-IPMT($P$66/12,(J266-60),($F$1-5)*12,$P$65,0),0))</f>
        <v>0</v>
      </c>
      <c r="N266" s="497">
        <f t="shared" si="117"/>
        <v>0</v>
      </c>
      <c r="O266" s="497">
        <f t="shared" si="104"/>
        <v>1800000</v>
      </c>
      <c r="P266" s="493"/>
      <c r="Q266" s="493"/>
      <c r="S266" s="492">
        <v>262</v>
      </c>
      <c r="T266" s="492">
        <v>22</v>
      </c>
      <c r="U266" s="497">
        <f>IF(('Comparison Calculator'!$E$11-T266)&gt;=0,0,IFERROR(-PPMT($Y$66/12,(S266-60),($F$1-5)*12,$Y$65),0))</f>
        <v>0</v>
      </c>
      <c r="V266" s="497">
        <f>IF(('Comparison Calculator'!$E$11-T266)&gt;=0,$C$1*$Y$66/12,IFERROR(-IPMT($Y$66/12,(S266-60),($F$1-5)*12,$Y$65,0),0))</f>
        <v>0</v>
      </c>
      <c r="W266" s="497">
        <f t="shared" si="118"/>
        <v>0</v>
      </c>
      <c r="X266" s="497">
        <f t="shared" si="105"/>
        <v>1800000</v>
      </c>
      <c r="Y266" s="493"/>
      <c r="Z266" s="493"/>
      <c r="AB266" s="492">
        <v>262</v>
      </c>
      <c r="AC266" s="492">
        <v>22</v>
      </c>
      <c r="AD266" s="497">
        <f>IF(('Comparison Calculator'!$E$11-AC266)&gt;=0,0,IFERROR(-PPMT($AH$66/12,(AB266-60),($F$1-5)*12,$AH$65),0))</f>
        <v>0</v>
      </c>
      <c r="AE266" s="497">
        <f>IF(('Comparison Calculator'!$E$11-AC266)&gt;=0,$C$1*$AH$66/12,IFERROR(-IPMT($AH$66/12,(AB266-60),($F$1-5)*12,$AH$65,0),0))</f>
        <v>0</v>
      </c>
      <c r="AF266" s="497">
        <f t="shared" si="119"/>
        <v>0</v>
      </c>
      <c r="AG266" s="497">
        <f t="shared" si="106"/>
        <v>1800000</v>
      </c>
      <c r="AH266" s="493"/>
      <c r="AI266" s="493"/>
      <c r="AK266" s="492">
        <v>262</v>
      </c>
      <c r="AL266" s="492">
        <v>22</v>
      </c>
      <c r="AM266" s="497">
        <f>IF(('Comparison Calculator'!$E$11-AL266)&gt;=0,0,IFERROR(-PPMT($AQ$66/12,(AK266-60),($F$1-5)*12,$AQ$65),0))</f>
        <v>0</v>
      </c>
      <c r="AN266" s="497">
        <f>IF(('Comparison Calculator'!$E$11-AL266)&gt;=0,$C$1*$AQ$66/12,IFERROR(-IPMT($AQ$66/12,(AK266-60),($F$1-5)*12,$AQ$65,0),0))</f>
        <v>0</v>
      </c>
      <c r="AO266" s="497">
        <f t="shared" si="120"/>
        <v>0</v>
      </c>
      <c r="AP266" s="497">
        <f t="shared" si="107"/>
        <v>1800000</v>
      </c>
      <c r="AQ266" s="493"/>
      <c r="AR266" s="493"/>
      <c r="AT266" s="492">
        <v>262</v>
      </c>
      <c r="AU266" s="492">
        <v>22</v>
      </c>
      <c r="AV266" s="497">
        <f>IF(('Comparison Calculator'!$E$11-AU266)&gt;=0,0,IFERROR(-PPMT($AZ$66/12,(AT266-60),($F$1-5)*12,$AZ$65),0))</f>
        <v>0</v>
      </c>
      <c r="AW266" s="497">
        <f>IF(('Comparison Calculator'!$E$11-AU266)&gt;=0,$C$1*$AZ$66/12,IFERROR(-IPMT($AZ$66/12,(AT266-60),($F$1-5)*12,$AZ$65,0),0))</f>
        <v>0</v>
      </c>
      <c r="AX266" s="497">
        <f t="shared" si="121"/>
        <v>0</v>
      </c>
      <c r="AY266" s="497">
        <f t="shared" si="108"/>
        <v>1800000</v>
      </c>
      <c r="AZ266" s="493"/>
      <c r="BA266" s="493"/>
      <c r="BC266" s="492">
        <v>262</v>
      </c>
      <c r="BD266" s="492">
        <v>22</v>
      </c>
      <c r="BE266" s="497">
        <f>IF(('Comparison Calculator'!$E$11-BD266)&gt;=0,0,IFERROR(-PPMT($BI$66/12,(BC266-60),($F$1-5)*12,$BI$65),0))</f>
        <v>0</v>
      </c>
      <c r="BF266" s="497">
        <f>IF(('Comparison Calculator'!$E$11-BD266)&gt;=0,$C$1*$BI$66/12,IFERROR(-IPMT($BI$66/12,(BC266-60),($F$1-5)*12,$BI$65,0),0))</f>
        <v>0</v>
      </c>
      <c r="BG266" s="497">
        <f t="shared" si="122"/>
        <v>0</v>
      </c>
      <c r="BH266" s="497">
        <f t="shared" si="109"/>
        <v>1800000</v>
      </c>
      <c r="BI266" s="493"/>
      <c r="BJ266" s="493"/>
      <c r="BK266" s="492">
        <v>262</v>
      </c>
      <c r="BL266" s="492">
        <v>22</v>
      </c>
      <c r="BM266" s="497">
        <f>IF(('Comparison Calculator'!$E$11-BL266)&gt;=0,0,IFERROR(-PPMT($BQ$66/12,(BK266-60),($F$1-5)*12,$BQ$65),0))</f>
        <v>0</v>
      </c>
      <c r="BN266" s="497">
        <f>IF(('Comparison Calculator'!$E$11-BL266)&gt;=0,$C$1*$BQ$66/12,IFERROR(-IPMT($BQ$66/12,(BK266-60),($F$1-5)*12,$BQ$65,0),0))</f>
        <v>0</v>
      </c>
      <c r="BO266" s="497">
        <f t="shared" si="123"/>
        <v>0</v>
      </c>
      <c r="BP266" s="497">
        <f t="shared" si="110"/>
        <v>1800000</v>
      </c>
      <c r="BQ266" s="493"/>
      <c r="BR266" s="493"/>
      <c r="BT266" s="492">
        <v>262</v>
      </c>
      <c r="BU266" s="492">
        <v>22</v>
      </c>
      <c r="BV266" s="497">
        <f>IF(('Comparison Calculator'!$E$11-BU266)&gt;=0,0,IFERROR(-PPMT($BZ$66/12,(BT266-60),($F$1-5)*12,$BZ$65),0))</f>
        <v>0</v>
      </c>
      <c r="BW266" s="497">
        <f>IF(('Comparison Calculator'!$E$11-BU266)&gt;=0,$C$1*$BZ$66/12,IFERROR(-IPMT($BZ$66/12,(BT266-60),($F$1-5)*12,$BZ$65,0),0))</f>
        <v>0</v>
      </c>
      <c r="BX266" s="497">
        <f t="shared" si="124"/>
        <v>0</v>
      </c>
      <c r="BY266" s="497">
        <f t="shared" si="111"/>
        <v>1800000</v>
      </c>
      <c r="BZ266" s="493"/>
      <c r="CA266" s="493"/>
      <c r="CC266" s="492">
        <v>262</v>
      </c>
      <c r="CD266" s="492">
        <v>22</v>
      </c>
      <c r="CE266" s="497">
        <f>IF(('Comparison Calculator'!$E$11-CD266)&gt;=0,0,IFERROR(-PPMT($CI$66/12,(CC266-60),($F$1-5)*12,$CI$65),0))</f>
        <v>0</v>
      </c>
      <c r="CF266" s="497">
        <f>IF(('Comparison Calculator'!$E$11-CD266)&gt;=0,$C$1*$CI$66/12,IFERROR(-IPMT($CI$66/12,(CC266-60),($F$1-5)*12,$CI$65,0),0))</f>
        <v>0</v>
      </c>
      <c r="CG266" s="497">
        <f t="shared" si="125"/>
        <v>0</v>
      </c>
      <c r="CH266" s="497">
        <f t="shared" si="112"/>
        <v>1800000</v>
      </c>
      <c r="CI266" s="493"/>
      <c r="CJ266" s="493"/>
      <c r="CL266" s="492">
        <v>262</v>
      </c>
      <c r="CM266" s="492">
        <v>22</v>
      </c>
      <c r="CN266" s="497">
        <f>IF(('Comparison Calculator'!$E$11-CM266)&gt;=0,0,IFERROR(-PPMT($CR$66/12,(CL266-60),($F$1-5)*12,$CR$65),0))</f>
        <v>0</v>
      </c>
      <c r="CO266" s="497">
        <f>IF(('Comparison Calculator'!$E$11-CM266)&gt;=0,$C$1*$CI$66/12,IFERROR(-IPMT($CI$66/12,(CL266-60),($F$1-5)*12,$CI$65,0),0))</f>
        <v>0</v>
      </c>
      <c r="CP266" s="497">
        <f t="shared" si="126"/>
        <v>0</v>
      </c>
      <c r="CQ266" s="497">
        <f t="shared" si="113"/>
        <v>1800000</v>
      </c>
      <c r="CR266" s="493"/>
      <c r="CS266" s="493"/>
      <c r="CU266" s="492">
        <v>262</v>
      </c>
      <c r="CV266" s="492">
        <v>22</v>
      </c>
      <c r="CW266" s="497">
        <f>IF(('Comparison Calculator'!$E$11-CV266)&gt;=0,0,IFERROR(-PPMT($DA$66/12,(CU266-60),($F$1-5)*12,$DA$65),0))</f>
        <v>0</v>
      </c>
      <c r="CX266" s="497">
        <f>IF(('Comparison Calculator'!$E$11-CV266)&gt;=0,$C$1*$DA$66/12,IFERROR(-IPMT($DA$66/12,(CU266-60),($F$1-5)*12,$DA$65,0),0))</f>
        <v>0</v>
      </c>
      <c r="CY266" s="497">
        <f t="shared" si="127"/>
        <v>0</v>
      </c>
      <c r="CZ266" s="497">
        <f t="shared" si="114"/>
        <v>1800000</v>
      </c>
      <c r="DA266" s="493"/>
      <c r="DB266" s="493"/>
      <c r="DD266" s="492">
        <v>262</v>
      </c>
      <c r="DE266" s="492">
        <v>22</v>
      </c>
      <c r="DF266" s="497">
        <f>IF(('Comparison Calculator'!$E$11-DE266)&gt;=0,0,IFERROR(-PPMT($DJ$66/12,(DD266-60),($F$1-5)*12,$DJ$65),0))</f>
        <v>0</v>
      </c>
      <c r="DG266" s="497">
        <f>IF(('Comparison Calculator'!$E$11-DE266)&gt;=0,$C$1*$DJ$66/12,IFERROR(-IPMT($DJ$66/12,(DD266-60),($F$1-5)*12,$DJ$65,0),0))</f>
        <v>0</v>
      </c>
      <c r="DH266" s="497">
        <f t="shared" si="128"/>
        <v>0</v>
      </c>
      <c r="DI266" s="497">
        <f t="shared" si="115"/>
        <v>1800000</v>
      </c>
      <c r="DJ266" s="493"/>
      <c r="DK266" s="493"/>
    </row>
    <row r="267" spans="1:115">
      <c r="A267" s="492">
        <v>263</v>
      </c>
      <c r="B267" s="492">
        <v>22</v>
      </c>
      <c r="C267" s="497">
        <f>IF(('Comparison Calculator'!$E$11-B267)&gt;=0,0,IFERROR(-PPMT($G$66/12,(A267-60),($F$1-5)*12,$G$65),0))</f>
        <v>0</v>
      </c>
      <c r="D267" s="497">
        <f>IF(('Comparison Calculator'!$E$11-B267)&gt;=0,$C$1*$G$66/12,IFERROR(-IPMT($G$66/12,(A267-60),($F$1-5)*12,$G$65,0),0))</f>
        <v>0</v>
      </c>
      <c r="E267" s="497">
        <f t="shared" si="116"/>
        <v>0</v>
      </c>
      <c r="F267" s="497">
        <f t="shared" si="129"/>
        <v>1800000</v>
      </c>
      <c r="G267" s="493"/>
      <c r="H267" s="493"/>
      <c r="I267" s="489"/>
      <c r="J267" s="492">
        <v>263</v>
      </c>
      <c r="K267" s="492">
        <v>22</v>
      </c>
      <c r="L267" s="497">
        <f>IF(('Comparison Calculator'!$E$11-K267)&gt;=0,0,IFERROR(-PPMT($P$66/12,(J267-60),($F$1-5)*12,$P$65),0))</f>
        <v>0</v>
      </c>
      <c r="M267" s="497">
        <f>IF(('Comparison Calculator'!$E$11-K267)&gt;=0,$C$1*$P$66/12,IFERROR(-IPMT($P$66/12,(J267-60),($F$1-5)*12,$P$65,0),0))</f>
        <v>0</v>
      </c>
      <c r="N267" s="497">
        <f t="shared" si="117"/>
        <v>0</v>
      </c>
      <c r="O267" s="497">
        <f t="shared" si="104"/>
        <v>1800000</v>
      </c>
      <c r="P267" s="493"/>
      <c r="Q267" s="493"/>
      <c r="S267" s="492">
        <v>263</v>
      </c>
      <c r="T267" s="492">
        <v>22</v>
      </c>
      <c r="U267" s="497">
        <f>IF(('Comparison Calculator'!$E$11-T267)&gt;=0,0,IFERROR(-PPMT($Y$66/12,(S267-60),($F$1-5)*12,$Y$65),0))</f>
        <v>0</v>
      </c>
      <c r="V267" s="497">
        <f>IF(('Comparison Calculator'!$E$11-T267)&gt;=0,$C$1*$Y$66/12,IFERROR(-IPMT($Y$66/12,(S267-60),($F$1-5)*12,$Y$65,0),0))</f>
        <v>0</v>
      </c>
      <c r="W267" s="497">
        <f t="shared" si="118"/>
        <v>0</v>
      </c>
      <c r="X267" s="497">
        <f t="shared" si="105"/>
        <v>1800000</v>
      </c>
      <c r="Y267" s="493"/>
      <c r="Z267" s="493"/>
      <c r="AB267" s="492">
        <v>263</v>
      </c>
      <c r="AC267" s="492">
        <v>22</v>
      </c>
      <c r="AD267" s="497">
        <f>IF(('Comparison Calculator'!$E$11-AC267)&gt;=0,0,IFERROR(-PPMT($AH$66/12,(AB267-60),($F$1-5)*12,$AH$65),0))</f>
        <v>0</v>
      </c>
      <c r="AE267" s="497">
        <f>IF(('Comparison Calculator'!$E$11-AC267)&gt;=0,$C$1*$AH$66/12,IFERROR(-IPMT($AH$66/12,(AB267-60),($F$1-5)*12,$AH$65,0),0))</f>
        <v>0</v>
      </c>
      <c r="AF267" s="497">
        <f t="shared" si="119"/>
        <v>0</v>
      </c>
      <c r="AG267" s="497">
        <f t="shared" si="106"/>
        <v>1800000</v>
      </c>
      <c r="AH267" s="493"/>
      <c r="AI267" s="493"/>
      <c r="AK267" s="492">
        <v>263</v>
      </c>
      <c r="AL267" s="492">
        <v>22</v>
      </c>
      <c r="AM267" s="497">
        <f>IF(('Comparison Calculator'!$E$11-AL267)&gt;=0,0,IFERROR(-PPMT($AQ$66/12,(AK267-60),($F$1-5)*12,$AQ$65),0))</f>
        <v>0</v>
      </c>
      <c r="AN267" s="497">
        <f>IF(('Comparison Calculator'!$E$11-AL267)&gt;=0,$C$1*$AQ$66/12,IFERROR(-IPMT($AQ$66/12,(AK267-60),($F$1-5)*12,$AQ$65,0),0))</f>
        <v>0</v>
      </c>
      <c r="AO267" s="497">
        <f t="shared" si="120"/>
        <v>0</v>
      </c>
      <c r="AP267" s="497">
        <f t="shared" si="107"/>
        <v>1800000</v>
      </c>
      <c r="AQ267" s="493"/>
      <c r="AR267" s="493"/>
      <c r="AT267" s="492">
        <v>263</v>
      </c>
      <c r="AU267" s="492">
        <v>22</v>
      </c>
      <c r="AV267" s="497">
        <f>IF(('Comparison Calculator'!$E$11-AU267)&gt;=0,0,IFERROR(-PPMT($AZ$66/12,(AT267-60),($F$1-5)*12,$AZ$65),0))</f>
        <v>0</v>
      </c>
      <c r="AW267" s="497">
        <f>IF(('Comparison Calculator'!$E$11-AU267)&gt;=0,$C$1*$AZ$66/12,IFERROR(-IPMT($AZ$66/12,(AT267-60),($F$1-5)*12,$AZ$65,0),0))</f>
        <v>0</v>
      </c>
      <c r="AX267" s="497">
        <f t="shared" si="121"/>
        <v>0</v>
      </c>
      <c r="AY267" s="497">
        <f t="shared" si="108"/>
        <v>1800000</v>
      </c>
      <c r="AZ267" s="493"/>
      <c r="BA267" s="493"/>
      <c r="BC267" s="492">
        <v>263</v>
      </c>
      <c r="BD267" s="492">
        <v>22</v>
      </c>
      <c r="BE267" s="497">
        <f>IF(('Comparison Calculator'!$E$11-BD267)&gt;=0,0,IFERROR(-PPMT($BI$66/12,(BC267-60),($F$1-5)*12,$BI$65),0))</f>
        <v>0</v>
      </c>
      <c r="BF267" s="497">
        <f>IF(('Comparison Calculator'!$E$11-BD267)&gt;=0,$C$1*$BI$66/12,IFERROR(-IPMT($BI$66/12,(BC267-60),($F$1-5)*12,$BI$65,0),0))</f>
        <v>0</v>
      </c>
      <c r="BG267" s="497">
        <f t="shared" si="122"/>
        <v>0</v>
      </c>
      <c r="BH267" s="497">
        <f t="shared" si="109"/>
        <v>1800000</v>
      </c>
      <c r="BI267" s="493"/>
      <c r="BJ267" s="493"/>
      <c r="BK267" s="492">
        <v>263</v>
      </c>
      <c r="BL267" s="492">
        <v>22</v>
      </c>
      <c r="BM267" s="497">
        <f>IF(('Comparison Calculator'!$E$11-BL267)&gt;=0,0,IFERROR(-PPMT($BQ$66/12,(BK267-60),($F$1-5)*12,$BQ$65),0))</f>
        <v>0</v>
      </c>
      <c r="BN267" s="497">
        <f>IF(('Comparison Calculator'!$E$11-BL267)&gt;=0,$C$1*$BQ$66/12,IFERROR(-IPMT($BQ$66/12,(BK267-60),($F$1-5)*12,$BQ$65,0),0))</f>
        <v>0</v>
      </c>
      <c r="BO267" s="497">
        <f t="shared" si="123"/>
        <v>0</v>
      </c>
      <c r="BP267" s="497">
        <f t="shared" si="110"/>
        <v>1800000</v>
      </c>
      <c r="BQ267" s="493"/>
      <c r="BR267" s="493"/>
      <c r="BT267" s="492">
        <v>263</v>
      </c>
      <c r="BU267" s="492">
        <v>22</v>
      </c>
      <c r="BV267" s="497">
        <f>IF(('Comparison Calculator'!$E$11-BU267)&gt;=0,0,IFERROR(-PPMT($BZ$66/12,(BT267-60),($F$1-5)*12,$BZ$65),0))</f>
        <v>0</v>
      </c>
      <c r="BW267" s="497">
        <f>IF(('Comparison Calculator'!$E$11-BU267)&gt;=0,$C$1*$BZ$66/12,IFERROR(-IPMT($BZ$66/12,(BT267-60),($F$1-5)*12,$BZ$65,0),0))</f>
        <v>0</v>
      </c>
      <c r="BX267" s="497">
        <f t="shared" si="124"/>
        <v>0</v>
      </c>
      <c r="BY267" s="497">
        <f t="shared" si="111"/>
        <v>1800000</v>
      </c>
      <c r="BZ267" s="493"/>
      <c r="CA267" s="493"/>
      <c r="CC267" s="492">
        <v>263</v>
      </c>
      <c r="CD267" s="492">
        <v>22</v>
      </c>
      <c r="CE267" s="497">
        <f>IF(('Comparison Calculator'!$E$11-CD267)&gt;=0,0,IFERROR(-PPMT($CI$66/12,(CC267-60),($F$1-5)*12,$CI$65),0))</f>
        <v>0</v>
      </c>
      <c r="CF267" s="497">
        <f>IF(('Comparison Calculator'!$E$11-CD267)&gt;=0,$C$1*$CI$66/12,IFERROR(-IPMT($CI$66/12,(CC267-60),($F$1-5)*12,$CI$65,0),0))</f>
        <v>0</v>
      </c>
      <c r="CG267" s="497">
        <f t="shared" si="125"/>
        <v>0</v>
      </c>
      <c r="CH267" s="497">
        <f t="shared" si="112"/>
        <v>1800000</v>
      </c>
      <c r="CI267" s="493"/>
      <c r="CJ267" s="493"/>
      <c r="CL267" s="492">
        <v>263</v>
      </c>
      <c r="CM267" s="492">
        <v>22</v>
      </c>
      <c r="CN267" s="497">
        <f>IF(('Comparison Calculator'!$E$11-CM267)&gt;=0,0,IFERROR(-PPMT($CR$66/12,(CL267-60),($F$1-5)*12,$CR$65),0))</f>
        <v>0</v>
      </c>
      <c r="CO267" s="497">
        <f>IF(('Comparison Calculator'!$E$11-CM267)&gt;=0,$C$1*$CI$66/12,IFERROR(-IPMT($CI$66/12,(CL267-60),($F$1-5)*12,$CI$65,0),0))</f>
        <v>0</v>
      </c>
      <c r="CP267" s="497">
        <f t="shared" si="126"/>
        <v>0</v>
      </c>
      <c r="CQ267" s="497">
        <f t="shared" si="113"/>
        <v>1800000</v>
      </c>
      <c r="CR267" s="493"/>
      <c r="CS267" s="493"/>
      <c r="CU267" s="492">
        <v>263</v>
      </c>
      <c r="CV267" s="492">
        <v>22</v>
      </c>
      <c r="CW267" s="497">
        <f>IF(('Comparison Calculator'!$E$11-CV267)&gt;=0,0,IFERROR(-PPMT($DA$66/12,(CU267-60),($F$1-5)*12,$DA$65),0))</f>
        <v>0</v>
      </c>
      <c r="CX267" s="497">
        <f>IF(('Comparison Calculator'!$E$11-CV267)&gt;=0,$C$1*$DA$66/12,IFERROR(-IPMT($DA$66/12,(CU267-60),($F$1-5)*12,$DA$65,0),0))</f>
        <v>0</v>
      </c>
      <c r="CY267" s="497">
        <f t="shared" si="127"/>
        <v>0</v>
      </c>
      <c r="CZ267" s="497">
        <f t="shared" si="114"/>
        <v>1800000</v>
      </c>
      <c r="DA267" s="493"/>
      <c r="DB267" s="493"/>
      <c r="DD267" s="492">
        <v>263</v>
      </c>
      <c r="DE267" s="492">
        <v>22</v>
      </c>
      <c r="DF267" s="497">
        <f>IF(('Comparison Calculator'!$E$11-DE267)&gt;=0,0,IFERROR(-PPMT($DJ$66/12,(DD267-60),($F$1-5)*12,$DJ$65),0))</f>
        <v>0</v>
      </c>
      <c r="DG267" s="497">
        <f>IF(('Comparison Calculator'!$E$11-DE267)&gt;=0,$C$1*$DJ$66/12,IFERROR(-IPMT($DJ$66/12,(DD267-60),($F$1-5)*12,$DJ$65,0),0))</f>
        <v>0</v>
      </c>
      <c r="DH267" s="497">
        <f t="shared" si="128"/>
        <v>0</v>
      </c>
      <c r="DI267" s="497">
        <f t="shared" si="115"/>
        <v>1800000</v>
      </c>
      <c r="DJ267" s="493"/>
      <c r="DK267" s="493"/>
    </row>
    <row r="268" spans="1:115">
      <c r="A268" s="492">
        <v>264</v>
      </c>
      <c r="B268" s="492">
        <v>22</v>
      </c>
      <c r="C268" s="497">
        <f>IF(('Comparison Calculator'!$E$11-B268)&gt;=0,0,IFERROR(-PPMT($G$66/12,(A268-60),($F$1-5)*12,$G$65),0))</f>
        <v>0</v>
      </c>
      <c r="D268" s="497">
        <f>IF(('Comparison Calculator'!$E$11-B268)&gt;=0,$C$1*$G$66/12,IFERROR(-IPMT($G$66/12,(A268-60),($F$1-5)*12,$G$65,0),0))</f>
        <v>0</v>
      </c>
      <c r="E268" s="497">
        <f t="shared" si="116"/>
        <v>0</v>
      </c>
      <c r="F268" s="497">
        <f t="shared" si="129"/>
        <v>1800000</v>
      </c>
      <c r="G268" s="493"/>
      <c r="H268" s="493"/>
      <c r="I268" s="489"/>
      <c r="J268" s="492">
        <v>264</v>
      </c>
      <c r="K268" s="492">
        <v>22</v>
      </c>
      <c r="L268" s="497">
        <f>IF(('Comparison Calculator'!$E$11-K268)&gt;=0,0,IFERROR(-PPMT($P$66/12,(J268-60),($F$1-5)*12,$P$65),0))</f>
        <v>0</v>
      </c>
      <c r="M268" s="497">
        <f>IF(('Comparison Calculator'!$E$11-K268)&gt;=0,$C$1*$P$66/12,IFERROR(-IPMT($P$66/12,(J268-60),($F$1-5)*12,$P$65,0),0))</f>
        <v>0</v>
      </c>
      <c r="N268" s="497">
        <f t="shared" si="117"/>
        <v>0</v>
      </c>
      <c r="O268" s="497">
        <f t="shared" si="104"/>
        <v>1800000</v>
      </c>
      <c r="P268" s="493"/>
      <c r="Q268" s="493"/>
      <c r="S268" s="492">
        <v>264</v>
      </c>
      <c r="T268" s="492">
        <v>22</v>
      </c>
      <c r="U268" s="497">
        <f>IF(('Comparison Calculator'!$E$11-T268)&gt;=0,0,IFERROR(-PPMT($Y$66/12,(S268-60),($F$1-5)*12,$Y$65),0))</f>
        <v>0</v>
      </c>
      <c r="V268" s="497">
        <f>IF(('Comparison Calculator'!$E$11-T268)&gt;=0,$C$1*$Y$66/12,IFERROR(-IPMT($Y$66/12,(S268-60),($F$1-5)*12,$Y$65,0),0))</f>
        <v>0</v>
      </c>
      <c r="W268" s="497">
        <f t="shared" si="118"/>
        <v>0</v>
      </c>
      <c r="X268" s="497">
        <f t="shared" si="105"/>
        <v>1800000</v>
      </c>
      <c r="Y268" s="493"/>
      <c r="Z268" s="493"/>
      <c r="AB268" s="492">
        <v>264</v>
      </c>
      <c r="AC268" s="492">
        <v>22</v>
      </c>
      <c r="AD268" s="497">
        <f>IF(('Comparison Calculator'!$E$11-AC268)&gt;=0,0,IFERROR(-PPMT($AH$66/12,(AB268-60),($F$1-5)*12,$AH$65),0))</f>
        <v>0</v>
      </c>
      <c r="AE268" s="497">
        <f>IF(('Comparison Calculator'!$E$11-AC268)&gt;=0,$C$1*$AH$66/12,IFERROR(-IPMT($AH$66/12,(AB268-60),($F$1-5)*12,$AH$65,0),0))</f>
        <v>0</v>
      </c>
      <c r="AF268" s="497">
        <f t="shared" si="119"/>
        <v>0</v>
      </c>
      <c r="AG268" s="497">
        <f t="shared" si="106"/>
        <v>1800000</v>
      </c>
      <c r="AH268" s="493"/>
      <c r="AI268" s="493"/>
      <c r="AK268" s="492">
        <v>264</v>
      </c>
      <c r="AL268" s="492">
        <v>22</v>
      </c>
      <c r="AM268" s="497">
        <f>IF(('Comparison Calculator'!$E$11-AL268)&gt;=0,0,IFERROR(-PPMT($AQ$66/12,(AK268-60),($F$1-5)*12,$AQ$65),0))</f>
        <v>0</v>
      </c>
      <c r="AN268" s="497">
        <f>IF(('Comparison Calculator'!$E$11-AL268)&gt;=0,$C$1*$AQ$66/12,IFERROR(-IPMT($AQ$66/12,(AK268-60),($F$1-5)*12,$AQ$65,0),0))</f>
        <v>0</v>
      </c>
      <c r="AO268" s="497">
        <f t="shared" si="120"/>
        <v>0</v>
      </c>
      <c r="AP268" s="497">
        <f t="shared" si="107"/>
        <v>1800000</v>
      </c>
      <c r="AQ268" s="493"/>
      <c r="AR268" s="493"/>
      <c r="AT268" s="492">
        <v>264</v>
      </c>
      <c r="AU268" s="492">
        <v>22</v>
      </c>
      <c r="AV268" s="497">
        <f>IF(('Comparison Calculator'!$E$11-AU268)&gt;=0,0,IFERROR(-PPMT($AZ$66/12,(AT268-60),($F$1-5)*12,$AZ$65),0))</f>
        <v>0</v>
      </c>
      <c r="AW268" s="497">
        <f>IF(('Comparison Calculator'!$E$11-AU268)&gt;=0,$C$1*$AZ$66/12,IFERROR(-IPMT($AZ$66/12,(AT268-60),($F$1-5)*12,$AZ$65,0),0))</f>
        <v>0</v>
      </c>
      <c r="AX268" s="497">
        <f t="shared" si="121"/>
        <v>0</v>
      </c>
      <c r="AY268" s="497">
        <f t="shared" si="108"/>
        <v>1800000</v>
      </c>
      <c r="AZ268" s="493"/>
      <c r="BA268" s="493"/>
      <c r="BC268" s="492">
        <v>264</v>
      </c>
      <c r="BD268" s="492">
        <v>22</v>
      </c>
      <c r="BE268" s="497">
        <f>IF(('Comparison Calculator'!$E$11-BD268)&gt;=0,0,IFERROR(-PPMT($BI$66/12,(BC268-60),($F$1-5)*12,$BI$65),0))</f>
        <v>0</v>
      </c>
      <c r="BF268" s="497">
        <f>IF(('Comparison Calculator'!$E$11-BD268)&gt;=0,$C$1*$BI$66/12,IFERROR(-IPMT($BI$66/12,(BC268-60),($F$1-5)*12,$BI$65,0),0))</f>
        <v>0</v>
      </c>
      <c r="BG268" s="497">
        <f t="shared" si="122"/>
        <v>0</v>
      </c>
      <c r="BH268" s="497">
        <f t="shared" si="109"/>
        <v>1800000</v>
      </c>
      <c r="BI268" s="493"/>
      <c r="BJ268" s="493"/>
      <c r="BK268" s="492">
        <v>264</v>
      </c>
      <c r="BL268" s="492">
        <v>22</v>
      </c>
      <c r="BM268" s="497">
        <f>IF(('Comparison Calculator'!$E$11-BL268)&gt;=0,0,IFERROR(-PPMT($BQ$66/12,(BK268-60),($F$1-5)*12,$BQ$65),0))</f>
        <v>0</v>
      </c>
      <c r="BN268" s="497">
        <f>IF(('Comparison Calculator'!$E$11-BL268)&gt;=0,$C$1*$BQ$66/12,IFERROR(-IPMT($BQ$66/12,(BK268-60),($F$1-5)*12,$BQ$65,0),0))</f>
        <v>0</v>
      </c>
      <c r="BO268" s="497">
        <f t="shared" si="123"/>
        <v>0</v>
      </c>
      <c r="BP268" s="497">
        <f t="shared" si="110"/>
        <v>1800000</v>
      </c>
      <c r="BQ268" s="493"/>
      <c r="BR268" s="493"/>
      <c r="BT268" s="492">
        <v>264</v>
      </c>
      <c r="BU268" s="492">
        <v>22</v>
      </c>
      <c r="BV268" s="497">
        <f>IF(('Comparison Calculator'!$E$11-BU268)&gt;=0,0,IFERROR(-PPMT($BZ$66/12,(BT268-60),($F$1-5)*12,$BZ$65),0))</f>
        <v>0</v>
      </c>
      <c r="BW268" s="497">
        <f>IF(('Comparison Calculator'!$E$11-BU268)&gt;=0,$C$1*$BZ$66/12,IFERROR(-IPMT($BZ$66/12,(BT268-60),($F$1-5)*12,$BZ$65,0),0))</f>
        <v>0</v>
      </c>
      <c r="BX268" s="497">
        <f t="shared" si="124"/>
        <v>0</v>
      </c>
      <c r="BY268" s="497">
        <f t="shared" si="111"/>
        <v>1800000</v>
      </c>
      <c r="BZ268" s="493"/>
      <c r="CA268" s="493"/>
      <c r="CC268" s="492">
        <v>264</v>
      </c>
      <c r="CD268" s="492">
        <v>22</v>
      </c>
      <c r="CE268" s="497">
        <f>IF(('Comparison Calculator'!$E$11-CD268)&gt;=0,0,IFERROR(-PPMT($CI$66/12,(CC268-60),($F$1-5)*12,$CI$65),0))</f>
        <v>0</v>
      </c>
      <c r="CF268" s="497">
        <f>IF(('Comparison Calculator'!$E$11-CD268)&gt;=0,$C$1*$CI$66/12,IFERROR(-IPMT($CI$66/12,(CC268-60),($F$1-5)*12,$CI$65,0),0))</f>
        <v>0</v>
      </c>
      <c r="CG268" s="497">
        <f t="shared" si="125"/>
        <v>0</v>
      </c>
      <c r="CH268" s="497">
        <f t="shared" si="112"/>
        <v>1800000</v>
      </c>
      <c r="CI268" s="493"/>
      <c r="CJ268" s="493"/>
      <c r="CL268" s="492">
        <v>264</v>
      </c>
      <c r="CM268" s="492">
        <v>22</v>
      </c>
      <c r="CN268" s="497">
        <f>IF(('Comparison Calculator'!$E$11-CM268)&gt;=0,0,IFERROR(-PPMT($CR$66/12,(CL268-60),($F$1-5)*12,$CR$65),0))</f>
        <v>0</v>
      </c>
      <c r="CO268" s="497">
        <f>IF(('Comparison Calculator'!$E$11-CM268)&gt;=0,$C$1*$CI$66/12,IFERROR(-IPMT($CI$66/12,(CL268-60),($F$1-5)*12,$CI$65,0),0))</f>
        <v>0</v>
      </c>
      <c r="CP268" s="497">
        <f t="shared" si="126"/>
        <v>0</v>
      </c>
      <c r="CQ268" s="497">
        <f t="shared" si="113"/>
        <v>1800000</v>
      </c>
      <c r="CR268" s="493"/>
      <c r="CS268" s="493"/>
      <c r="CU268" s="492">
        <v>264</v>
      </c>
      <c r="CV268" s="492">
        <v>22</v>
      </c>
      <c r="CW268" s="497">
        <f>IF(('Comparison Calculator'!$E$11-CV268)&gt;=0,0,IFERROR(-PPMT($DA$66/12,(CU268-60),($F$1-5)*12,$DA$65),0))</f>
        <v>0</v>
      </c>
      <c r="CX268" s="497">
        <f>IF(('Comparison Calculator'!$E$11-CV268)&gt;=0,$C$1*$DA$66/12,IFERROR(-IPMT($DA$66/12,(CU268-60),($F$1-5)*12,$DA$65,0),0))</f>
        <v>0</v>
      </c>
      <c r="CY268" s="497">
        <f t="shared" si="127"/>
        <v>0</v>
      </c>
      <c r="CZ268" s="497">
        <f t="shared" si="114"/>
        <v>1800000</v>
      </c>
      <c r="DA268" s="493"/>
      <c r="DB268" s="493"/>
      <c r="DD268" s="492">
        <v>264</v>
      </c>
      <c r="DE268" s="492">
        <v>22</v>
      </c>
      <c r="DF268" s="497">
        <f>IF(('Comparison Calculator'!$E$11-DE268)&gt;=0,0,IFERROR(-PPMT($DJ$66/12,(DD268-60),($F$1-5)*12,$DJ$65),0))</f>
        <v>0</v>
      </c>
      <c r="DG268" s="497">
        <f>IF(('Comparison Calculator'!$E$11-DE268)&gt;=0,$C$1*$DJ$66/12,IFERROR(-IPMT($DJ$66/12,(DD268-60),($F$1-5)*12,$DJ$65,0),0))</f>
        <v>0</v>
      </c>
      <c r="DH268" s="497">
        <f t="shared" si="128"/>
        <v>0</v>
      </c>
      <c r="DI268" s="497">
        <f t="shared" si="115"/>
        <v>1800000</v>
      </c>
      <c r="DJ268" s="493"/>
      <c r="DK268" s="493"/>
    </row>
    <row r="269" spans="1:115">
      <c r="A269" s="492">
        <v>265</v>
      </c>
      <c r="B269" s="492">
        <v>23</v>
      </c>
      <c r="C269" s="497">
        <f>IF(('Comparison Calculator'!$E$11-B269)&gt;=0,0,IFERROR(-PPMT($G$66/12,(A269-60),($F$1-5)*12,$G$65),0))</f>
        <v>0</v>
      </c>
      <c r="D269" s="497">
        <f>IF(('Comparison Calculator'!$E$11-B269)&gt;=0,$C$1*$G$66/12,IFERROR(-IPMT($G$66/12,(A269-60),($F$1-5)*12,$G$65,0),0))</f>
        <v>0</v>
      </c>
      <c r="E269" s="497">
        <f t="shared" si="116"/>
        <v>0</v>
      </c>
      <c r="F269" s="497">
        <f t="shared" si="129"/>
        <v>1800000</v>
      </c>
      <c r="G269" s="493"/>
      <c r="H269" s="493"/>
      <c r="I269" s="489"/>
      <c r="J269" s="492">
        <v>265</v>
      </c>
      <c r="K269" s="492">
        <v>23</v>
      </c>
      <c r="L269" s="497">
        <f>IF(('Comparison Calculator'!$E$11-K269)&gt;=0,0,IFERROR(-PPMT($P$66/12,(J269-60),($F$1-5)*12,$P$65),0))</f>
        <v>0</v>
      </c>
      <c r="M269" s="497">
        <f>IF(('Comparison Calculator'!$E$11-K269)&gt;=0,$C$1*$P$66/12,IFERROR(-IPMT($P$66/12,(J269-60),($F$1-5)*12,$P$65,0),0))</f>
        <v>0</v>
      </c>
      <c r="N269" s="497">
        <f t="shared" si="117"/>
        <v>0</v>
      </c>
      <c r="O269" s="497">
        <f t="shared" si="104"/>
        <v>1800000</v>
      </c>
      <c r="P269" s="493"/>
      <c r="Q269" s="493"/>
      <c r="S269" s="492">
        <v>265</v>
      </c>
      <c r="T269" s="492">
        <v>23</v>
      </c>
      <c r="U269" s="497">
        <f>IF(('Comparison Calculator'!$E$11-T269)&gt;=0,0,IFERROR(-PPMT($Y$66/12,(S269-60),($F$1-5)*12,$Y$65),0))</f>
        <v>0</v>
      </c>
      <c r="V269" s="497">
        <f>IF(('Comparison Calculator'!$E$11-T269)&gt;=0,$C$1*$Y$66/12,IFERROR(-IPMT($Y$66/12,(S269-60),($F$1-5)*12,$Y$65,0),0))</f>
        <v>0</v>
      </c>
      <c r="W269" s="497">
        <f t="shared" si="118"/>
        <v>0</v>
      </c>
      <c r="X269" s="497">
        <f t="shared" si="105"/>
        <v>1800000</v>
      </c>
      <c r="Y269" s="493"/>
      <c r="Z269" s="493"/>
      <c r="AB269" s="492">
        <v>265</v>
      </c>
      <c r="AC269" s="492">
        <v>23</v>
      </c>
      <c r="AD269" s="497">
        <f>IF(('Comparison Calculator'!$E$11-AC269)&gt;=0,0,IFERROR(-PPMT($AH$66/12,(AB269-60),($F$1-5)*12,$AH$65),0))</f>
        <v>0</v>
      </c>
      <c r="AE269" s="497">
        <f>IF(('Comparison Calculator'!$E$11-AC269)&gt;=0,$C$1*$AH$66/12,IFERROR(-IPMT($AH$66/12,(AB269-60),($F$1-5)*12,$AH$65,0),0))</f>
        <v>0</v>
      </c>
      <c r="AF269" s="497">
        <f t="shared" si="119"/>
        <v>0</v>
      </c>
      <c r="AG269" s="497">
        <f t="shared" si="106"/>
        <v>1800000</v>
      </c>
      <c r="AH269" s="493"/>
      <c r="AI269" s="493"/>
      <c r="AK269" s="492">
        <v>265</v>
      </c>
      <c r="AL269" s="492">
        <v>23</v>
      </c>
      <c r="AM269" s="497">
        <f>IF(('Comparison Calculator'!$E$11-AL269)&gt;=0,0,IFERROR(-PPMT($AQ$66/12,(AK269-60),($F$1-5)*12,$AQ$65),0))</f>
        <v>0</v>
      </c>
      <c r="AN269" s="497">
        <f>IF(('Comparison Calculator'!$E$11-AL269)&gt;=0,$C$1*$AQ$66/12,IFERROR(-IPMT($AQ$66/12,(AK269-60),($F$1-5)*12,$AQ$65,0),0))</f>
        <v>0</v>
      </c>
      <c r="AO269" s="497">
        <f t="shared" si="120"/>
        <v>0</v>
      </c>
      <c r="AP269" s="497">
        <f t="shared" si="107"/>
        <v>1800000</v>
      </c>
      <c r="AQ269" s="493"/>
      <c r="AR269" s="493"/>
      <c r="AT269" s="492">
        <v>265</v>
      </c>
      <c r="AU269" s="492">
        <v>23</v>
      </c>
      <c r="AV269" s="497">
        <f>IF(('Comparison Calculator'!$E$11-AU269)&gt;=0,0,IFERROR(-PPMT($AZ$66/12,(AT269-60),($F$1-5)*12,$AZ$65),0))</f>
        <v>0</v>
      </c>
      <c r="AW269" s="497">
        <f>IF(('Comparison Calculator'!$E$11-AU269)&gt;=0,$C$1*$AZ$66/12,IFERROR(-IPMT($AZ$66/12,(AT269-60),($F$1-5)*12,$AZ$65,0),0))</f>
        <v>0</v>
      </c>
      <c r="AX269" s="497">
        <f t="shared" si="121"/>
        <v>0</v>
      </c>
      <c r="AY269" s="497">
        <f t="shared" si="108"/>
        <v>1800000</v>
      </c>
      <c r="AZ269" s="493"/>
      <c r="BA269" s="493"/>
      <c r="BC269" s="492">
        <v>265</v>
      </c>
      <c r="BD269" s="492">
        <v>23</v>
      </c>
      <c r="BE269" s="497">
        <f>IF(('Comparison Calculator'!$E$11-BD269)&gt;=0,0,IFERROR(-PPMT($BI$66/12,(BC269-60),($F$1-5)*12,$BI$65),0))</f>
        <v>0</v>
      </c>
      <c r="BF269" s="497">
        <f>IF(('Comparison Calculator'!$E$11-BD269)&gt;=0,$C$1*$BI$66/12,IFERROR(-IPMT($BI$66/12,(BC269-60),($F$1-5)*12,$BI$65,0),0))</f>
        <v>0</v>
      </c>
      <c r="BG269" s="497">
        <f t="shared" si="122"/>
        <v>0</v>
      </c>
      <c r="BH269" s="497">
        <f t="shared" si="109"/>
        <v>1800000</v>
      </c>
      <c r="BI269" s="493"/>
      <c r="BJ269" s="493"/>
      <c r="BK269" s="492">
        <v>265</v>
      </c>
      <c r="BL269" s="492">
        <v>23</v>
      </c>
      <c r="BM269" s="497">
        <f>IF(('Comparison Calculator'!$E$11-BL269)&gt;=0,0,IFERROR(-PPMT($BQ$66/12,(BK269-60),($F$1-5)*12,$BQ$65),0))</f>
        <v>0</v>
      </c>
      <c r="BN269" s="497">
        <f>IF(('Comparison Calculator'!$E$11-BL269)&gt;=0,$C$1*$BQ$66/12,IFERROR(-IPMT($BQ$66/12,(BK269-60),($F$1-5)*12,$BQ$65,0),0))</f>
        <v>0</v>
      </c>
      <c r="BO269" s="497">
        <f t="shared" si="123"/>
        <v>0</v>
      </c>
      <c r="BP269" s="497">
        <f t="shared" si="110"/>
        <v>1800000</v>
      </c>
      <c r="BQ269" s="493"/>
      <c r="BR269" s="493"/>
      <c r="BT269" s="492">
        <v>265</v>
      </c>
      <c r="BU269" s="492">
        <v>23</v>
      </c>
      <c r="BV269" s="497">
        <f>IF(('Comparison Calculator'!$E$11-BU269)&gt;=0,0,IFERROR(-PPMT($BZ$66/12,(BT269-60),($F$1-5)*12,$BZ$65),0))</f>
        <v>0</v>
      </c>
      <c r="BW269" s="497">
        <f>IF(('Comparison Calculator'!$E$11-BU269)&gt;=0,$C$1*$BZ$66/12,IFERROR(-IPMT($BZ$66/12,(BT269-60),($F$1-5)*12,$BZ$65,0),0))</f>
        <v>0</v>
      </c>
      <c r="BX269" s="497">
        <f t="shared" si="124"/>
        <v>0</v>
      </c>
      <c r="BY269" s="497">
        <f t="shared" si="111"/>
        <v>1800000</v>
      </c>
      <c r="BZ269" s="493"/>
      <c r="CA269" s="493"/>
      <c r="CC269" s="492">
        <v>265</v>
      </c>
      <c r="CD269" s="492">
        <v>23</v>
      </c>
      <c r="CE269" s="497">
        <f>IF(('Comparison Calculator'!$E$11-CD269)&gt;=0,0,IFERROR(-PPMT($CI$66/12,(CC269-60),($F$1-5)*12,$CI$65),0))</f>
        <v>0</v>
      </c>
      <c r="CF269" s="497">
        <f>IF(('Comparison Calculator'!$E$11-CD269)&gt;=0,$C$1*$CI$66/12,IFERROR(-IPMT($CI$66/12,(CC269-60),($F$1-5)*12,$CI$65,0),0))</f>
        <v>0</v>
      </c>
      <c r="CG269" s="497">
        <f t="shared" si="125"/>
        <v>0</v>
      </c>
      <c r="CH269" s="497">
        <f t="shared" si="112"/>
        <v>1800000</v>
      </c>
      <c r="CI269" s="493"/>
      <c r="CJ269" s="493"/>
      <c r="CL269" s="492">
        <v>265</v>
      </c>
      <c r="CM269" s="492">
        <v>23</v>
      </c>
      <c r="CN269" s="497">
        <f>IF(('Comparison Calculator'!$E$11-CM269)&gt;=0,0,IFERROR(-PPMT($CR$66/12,(CL269-60),($F$1-5)*12,$CR$65),0))</f>
        <v>0</v>
      </c>
      <c r="CO269" s="497">
        <f>IF(('Comparison Calculator'!$E$11-CM269)&gt;=0,$C$1*$CI$66/12,IFERROR(-IPMT($CI$66/12,(CL269-60),($F$1-5)*12,$CI$65,0),0))</f>
        <v>0</v>
      </c>
      <c r="CP269" s="497">
        <f t="shared" si="126"/>
        <v>0</v>
      </c>
      <c r="CQ269" s="497">
        <f t="shared" si="113"/>
        <v>1800000</v>
      </c>
      <c r="CR269" s="493"/>
      <c r="CS269" s="493"/>
      <c r="CU269" s="492">
        <v>265</v>
      </c>
      <c r="CV269" s="492">
        <v>23</v>
      </c>
      <c r="CW269" s="497">
        <f>IF(('Comparison Calculator'!$E$11-CV269)&gt;=0,0,IFERROR(-PPMT($DA$66/12,(CU269-60),($F$1-5)*12,$DA$65),0))</f>
        <v>0</v>
      </c>
      <c r="CX269" s="497">
        <f>IF(('Comparison Calculator'!$E$11-CV269)&gt;=0,$C$1*$DA$66/12,IFERROR(-IPMT($DA$66/12,(CU269-60),($F$1-5)*12,$DA$65,0),0))</f>
        <v>0</v>
      </c>
      <c r="CY269" s="497">
        <f t="shared" si="127"/>
        <v>0</v>
      </c>
      <c r="CZ269" s="497">
        <f t="shared" si="114"/>
        <v>1800000</v>
      </c>
      <c r="DA269" s="493"/>
      <c r="DB269" s="493"/>
      <c r="DD269" s="492">
        <v>265</v>
      </c>
      <c r="DE269" s="492">
        <v>23</v>
      </c>
      <c r="DF269" s="497">
        <f>IF(('Comparison Calculator'!$E$11-DE269)&gt;=0,0,IFERROR(-PPMT($DJ$66/12,(DD269-60),($F$1-5)*12,$DJ$65),0))</f>
        <v>0</v>
      </c>
      <c r="DG269" s="497">
        <f>IF(('Comparison Calculator'!$E$11-DE269)&gt;=0,$C$1*$DJ$66/12,IFERROR(-IPMT($DJ$66/12,(DD269-60),($F$1-5)*12,$DJ$65,0),0))</f>
        <v>0</v>
      </c>
      <c r="DH269" s="497">
        <f t="shared" si="128"/>
        <v>0</v>
      </c>
      <c r="DI269" s="497">
        <f t="shared" si="115"/>
        <v>1800000</v>
      </c>
      <c r="DJ269" s="493"/>
      <c r="DK269" s="493"/>
    </row>
    <row r="270" spans="1:115">
      <c r="A270" s="492">
        <v>266</v>
      </c>
      <c r="B270" s="492">
        <v>23</v>
      </c>
      <c r="C270" s="497">
        <f>IF(('Comparison Calculator'!$E$11-B270)&gt;=0,0,IFERROR(-PPMT($G$66/12,(A270-60),($F$1-5)*12,$G$65),0))</f>
        <v>0</v>
      </c>
      <c r="D270" s="497">
        <f>IF(('Comparison Calculator'!$E$11-B270)&gt;=0,$C$1*$G$66/12,IFERROR(-IPMT($G$66/12,(A270-60),($F$1-5)*12,$G$65,0),0))</f>
        <v>0</v>
      </c>
      <c r="E270" s="497">
        <f t="shared" si="116"/>
        <v>0</v>
      </c>
      <c r="F270" s="497">
        <f t="shared" si="129"/>
        <v>1800000</v>
      </c>
      <c r="G270" s="493"/>
      <c r="H270" s="493"/>
      <c r="I270" s="489"/>
      <c r="J270" s="492">
        <v>266</v>
      </c>
      <c r="K270" s="492">
        <v>23</v>
      </c>
      <c r="L270" s="497">
        <f>IF(('Comparison Calculator'!$E$11-K270)&gt;=0,0,IFERROR(-PPMT($P$66/12,(J270-60),($F$1-5)*12,$P$65),0))</f>
        <v>0</v>
      </c>
      <c r="M270" s="497">
        <f>IF(('Comparison Calculator'!$E$11-K270)&gt;=0,$C$1*$P$66/12,IFERROR(-IPMT($P$66/12,(J270-60),($F$1-5)*12,$P$65,0),0))</f>
        <v>0</v>
      </c>
      <c r="N270" s="497">
        <f t="shared" si="117"/>
        <v>0</v>
      </c>
      <c r="O270" s="497">
        <f t="shared" si="104"/>
        <v>1800000</v>
      </c>
      <c r="P270" s="493"/>
      <c r="Q270" s="493"/>
      <c r="S270" s="492">
        <v>266</v>
      </c>
      <c r="T270" s="492">
        <v>23</v>
      </c>
      <c r="U270" s="497">
        <f>IF(('Comparison Calculator'!$E$11-T270)&gt;=0,0,IFERROR(-PPMT($Y$66/12,(S270-60),($F$1-5)*12,$Y$65),0))</f>
        <v>0</v>
      </c>
      <c r="V270" s="497">
        <f>IF(('Comparison Calculator'!$E$11-T270)&gt;=0,$C$1*$Y$66/12,IFERROR(-IPMT($Y$66/12,(S270-60),($F$1-5)*12,$Y$65,0),0))</f>
        <v>0</v>
      </c>
      <c r="W270" s="497">
        <f t="shared" si="118"/>
        <v>0</v>
      </c>
      <c r="X270" s="497">
        <f t="shared" si="105"/>
        <v>1800000</v>
      </c>
      <c r="Y270" s="493"/>
      <c r="Z270" s="493"/>
      <c r="AB270" s="492">
        <v>266</v>
      </c>
      <c r="AC270" s="492">
        <v>23</v>
      </c>
      <c r="AD270" s="497">
        <f>IF(('Comparison Calculator'!$E$11-AC270)&gt;=0,0,IFERROR(-PPMT($AH$66/12,(AB270-60),($F$1-5)*12,$AH$65),0))</f>
        <v>0</v>
      </c>
      <c r="AE270" s="497">
        <f>IF(('Comparison Calculator'!$E$11-AC270)&gt;=0,$C$1*$AH$66/12,IFERROR(-IPMT($AH$66/12,(AB270-60),($F$1-5)*12,$AH$65,0),0))</f>
        <v>0</v>
      </c>
      <c r="AF270" s="497">
        <f t="shared" si="119"/>
        <v>0</v>
      </c>
      <c r="AG270" s="497">
        <f t="shared" si="106"/>
        <v>1800000</v>
      </c>
      <c r="AH270" s="493"/>
      <c r="AI270" s="493"/>
      <c r="AK270" s="492">
        <v>266</v>
      </c>
      <c r="AL270" s="492">
        <v>23</v>
      </c>
      <c r="AM270" s="497">
        <f>IF(('Comparison Calculator'!$E$11-AL270)&gt;=0,0,IFERROR(-PPMT($AQ$66/12,(AK270-60),($F$1-5)*12,$AQ$65),0))</f>
        <v>0</v>
      </c>
      <c r="AN270" s="497">
        <f>IF(('Comparison Calculator'!$E$11-AL270)&gt;=0,$C$1*$AQ$66/12,IFERROR(-IPMT($AQ$66/12,(AK270-60),($F$1-5)*12,$AQ$65,0),0))</f>
        <v>0</v>
      </c>
      <c r="AO270" s="497">
        <f t="shared" si="120"/>
        <v>0</v>
      </c>
      <c r="AP270" s="497">
        <f t="shared" si="107"/>
        <v>1800000</v>
      </c>
      <c r="AQ270" s="493"/>
      <c r="AR270" s="493"/>
      <c r="AT270" s="492">
        <v>266</v>
      </c>
      <c r="AU270" s="492">
        <v>23</v>
      </c>
      <c r="AV270" s="497">
        <f>IF(('Comparison Calculator'!$E$11-AU270)&gt;=0,0,IFERROR(-PPMT($AZ$66/12,(AT270-60),($F$1-5)*12,$AZ$65),0))</f>
        <v>0</v>
      </c>
      <c r="AW270" s="497">
        <f>IF(('Comparison Calculator'!$E$11-AU270)&gt;=0,$C$1*$AZ$66/12,IFERROR(-IPMT($AZ$66/12,(AT270-60),($F$1-5)*12,$AZ$65,0),0))</f>
        <v>0</v>
      </c>
      <c r="AX270" s="497">
        <f t="shared" si="121"/>
        <v>0</v>
      </c>
      <c r="AY270" s="497">
        <f t="shared" si="108"/>
        <v>1800000</v>
      </c>
      <c r="AZ270" s="493"/>
      <c r="BA270" s="493"/>
      <c r="BC270" s="492">
        <v>266</v>
      </c>
      <c r="BD270" s="492">
        <v>23</v>
      </c>
      <c r="BE270" s="497">
        <f>IF(('Comparison Calculator'!$E$11-BD270)&gt;=0,0,IFERROR(-PPMT($BI$66/12,(BC270-60),($F$1-5)*12,$BI$65),0))</f>
        <v>0</v>
      </c>
      <c r="BF270" s="497">
        <f>IF(('Comparison Calculator'!$E$11-BD270)&gt;=0,$C$1*$BI$66/12,IFERROR(-IPMT($BI$66/12,(BC270-60),($F$1-5)*12,$BI$65,0),0))</f>
        <v>0</v>
      </c>
      <c r="BG270" s="497">
        <f t="shared" si="122"/>
        <v>0</v>
      </c>
      <c r="BH270" s="497">
        <f t="shared" si="109"/>
        <v>1800000</v>
      </c>
      <c r="BI270" s="493"/>
      <c r="BJ270" s="493"/>
      <c r="BK270" s="492">
        <v>266</v>
      </c>
      <c r="BL270" s="492">
        <v>23</v>
      </c>
      <c r="BM270" s="497">
        <f>IF(('Comparison Calculator'!$E$11-BL270)&gt;=0,0,IFERROR(-PPMT($BQ$66/12,(BK270-60),($F$1-5)*12,$BQ$65),0))</f>
        <v>0</v>
      </c>
      <c r="BN270" s="497">
        <f>IF(('Comparison Calculator'!$E$11-BL270)&gt;=0,$C$1*$BQ$66/12,IFERROR(-IPMT($BQ$66/12,(BK270-60),($F$1-5)*12,$BQ$65,0),0))</f>
        <v>0</v>
      </c>
      <c r="BO270" s="497">
        <f t="shared" si="123"/>
        <v>0</v>
      </c>
      <c r="BP270" s="497">
        <f t="shared" si="110"/>
        <v>1800000</v>
      </c>
      <c r="BQ270" s="493"/>
      <c r="BR270" s="493"/>
      <c r="BT270" s="492">
        <v>266</v>
      </c>
      <c r="BU270" s="492">
        <v>23</v>
      </c>
      <c r="BV270" s="497">
        <f>IF(('Comparison Calculator'!$E$11-BU270)&gt;=0,0,IFERROR(-PPMT($BZ$66/12,(BT270-60),($F$1-5)*12,$BZ$65),0))</f>
        <v>0</v>
      </c>
      <c r="BW270" s="497">
        <f>IF(('Comparison Calculator'!$E$11-BU270)&gt;=0,$C$1*$BZ$66/12,IFERROR(-IPMT($BZ$66/12,(BT270-60),($F$1-5)*12,$BZ$65,0),0))</f>
        <v>0</v>
      </c>
      <c r="BX270" s="497">
        <f t="shared" si="124"/>
        <v>0</v>
      </c>
      <c r="BY270" s="497">
        <f t="shared" si="111"/>
        <v>1800000</v>
      </c>
      <c r="BZ270" s="493"/>
      <c r="CA270" s="493"/>
      <c r="CC270" s="492">
        <v>266</v>
      </c>
      <c r="CD270" s="492">
        <v>23</v>
      </c>
      <c r="CE270" s="497">
        <f>IF(('Comparison Calculator'!$E$11-CD270)&gt;=0,0,IFERROR(-PPMT($CI$66/12,(CC270-60),($F$1-5)*12,$CI$65),0))</f>
        <v>0</v>
      </c>
      <c r="CF270" s="497">
        <f>IF(('Comparison Calculator'!$E$11-CD270)&gt;=0,$C$1*$CI$66/12,IFERROR(-IPMT($CI$66/12,(CC270-60),($F$1-5)*12,$CI$65,0),0))</f>
        <v>0</v>
      </c>
      <c r="CG270" s="497">
        <f t="shared" si="125"/>
        <v>0</v>
      </c>
      <c r="CH270" s="497">
        <f t="shared" si="112"/>
        <v>1800000</v>
      </c>
      <c r="CI270" s="493"/>
      <c r="CJ270" s="493"/>
      <c r="CL270" s="492">
        <v>266</v>
      </c>
      <c r="CM270" s="492">
        <v>23</v>
      </c>
      <c r="CN270" s="497">
        <f>IF(('Comparison Calculator'!$E$11-CM270)&gt;=0,0,IFERROR(-PPMT($CR$66/12,(CL270-60),($F$1-5)*12,$CR$65),0))</f>
        <v>0</v>
      </c>
      <c r="CO270" s="497">
        <f>IF(('Comparison Calculator'!$E$11-CM270)&gt;=0,$C$1*$CI$66/12,IFERROR(-IPMT($CI$66/12,(CL270-60),($F$1-5)*12,$CI$65,0),0))</f>
        <v>0</v>
      </c>
      <c r="CP270" s="497">
        <f t="shared" si="126"/>
        <v>0</v>
      </c>
      <c r="CQ270" s="497">
        <f t="shared" si="113"/>
        <v>1800000</v>
      </c>
      <c r="CR270" s="493"/>
      <c r="CS270" s="493"/>
      <c r="CU270" s="492">
        <v>266</v>
      </c>
      <c r="CV270" s="492">
        <v>23</v>
      </c>
      <c r="CW270" s="497">
        <f>IF(('Comparison Calculator'!$E$11-CV270)&gt;=0,0,IFERROR(-PPMT($DA$66/12,(CU270-60),($F$1-5)*12,$DA$65),0))</f>
        <v>0</v>
      </c>
      <c r="CX270" s="497">
        <f>IF(('Comparison Calculator'!$E$11-CV270)&gt;=0,$C$1*$DA$66/12,IFERROR(-IPMT($DA$66/12,(CU270-60),($F$1-5)*12,$DA$65,0),0))</f>
        <v>0</v>
      </c>
      <c r="CY270" s="497">
        <f t="shared" si="127"/>
        <v>0</v>
      </c>
      <c r="CZ270" s="497">
        <f t="shared" si="114"/>
        <v>1800000</v>
      </c>
      <c r="DA270" s="493"/>
      <c r="DB270" s="493"/>
      <c r="DD270" s="492">
        <v>266</v>
      </c>
      <c r="DE270" s="492">
        <v>23</v>
      </c>
      <c r="DF270" s="497">
        <f>IF(('Comparison Calculator'!$E$11-DE270)&gt;=0,0,IFERROR(-PPMT($DJ$66/12,(DD270-60),($F$1-5)*12,$DJ$65),0))</f>
        <v>0</v>
      </c>
      <c r="DG270" s="497">
        <f>IF(('Comparison Calculator'!$E$11-DE270)&gt;=0,$C$1*$DJ$66/12,IFERROR(-IPMT($DJ$66/12,(DD270-60),($F$1-5)*12,$DJ$65,0),0))</f>
        <v>0</v>
      </c>
      <c r="DH270" s="497">
        <f t="shared" si="128"/>
        <v>0</v>
      </c>
      <c r="DI270" s="497">
        <f t="shared" si="115"/>
        <v>1800000</v>
      </c>
      <c r="DJ270" s="493"/>
      <c r="DK270" s="493"/>
    </row>
    <row r="271" spans="1:115">
      <c r="A271" s="492">
        <v>267</v>
      </c>
      <c r="B271" s="492">
        <v>23</v>
      </c>
      <c r="C271" s="497">
        <f>IF(('Comparison Calculator'!$E$11-B271)&gt;=0,0,IFERROR(-PPMT($G$66/12,(A271-60),($F$1-5)*12,$G$65),0))</f>
        <v>0</v>
      </c>
      <c r="D271" s="497">
        <f>IF(('Comparison Calculator'!$E$11-B271)&gt;=0,$C$1*$G$66/12,IFERROR(-IPMT($G$66/12,(A271-60),($F$1-5)*12,$G$65,0),0))</f>
        <v>0</v>
      </c>
      <c r="E271" s="497">
        <f t="shared" si="116"/>
        <v>0</v>
      </c>
      <c r="F271" s="497">
        <f t="shared" si="129"/>
        <v>1800000</v>
      </c>
      <c r="G271" s="493"/>
      <c r="H271" s="493"/>
      <c r="I271" s="489"/>
      <c r="J271" s="492">
        <v>267</v>
      </c>
      <c r="K271" s="492">
        <v>23</v>
      </c>
      <c r="L271" s="497">
        <f>IF(('Comparison Calculator'!$E$11-K271)&gt;=0,0,IFERROR(-PPMT($P$66/12,(J271-60),($F$1-5)*12,$P$65),0))</f>
        <v>0</v>
      </c>
      <c r="M271" s="497">
        <f>IF(('Comparison Calculator'!$E$11-K271)&gt;=0,$C$1*$P$66/12,IFERROR(-IPMT($P$66/12,(J271-60),($F$1-5)*12,$P$65,0),0))</f>
        <v>0</v>
      </c>
      <c r="N271" s="497">
        <f t="shared" si="117"/>
        <v>0</v>
      </c>
      <c r="O271" s="497">
        <f t="shared" si="104"/>
        <v>1800000</v>
      </c>
      <c r="P271" s="493"/>
      <c r="Q271" s="493"/>
      <c r="S271" s="492">
        <v>267</v>
      </c>
      <c r="T271" s="492">
        <v>23</v>
      </c>
      <c r="U271" s="497">
        <f>IF(('Comparison Calculator'!$E$11-T271)&gt;=0,0,IFERROR(-PPMT($Y$66/12,(S271-60),($F$1-5)*12,$Y$65),0))</f>
        <v>0</v>
      </c>
      <c r="V271" s="497">
        <f>IF(('Comparison Calculator'!$E$11-T271)&gt;=0,$C$1*$Y$66/12,IFERROR(-IPMT($Y$66/12,(S271-60),($F$1-5)*12,$Y$65,0),0))</f>
        <v>0</v>
      </c>
      <c r="W271" s="497">
        <f t="shared" si="118"/>
        <v>0</v>
      </c>
      <c r="X271" s="497">
        <f t="shared" si="105"/>
        <v>1800000</v>
      </c>
      <c r="Y271" s="493"/>
      <c r="Z271" s="493"/>
      <c r="AB271" s="492">
        <v>267</v>
      </c>
      <c r="AC271" s="492">
        <v>23</v>
      </c>
      <c r="AD271" s="497">
        <f>IF(('Comparison Calculator'!$E$11-AC271)&gt;=0,0,IFERROR(-PPMT($AH$66/12,(AB271-60),($F$1-5)*12,$AH$65),0))</f>
        <v>0</v>
      </c>
      <c r="AE271" s="497">
        <f>IF(('Comparison Calculator'!$E$11-AC271)&gt;=0,$C$1*$AH$66/12,IFERROR(-IPMT($AH$66/12,(AB271-60),($F$1-5)*12,$AH$65,0),0))</f>
        <v>0</v>
      </c>
      <c r="AF271" s="497">
        <f t="shared" si="119"/>
        <v>0</v>
      </c>
      <c r="AG271" s="497">
        <f t="shared" si="106"/>
        <v>1800000</v>
      </c>
      <c r="AH271" s="493"/>
      <c r="AI271" s="493"/>
      <c r="AK271" s="492">
        <v>267</v>
      </c>
      <c r="AL271" s="492">
        <v>23</v>
      </c>
      <c r="AM271" s="497">
        <f>IF(('Comparison Calculator'!$E$11-AL271)&gt;=0,0,IFERROR(-PPMT($AQ$66/12,(AK271-60),($F$1-5)*12,$AQ$65),0))</f>
        <v>0</v>
      </c>
      <c r="AN271" s="497">
        <f>IF(('Comparison Calculator'!$E$11-AL271)&gt;=0,$C$1*$AQ$66/12,IFERROR(-IPMT($AQ$66/12,(AK271-60),($F$1-5)*12,$AQ$65,0),0))</f>
        <v>0</v>
      </c>
      <c r="AO271" s="497">
        <f t="shared" si="120"/>
        <v>0</v>
      </c>
      <c r="AP271" s="497">
        <f t="shared" si="107"/>
        <v>1800000</v>
      </c>
      <c r="AQ271" s="493"/>
      <c r="AR271" s="493"/>
      <c r="AT271" s="492">
        <v>267</v>
      </c>
      <c r="AU271" s="492">
        <v>23</v>
      </c>
      <c r="AV271" s="497">
        <f>IF(('Comparison Calculator'!$E$11-AU271)&gt;=0,0,IFERROR(-PPMT($AZ$66/12,(AT271-60),($F$1-5)*12,$AZ$65),0))</f>
        <v>0</v>
      </c>
      <c r="AW271" s="497">
        <f>IF(('Comparison Calculator'!$E$11-AU271)&gt;=0,$C$1*$AZ$66/12,IFERROR(-IPMT($AZ$66/12,(AT271-60),($F$1-5)*12,$AZ$65,0),0))</f>
        <v>0</v>
      </c>
      <c r="AX271" s="497">
        <f t="shared" si="121"/>
        <v>0</v>
      </c>
      <c r="AY271" s="497">
        <f t="shared" si="108"/>
        <v>1800000</v>
      </c>
      <c r="AZ271" s="493"/>
      <c r="BA271" s="493"/>
      <c r="BC271" s="492">
        <v>267</v>
      </c>
      <c r="BD271" s="492">
        <v>23</v>
      </c>
      <c r="BE271" s="497">
        <f>IF(('Comparison Calculator'!$E$11-BD271)&gt;=0,0,IFERROR(-PPMT($BI$66/12,(BC271-60),($F$1-5)*12,$BI$65),0))</f>
        <v>0</v>
      </c>
      <c r="BF271" s="497">
        <f>IF(('Comparison Calculator'!$E$11-BD271)&gt;=0,$C$1*$BI$66/12,IFERROR(-IPMT($BI$66/12,(BC271-60),($F$1-5)*12,$BI$65,0),0))</f>
        <v>0</v>
      </c>
      <c r="BG271" s="497">
        <f t="shared" si="122"/>
        <v>0</v>
      </c>
      <c r="BH271" s="497">
        <f t="shared" si="109"/>
        <v>1800000</v>
      </c>
      <c r="BI271" s="493"/>
      <c r="BJ271" s="493"/>
      <c r="BK271" s="492">
        <v>267</v>
      </c>
      <c r="BL271" s="492">
        <v>23</v>
      </c>
      <c r="BM271" s="497">
        <f>IF(('Comparison Calculator'!$E$11-BL271)&gt;=0,0,IFERROR(-PPMT($BQ$66/12,(BK271-60),($F$1-5)*12,$BQ$65),0))</f>
        <v>0</v>
      </c>
      <c r="BN271" s="497">
        <f>IF(('Comparison Calculator'!$E$11-BL271)&gt;=0,$C$1*$BQ$66/12,IFERROR(-IPMT($BQ$66/12,(BK271-60),($F$1-5)*12,$BQ$65,0),0))</f>
        <v>0</v>
      </c>
      <c r="BO271" s="497">
        <f t="shared" si="123"/>
        <v>0</v>
      </c>
      <c r="BP271" s="497">
        <f t="shared" si="110"/>
        <v>1800000</v>
      </c>
      <c r="BQ271" s="493"/>
      <c r="BR271" s="493"/>
      <c r="BT271" s="492">
        <v>267</v>
      </c>
      <c r="BU271" s="492">
        <v>23</v>
      </c>
      <c r="BV271" s="497">
        <f>IF(('Comparison Calculator'!$E$11-BU271)&gt;=0,0,IFERROR(-PPMT($BZ$66/12,(BT271-60),($F$1-5)*12,$BZ$65),0))</f>
        <v>0</v>
      </c>
      <c r="BW271" s="497">
        <f>IF(('Comparison Calculator'!$E$11-BU271)&gt;=0,$C$1*$BZ$66/12,IFERROR(-IPMT($BZ$66/12,(BT271-60),($F$1-5)*12,$BZ$65,0),0))</f>
        <v>0</v>
      </c>
      <c r="BX271" s="497">
        <f t="shared" si="124"/>
        <v>0</v>
      </c>
      <c r="BY271" s="497">
        <f t="shared" si="111"/>
        <v>1800000</v>
      </c>
      <c r="BZ271" s="493"/>
      <c r="CA271" s="493"/>
      <c r="CC271" s="492">
        <v>267</v>
      </c>
      <c r="CD271" s="492">
        <v>23</v>
      </c>
      <c r="CE271" s="497">
        <f>IF(('Comparison Calculator'!$E$11-CD271)&gt;=0,0,IFERROR(-PPMT($CI$66/12,(CC271-60),($F$1-5)*12,$CI$65),0))</f>
        <v>0</v>
      </c>
      <c r="CF271" s="497">
        <f>IF(('Comparison Calculator'!$E$11-CD271)&gt;=0,$C$1*$CI$66/12,IFERROR(-IPMT($CI$66/12,(CC271-60),($F$1-5)*12,$CI$65,0),0))</f>
        <v>0</v>
      </c>
      <c r="CG271" s="497">
        <f t="shared" si="125"/>
        <v>0</v>
      </c>
      <c r="CH271" s="497">
        <f t="shared" si="112"/>
        <v>1800000</v>
      </c>
      <c r="CI271" s="493"/>
      <c r="CJ271" s="493"/>
      <c r="CL271" s="492">
        <v>267</v>
      </c>
      <c r="CM271" s="492">
        <v>23</v>
      </c>
      <c r="CN271" s="497">
        <f>IF(('Comparison Calculator'!$E$11-CM271)&gt;=0,0,IFERROR(-PPMT($CR$66/12,(CL271-60),($F$1-5)*12,$CR$65),0))</f>
        <v>0</v>
      </c>
      <c r="CO271" s="497">
        <f>IF(('Comparison Calculator'!$E$11-CM271)&gt;=0,$C$1*$CI$66/12,IFERROR(-IPMT($CI$66/12,(CL271-60),($F$1-5)*12,$CI$65,0),0))</f>
        <v>0</v>
      </c>
      <c r="CP271" s="497">
        <f t="shared" si="126"/>
        <v>0</v>
      </c>
      <c r="CQ271" s="497">
        <f t="shared" si="113"/>
        <v>1800000</v>
      </c>
      <c r="CR271" s="493"/>
      <c r="CS271" s="493"/>
      <c r="CU271" s="492">
        <v>267</v>
      </c>
      <c r="CV271" s="492">
        <v>23</v>
      </c>
      <c r="CW271" s="497">
        <f>IF(('Comparison Calculator'!$E$11-CV271)&gt;=0,0,IFERROR(-PPMT($DA$66/12,(CU271-60),($F$1-5)*12,$DA$65),0))</f>
        <v>0</v>
      </c>
      <c r="CX271" s="497">
        <f>IF(('Comparison Calculator'!$E$11-CV271)&gt;=0,$C$1*$DA$66/12,IFERROR(-IPMT($DA$66/12,(CU271-60),($F$1-5)*12,$DA$65,0),0))</f>
        <v>0</v>
      </c>
      <c r="CY271" s="497">
        <f t="shared" si="127"/>
        <v>0</v>
      </c>
      <c r="CZ271" s="497">
        <f t="shared" si="114"/>
        <v>1800000</v>
      </c>
      <c r="DA271" s="493"/>
      <c r="DB271" s="493"/>
      <c r="DD271" s="492">
        <v>267</v>
      </c>
      <c r="DE271" s="492">
        <v>23</v>
      </c>
      <c r="DF271" s="497">
        <f>IF(('Comparison Calculator'!$E$11-DE271)&gt;=0,0,IFERROR(-PPMT($DJ$66/12,(DD271-60),($F$1-5)*12,$DJ$65),0))</f>
        <v>0</v>
      </c>
      <c r="DG271" s="497">
        <f>IF(('Comparison Calculator'!$E$11-DE271)&gt;=0,$C$1*$DJ$66/12,IFERROR(-IPMT($DJ$66/12,(DD271-60),($F$1-5)*12,$DJ$65,0),0))</f>
        <v>0</v>
      </c>
      <c r="DH271" s="497">
        <f t="shared" si="128"/>
        <v>0</v>
      </c>
      <c r="DI271" s="497">
        <f t="shared" si="115"/>
        <v>1800000</v>
      </c>
      <c r="DJ271" s="493"/>
      <c r="DK271" s="493"/>
    </row>
    <row r="272" spans="1:115">
      <c r="A272" s="492">
        <v>268</v>
      </c>
      <c r="B272" s="492">
        <v>23</v>
      </c>
      <c r="C272" s="497">
        <f>IF(('Comparison Calculator'!$E$11-B272)&gt;=0,0,IFERROR(-PPMT($G$66/12,(A272-60),($F$1-5)*12,$G$65),0))</f>
        <v>0</v>
      </c>
      <c r="D272" s="497">
        <f>IF(('Comparison Calculator'!$E$11-B272)&gt;=0,$C$1*$G$66/12,IFERROR(-IPMT($G$66/12,(A272-60),($F$1-5)*12,$G$65,0),0))</f>
        <v>0</v>
      </c>
      <c r="E272" s="497">
        <f t="shared" si="116"/>
        <v>0</v>
      </c>
      <c r="F272" s="497">
        <f t="shared" si="129"/>
        <v>1800000</v>
      </c>
      <c r="G272" s="493"/>
      <c r="H272" s="493"/>
      <c r="I272" s="489"/>
      <c r="J272" s="492">
        <v>268</v>
      </c>
      <c r="K272" s="492">
        <v>23</v>
      </c>
      <c r="L272" s="497">
        <f>IF(('Comparison Calculator'!$E$11-K272)&gt;=0,0,IFERROR(-PPMT($P$66/12,(J272-60),($F$1-5)*12,$P$65),0))</f>
        <v>0</v>
      </c>
      <c r="M272" s="497">
        <f>IF(('Comparison Calculator'!$E$11-K272)&gt;=0,$C$1*$P$66/12,IFERROR(-IPMT($P$66/12,(J272-60),($F$1-5)*12,$P$65,0),0))</f>
        <v>0</v>
      </c>
      <c r="N272" s="497">
        <f t="shared" si="117"/>
        <v>0</v>
      </c>
      <c r="O272" s="497">
        <f t="shared" si="104"/>
        <v>1800000</v>
      </c>
      <c r="P272" s="493"/>
      <c r="Q272" s="493"/>
      <c r="S272" s="492">
        <v>268</v>
      </c>
      <c r="T272" s="492">
        <v>23</v>
      </c>
      <c r="U272" s="497">
        <f>IF(('Comparison Calculator'!$E$11-T272)&gt;=0,0,IFERROR(-PPMT($Y$66/12,(S272-60),($F$1-5)*12,$Y$65),0))</f>
        <v>0</v>
      </c>
      <c r="V272" s="497">
        <f>IF(('Comparison Calculator'!$E$11-T272)&gt;=0,$C$1*$Y$66/12,IFERROR(-IPMT($Y$66/12,(S272-60),($F$1-5)*12,$Y$65,0),0))</f>
        <v>0</v>
      </c>
      <c r="W272" s="497">
        <f t="shared" si="118"/>
        <v>0</v>
      </c>
      <c r="X272" s="497">
        <f t="shared" si="105"/>
        <v>1800000</v>
      </c>
      <c r="Y272" s="493"/>
      <c r="Z272" s="493"/>
      <c r="AB272" s="492">
        <v>268</v>
      </c>
      <c r="AC272" s="492">
        <v>23</v>
      </c>
      <c r="AD272" s="497">
        <f>IF(('Comparison Calculator'!$E$11-AC272)&gt;=0,0,IFERROR(-PPMT($AH$66/12,(AB272-60),($F$1-5)*12,$AH$65),0))</f>
        <v>0</v>
      </c>
      <c r="AE272" s="497">
        <f>IF(('Comparison Calculator'!$E$11-AC272)&gt;=0,$C$1*$AH$66/12,IFERROR(-IPMT($AH$66/12,(AB272-60),($F$1-5)*12,$AH$65,0),0))</f>
        <v>0</v>
      </c>
      <c r="AF272" s="497">
        <f t="shared" si="119"/>
        <v>0</v>
      </c>
      <c r="AG272" s="497">
        <f t="shared" si="106"/>
        <v>1800000</v>
      </c>
      <c r="AH272" s="493"/>
      <c r="AI272" s="493"/>
      <c r="AK272" s="492">
        <v>268</v>
      </c>
      <c r="AL272" s="492">
        <v>23</v>
      </c>
      <c r="AM272" s="497">
        <f>IF(('Comparison Calculator'!$E$11-AL272)&gt;=0,0,IFERROR(-PPMT($AQ$66/12,(AK272-60),($F$1-5)*12,$AQ$65),0))</f>
        <v>0</v>
      </c>
      <c r="AN272" s="497">
        <f>IF(('Comparison Calculator'!$E$11-AL272)&gt;=0,$C$1*$AQ$66/12,IFERROR(-IPMT($AQ$66/12,(AK272-60),($F$1-5)*12,$AQ$65,0),0))</f>
        <v>0</v>
      </c>
      <c r="AO272" s="497">
        <f t="shared" si="120"/>
        <v>0</v>
      </c>
      <c r="AP272" s="497">
        <f t="shared" si="107"/>
        <v>1800000</v>
      </c>
      <c r="AQ272" s="493"/>
      <c r="AR272" s="493"/>
      <c r="AT272" s="492">
        <v>268</v>
      </c>
      <c r="AU272" s="492">
        <v>23</v>
      </c>
      <c r="AV272" s="497">
        <f>IF(('Comparison Calculator'!$E$11-AU272)&gt;=0,0,IFERROR(-PPMT($AZ$66/12,(AT272-60),($F$1-5)*12,$AZ$65),0))</f>
        <v>0</v>
      </c>
      <c r="AW272" s="497">
        <f>IF(('Comparison Calculator'!$E$11-AU272)&gt;=0,$C$1*$AZ$66/12,IFERROR(-IPMT($AZ$66/12,(AT272-60),($F$1-5)*12,$AZ$65,0),0))</f>
        <v>0</v>
      </c>
      <c r="AX272" s="497">
        <f t="shared" si="121"/>
        <v>0</v>
      </c>
      <c r="AY272" s="497">
        <f t="shared" si="108"/>
        <v>1800000</v>
      </c>
      <c r="AZ272" s="493"/>
      <c r="BA272" s="493"/>
      <c r="BC272" s="492">
        <v>268</v>
      </c>
      <c r="BD272" s="492">
        <v>23</v>
      </c>
      <c r="BE272" s="497">
        <f>IF(('Comparison Calculator'!$E$11-BD272)&gt;=0,0,IFERROR(-PPMT($BI$66/12,(BC272-60),($F$1-5)*12,$BI$65),0))</f>
        <v>0</v>
      </c>
      <c r="BF272" s="497">
        <f>IF(('Comparison Calculator'!$E$11-BD272)&gt;=0,$C$1*$BI$66/12,IFERROR(-IPMT($BI$66/12,(BC272-60),($F$1-5)*12,$BI$65,0),0))</f>
        <v>0</v>
      </c>
      <c r="BG272" s="497">
        <f t="shared" si="122"/>
        <v>0</v>
      </c>
      <c r="BH272" s="497">
        <f t="shared" si="109"/>
        <v>1800000</v>
      </c>
      <c r="BI272" s="493"/>
      <c r="BJ272" s="493"/>
      <c r="BK272" s="492">
        <v>268</v>
      </c>
      <c r="BL272" s="492">
        <v>23</v>
      </c>
      <c r="BM272" s="497">
        <f>IF(('Comparison Calculator'!$E$11-BL272)&gt;=0,0,IFERROR(-PPMT($BQ$66/12,(BK272-60),($F$1-5)*12,$BQ$65),0))</f>
        <v>0</v>
      </c>
      <c r="BN272" s="497">
        <f>IF(('Comparison Calculator'!$E$11-BL272)&gt;=0,$C$1*$BQ$66/12,IFERROR(-IPMT($BQ$66/12,(BK272-60),($F$1-5)*12,$BQ$65,0),0))</f>
        <v>0</v>
      </c>
      <c r="BO272" s="497">
        <f t="shared" si="123"/>
        <v>0</v>
      </c>
      <c r="BP272" s="497">
        <f t="shared" si="110"/>
        <v>1800000</v>
      </c>
      <c r="BQ272" s="493"/>
      <c r="BR272" s="493"/>
      <c r="BT272" s="492">
        <v>268</v>
      </c>
      <c r="BU272" s="492">
        <v>23</v>
      </c>
      <c r="BV272" s="497">
        <f>IF(('Comparison Calculator'!$E$11-BU272)&gt;=0,0,IFERROR(-PPMT($BZ$66/12,(BT272-60),($F$1-5)*12,$BZ$65),0))</f>
        <v>0</v>
      </c>
      <c r="BW272" s="497">
        <f>IF(('Comparison Calculator'!$E$11-BU272)&gt;=0,$C$1*$BZ$66/12,IFERROR(-IPMT($BZ$66/12,(BT272-60),($F$1-5)*12,$BZ$65,0),0))</f>
        <v>0</v>
      </c>
      <c r="BX272" s="497">
        <f t="shared" si="124"/>
        <v>0</v>
      </c>
      <c r="BY272" s="497">
        <f t="shared" si="111"/>
        <v>1800000</v>
      </c>
      <c r="BZ272" s="493"/>
      <c r="CA272" s="493"/>
      <c r="CC272" s="492">
        <v>268</v>
      </c>
      <c r="CD272" s="492">
        <v>23</v>
      </c>
      <c r="CE272" s="497">
        <f>IF(('Comparison Calculator'!$E$11-CD272)&gt;=0,0,IFERROR(-PPMT($CI$66/12,(CC272-60),($F$1-5)*12,$CI$65),0))</f>
        <v>0</v>
      </c>
      <c r="CF272" s="497">
        <f>IF(('Comparison Calculator'!$E$11-CD272)&gt;=0,$C$1*$CI$66/12,IFERROR(-IPMT($CI$66/12,(CC272-60),($F$1-5)*12,$CI$65,0),0))</f>
        <v>0</v>
      </c>
      <c r="CG272" s="497">
        <f t="shared" si="125"/>
        <v>0</v>
      </c>
      <c r="CH272" s="497">
        <f t="shared" si="112"/>
        <v>1800000</v>
      </c>
      <c r="CI272" s="493"/>
      <c r="CJ272" s="493"/>
      <c r="CL272" s="492">
        <v>268</v>
      </c>
      <c r="CM272" s="492">
        <v>23</v>
      </c>
      <c r="CN272" s="497">
        <f>IF(('Comparison Calculator'!$E$11-CM272)&gt;=0,0,IFERROR(-PPMT($CR$66/12,(CL272-60),($F$1-5)*12,$CR$65),0))</f>
        <v>0</v>
      </c>
      <c r="CO272" s="497">
        <f>IF(('Comparison Calculator'!$E$11-CM272)&gt;=0,$C$1*$CI$66/12,IFERROR(-IPMT($CI$66/12,(CL272-60),($F$1-5)*12,$CI$65,0),0))</f>
        <v>0</v>
      </c>
      <c r="CP272" s="497">
        <f t="shared" si="126"/>
        <v>0</v>
      </c>
      <c r="CQ272" s="497">
        <f t="shared" si="113"/>
        <v>1800000</v>
      </c>
      <c r="CR272" s="493"/>
      <c r="CS272" s="493"/>
      <c r="CU272" s="492">
        <v>268</v>
      </c>
      <c r="CV272" s="492">
        <v>23</v>
      </c>
      <c r="CW272" s="497">
        <f>IF(('Comparison Calculator'!$E$11-CV272)&gt;=0,0,IFERROR(-PPMT($DA$66/12,(CU272-60),($F$1-5)*12,$DA$65),0))</f>
        <v>0</v>
      </c>
      <c r="CX272" s="497">
        <f>IF(('Comparison Calculator'!$E$11-CV272)&gt;=0,$C$1*$DA$66/12,IFERROR(-IPMT($DA$66/12,(CU272-60),($F$1-5)*12,$DA$65,0),0))</f>
        <v>0</v>
      </c>
      <c r="CY272" s="497">
        <f t="shared" si="127"/>
        <v>0</v>
      </c>
      <c r="CZ272" s="497">
        <f t="shared" si="114"/>
        <v>1800000</v>
      </c>
      <c r="DA272" s="493"/>
      <c r="DB272" s="493"/>
      <c r="DD272" s="492">
        <v>268</v>
      </c>
      <c r="DE272" s="492">
        <v>23</v>
      </c>
      <c r="DF272" s="497">
        <f>IF(('Comparison Calculator'!$E$11-DE272)&gt;=0,0,IFERROR(-PPMT($DJ$66/12,(DD272-60),($F$1-5)*12,$DJ$65),0))</f>
        <v>0</v>
      </c>
      <c r="DG272" s="497">
        <f>IF(('Comparison Calculator'!$E$11-DE272)&gt;=0,$C$1*$DJ$66/12,IFERROR(-IPMT($DJ$66/12,(DD272-60),($F$1-5)*12,$DJ$65,0),0))</f>
        <v>0</v>
      </c>
      <c r="DH272" s="497">
        <f t="shared" si="128"/>
        <v>0</v>
      </c>
      <c r="DI272" s="497">
        <f t="shared" si="115"/>
        <v>1800000</v>
      </c>
      <c r="DJ272" s="493"/>
      <c r="DK272" s="493"/>
    </row>
    <row r="273" spans="1:115">
      <c r="A273" s="492">
        <v>269</v>
      </c>
      <c r="B273" s="492">
        <v>23</v>
      </c>
      <c r="C273" s="497">
        <f>IF(('Comparison Calculator'!$E$11-B273)&gt;=0,0,IFERROR(-PPMT($G$66/12,(A273-60),($F$1-5)*12,$G$65),0))</f>
        <v>0</v>
      </c>
      <c r="D273" s="497">
        <f>IF(('Comparison Calculator'!$E$11-B273)&gt;=0,$C$1*$G$66/12,IFERROR(-IPMT($G$66/12,(A273-60),($F$1-5)*12,$G$65,0),0))</f>
        <v>0</v>
      </c>
      <c r="E273" s="497">
        <f t="shared" si="116"/>
        <v>0</v>
      </c>
      <c r="F273" s="497">
        <f t="shared" si="129"/>
        <v>1800000</v>
      </c>
      <c r="G273" s="493"/>
      <c r="H273" s="493"/>
      <c r="I273" s="489"/>
      <c r="J273" s="492">
        <v>269</v>
      </c>
      <c r="K273" s="492">
        <v>23</v>
      </c>
      <c r="L273" s="497">
        <f>IF(('Comparison Calculator'!$E$11-K273)&gt;=0,0,IFERROR(-PPMT($P$66/12,(J273-60),($F$1-5)*12,$P$65),0))</f>
        <v>0</v>
      </c>
      <c r="M273" s="497">
        <f>IF(('Comparison Calculator'!$E$11-K273)&gt;=0,$C$1*$P$66/12,IFERROR(-IPMT($P$66/12,(J273-60),($F$1-5)*12,$P$65,0),0))</f>
        <v>0</v>
      </c>
      <c r="N273" s="497">
        <f t="shared" si="117"/>
        <v>0</v>
      </c>
      <c r="O273" s="497">
        <f t="shared" si="104"/>
        <v>1800000</v>
      </c>
      <c r="P273" s="493"/>
      <c r="Q273" s="493"/>
      <c r="S273" s="492">
        <v>269</v>
      </c>
      <c r="T273" s="492">
        <v>23</v>
      </c>
      <c r="U273" s="497">
        <f>IF(('Comparison Calculator'!$E$11-T273)&gt;=0,0,IFERROR(-PPMT($Y$66/12,(S273-60),($F$1-5)*12,$Y$65),0))</f>
        <v>0</v>
      </c>
      <c r="V273" s="497">
        <f>IF(('Comparison Calculator'!$E$11-T273)&gt;=0,$C$1*$Y$66/12,IFERROR(-IPMT($Y$66/12,(S273-60),($F$1-5)*12,$Y$65,0),0))</f>
        <v>0</v>
      </c>
      <c r="W273" s="497">
        <f t="shared" si="118"/>
        <v>0</v>
      </c>
      <c r="X273" s="497">
        <f t="shared" si="105"/>
        <v>1800000</v>
      </c>
      <c r="Y273" s="493"/>
      <c r="Z273" s="493"/>
      <c r="AB273" s="492">
        <v>269</v>
      </c>
      <c r="AC273" s="492">
        <v>23</v>
      </c>
      <c r="AD273" s="497">
        <f>IF(('Comparison Calculator'!$E$11-AC273)&gt;=0,0,IFERROR(-PPMT($AH$66/12,(AB273-60),($F$1-5)*12,$AH$65),0))</f>
        <v>0</v>
      </c>
      <c r="AE273" s="497">
        <f>IF(('Comparison Calculator'!$E$11-AC273)&gt;=0,$C$1*$AH$66/12,IFERROR(-IPMT($AH$66/12,(AB273-60),($F$1-5)*12,$AH$65,0),0))</f>
        <v>0</v>
      </c>
      <c r="AF273" s="497">
        <f t="shared" si="119"/>
        <v>0</v>
      </c>
      <c r="AG273" s="497">
        <f t="shared" si="106"/>
        <v>1800000</v>
      </c>
      <c r="AH273" s="493"/>
      <c r="AI273" s="493"/>
      <c r="AK273" s="492">
        <v>269</v>
      </c>
      <c r="AL273" s="492">
        <v>23</v>
      </c>
      <c r="AM273" s="497">
        <f>IF(('Comparison Calculator'!$E$11-AL273)&gt;=0,0,IFERROR(-PPMT($AQ$66/12,(AK273-60),($F$1-5)*12,$AQ$65),0))</f>
        <v>0</v>
      </c>
      <c r="AN273" s="497">
        <f>IF(('Comparison Calculator'!$E$11-AL273)&gt;=0,$C$1*$AQ$66/12,IFERROR(-IPMT($AQ$66/12,(AK273-60),($F$1-5)*12,$AQ$65,0),0))</f>
        <v>0</v>
      </c>
      <c r="AO273" s="497">
        <f t="shared" si="120"/>
        <v>0</v>
      </c>
      <c r="AP273" s="497">
        <f t="shared" si="107"/>
        <v>1800000</v>
      </c>
      <c r="AQ273" s="493"/>
      <c r="AR273" s="493"/>
      <c r="AT273" s="492">
        <v>269</v>
      </c>
      <c r="AU273" s="492">
        <v>23</v>
      </c>
      <c r="AV273" s="497">
        <f>IF(('Comparison Calculator'!$E$11-AU273)&gt;=0,0,IFERROR(-PPMT($AZ$66/12,(AT273-60),($F$1-5)*12,$AZ$65),0))</f>
        <v>0</v>
      </c>
      <c r="AW273" s="497">
        <f>IF(('Comparison Calculator'!$E$11-AU273)&gt;=0,$C$1*$AZ$66/12,IFERROR(-IPMT($AZ$66/12,(AT273-60),($F$1-5)*12,$AZ$65,0),0))</f>
        <v>0</v>
      </c>
      <c r="AX273" s="497">
        <f t="shared" si="121"/>
        <v>0</v>
      </c>
      <c r="AY273" s="497">
        <f t="shared" si="108"/>
        <v>1800000</v>
      </c>
      <c r="AZ273" s="493"/>
      <c r="BA273" s="493"/>
      <c r="BC273" s="492">
        <v>269</v>
      </c>
      <c r="BD273" s="492">
        <v>23</v>
      </c>
      <c r="BE273" s="497">
        <f>IF(('Comparison Calculator'!$E$11-BD273)&gt;=0,0,IFERROR(-PPMT($BI$66/12,(BC273-60),($F$1-5)*12,$BI$65),0))</f>
        <v>0</v>
      </c>
      <c r="BF273" s="497">
        <f>IF(('Comparison Calculator'!$E$11-BD273)&gt;=0,$C$1*$BI$66/12,IFERROR(-IPMT($BI$66/12,(BC273-60),($F$1-5)*12,$BI$65,0),0))</f>
        <v>0</v>
      </c>
      <c r="BG273" s="497">
        <f t="shared" si="122"/>
        <v>0</v>
      </c>
      <c r="BH273" s="497">
        <f t="shared" si="109"/>
        <v>1800000</v>
      </c>
      <c r="BI273" s="493"/>
      <c r="BJ273" s="493"/>
      <c r="BK273" s="492">
        <v>269</v>
      </c>
      <c r="BL273" s="492">
        <v>23</v>
      </c>
      <c r="BM273" s="497">
        <f>IF(('Comparison Calculator'!$E$11-BL273)&gt;=0,0,IFERROR(-PPMT($BQ$66/12,(BK273-60),($F$1-5)*12,$BQ$65),0))</f>
        <v>0</v>
      </c>
      <c r="BN273" s="497">
        <f>IF(('Comparison Calculator'!$E$11-BL273)&gt;=0,$C$1*$BQ$66/12,IFERROR(-IPMT($BQ$66/12,(BK273-60),($F$1-5)*12,$BQ$65,0),0))</f>
        <v>0</v>
      </c>
      <c r="BO273" s="497">
        <f t="shared" si="123"/>
        <v>0</v>
      </c>
      <c r="BP273" s="497">
        <f t="shared" si="110"/>
        <v>1800000</v>
      </c>
      <c r="BQ273" s="493"/>
      <c r="BR273" s="493"/>
      <c r="BT273" s="492">
        <v>269</v>
      </c>
      <c r="BU273" s="492">
        <v>23</v>
      </c>
      <c r="BV273" s="497">
        <f>IF(('Comparison Calculator'!$E$11-BU273)&gt;=0,0,IFERROR(-PPMT($BZ$66/12,(BT273-60),($F$1-5)*12,$BZ$65),0))</f>
        <v>0</v>
      </c>
      <c r="BW273" s="497">
        <f>IF(('Comparison Calculator'!$E$11-BU273)&gt;=0,$C$1*$BZ$66/12,IFERROR(-IPMT($BZ$66/12,(BT273-60),($F$1-5)*12,$BZ$65,0),0))</f>
        <v>0</v>
      </c>
      <c r="BX273" s="497">
        <f t="shared" si="124"/>
        <v>0</v>
      </c>
      <c r="BY273" s="497">
        <f t="shared" si="111"/>
        <v>1800000</v>
      </c>
      <c r="BZ273" s="493"/>
      <c r="CA273" s="493"/>
      <c r="CC273" s="492">
        <v>269</v>
      </c>
      <c r="CD273" s="492">
        <v>23</v>
      </c>
      <c r="CE273" s="497">
        <f>IF(('Comparison Calculator'!$E$11-CD273)&gt;=0,0,IFERROR(-PPMT($CI$66/12,(CC273-60),($F$1-5)*12,$CI$65),0))</f>
        <v>0</v>
      </c>
      <c r="CF273" s="497">
        <f>IF(('Comparison Calculator'!$E$11-CD273)&gt;=0,$C$1*$CI$66/12,IFERROR(-IPMT($CI$66/12,(CC273-60),($F$1-5)*12,$CI$65,0),0))</f>
        <v>0</v>
      </c>
      <c r="CG273" s="497">
        <f t="shared" si="125"/>
        <v>0</v>
      </c>
      <c r="CH273" s="497">
        <f t="shared" si="112"/>
        <v>1800000</v>
      </c>
      <c r="CI273" s="493"/>
      <c r="CJ273" s="493"/>
      <c r="CL273" s="492">
        <v>269</v>
      </c>
      <c r="CM273" s="492">
        <v>23</v>
      </c>
      <c r="CN273" s="497">
        <f>IF(('Comparison Calculator'!$E$11-CM273)&gt;=0,0,IFERROR(-PPMT($CR$66/12,(CL273-60),($F$1-5)*12,$CR$65),0))</f>
        <v>0</v>
      </c>
      <c r="CO273" s="497">
        <f>IF(('Comparison Calculator'!$E$11-CM273)&gt;=0,$C$1*$CI$66/12,IFERROR(-IPMT($CI$66/12,(CL273-60),($F$1-5)*12,$CI$65,0),0))</f>
        <v>0</v>
      </c>
      <c r="CP273" s="497">
        <f t="shared" si="126"/>
        <v>0</v>
      </c>
      <c r="CQ273" s="497">
        <f t="shared" si="113"/>
        <v>1800000</v>
      </c>
      <c r="CR273" s="493"/>
      <c r="CS273" s="493"/>
      <c r="CU273" s="492">
        <v>269</v>
      </c>
      <c r="CV273" s="492">
        <v>23</v>
      </c>
      <c r="CW273" s="497">
        <f>IF(('Comparison Calculator'!$E$11-CV273)&gt;=0,0,IFERROR(-PPMT($DA$66/12,(CU273-60),($F$1-5)*12,$DA$65),0))</f>
        <v>0</v>
      </c>
      <c r="CX273" s="497">
        <f>IF(('Comparison Calculator'!$E$11-CV273)&gt;=0,$C$1*$DA$66/12,IFERROR(-IPMT($DA$66/12,(CU273-60),($F$1-5)*12,$DA$65,0),0))</f>
        <v>0</v>
      </c>
      <c r="CY273" s="497">
        <f t="shared" si="127"/>
        <v>0</v>
      </c>
      <c r="CZ273" s="497">
        <f t="shared" si="114"/>
        <v>1800000</v>
      </c>
      <c r="DA273" s="493"/>
      <c r="DB273" s="493"/>
      <c r="DD273" s="492">
        <v>269</v>
      </c>
      <c r="DE273" s="492">
        <v>23</v>
      </c>
      <c r="DF273" s="497">
        <f>IF(('Comparison Calculator'!$E$11-DE273)&gt;=0,0,IFERROR(-PPMT($DJ$66/12,(DD273-60),($F$1-5)*12,$DJ$65),0))</f>
        <v>0</v>
      </c>
      <c r="DG273" s="497">
        <f>IF(('Comparison Calculator'!$E$11-DE273)&gt;=0,$C$1*$DJ$66/12,IFERROR(-IPMT($DJ$66/12,(DD273-60),($F$1-5)*12,$DJ$65,0),0))</f>
        <v>0</v>
      </c>
      <c r="DH273" s="497">
        <f t="shared" si="128"/>
        <v>0</v>
      </c>
      <c r="DI273" s="497">
        <f t="shared" si="115"/>
        <v>1800000</v>
      </c>
      <c r="DJ273" s="493"/>
      <c r="DK273" s="493"/>
    </row>
    <row r="274" spans="1:115">
      <c r="A274" s="492">
        <v>270</v>
      </c>
      <c r="B274" s="492">
        <v>23</v>
      </c>
      <c r="C274" s="497">
        <f>IF(('Comparison Calculator'!$E$11-B274)&gt;=0,0,IFERROR(-PPMT($G$66/12,(A274-60),($F$1-5)*12,$G$65),0))</f>
        <v>0</v>
      </c>
      <c r="D274" s="497">
        <f>IF(('Comparison Calculator'!$E$11-B274)&gt;=0,$C$1*$G$66/12,IFERROR(-IPMT($G$66/12,(A274-60),($F$1-5)*12,$G$65,0),0))</f>
        <v>0</v>
      </c>
      <c r="E274" s="497">
        <f t="shared" si="116"/>
        <v>0</v>
      </c>
      <c r="F274" s="497">
        <f t="shared" si="129"/>
        <v>1800000</v>
      </c>
      <c r="G274" s="493"/>
      <c r="H274" s="493"/>
      <c r="I274" s="489"/>
      <c r="J274" s="492">
        <v>270</v>
      </c>
      <c r="K274" s="492">
        <v>23</v>
      </c>
      <c r="L274" s="497">
        <f>IF(('Comparison Calculator'!$E$11-K274)&gt;=0,0,IFERROR(-PPMT($P$66/12,(J274-60),($F$1-5)*12,$P$65),0))</f>
        <v>0</v>
      </c>
      <c r="M274" s="497">
        <f>IF(('Comparison Calculator'!$E$11-K274)&gt;=0,$C$1*$P$66/12,IFERROR(-IPMT($P$66/12,(J274-60),($F$1-5)*12,$P$65,0),0))</f>
        <v>0</v>
      </c>
      <c r="N274" s="497">
        <f t="shared" si="117"/>
        <v>0</v>
      </c>
      <c r="O274" s="497">
        <f t="shared" si="104"/>
        <v>1800000</v>
      </c>
      <c r="P274" s="493"/>
      <c r="Q274" s="493"/>
      <c r="S274" s="492">
        <v>270</v>
      </c>
      <c r="T274" s="492">
        <v>23</v>
      </c>
      <c r="U274" s="497">
        <f>IF(('Comparison Calculator'!$E$11-T274)&gt;=0,0,IFERROR(-PPMT($Y$66/12,(S274-60),($F$1-5)*12,$Y$65),0))</f>
        <v>0</v>
      </c>
      <c r="V274" s="497">
        <f>IF(('Comparison Calculator'!$E$11-T274)&gt;=0,$C$1*$Y$66/12,IFERROR(-IPMT($Y$66/12,(S274-60),($F$1-5)*12,$Y$65,0),0))</f>
        <v>0</v>
      </c>
      <c r="W274" s="497">
        <f t="shared" si="118"/>
        <v>0</v>
      </c>
      <c r="X274" s="497">
        <f t="shared" si="105"/>
        <v>1800000</v>
      </c>
      <c r="Y274" s="493"/>
      <c r="Z274" s="493"/>
      <c r="AB274" s="492">
        <v>270</v>
      </c>
      <c r="AC274" s="492">
        <v>23</v>
      </c>
      <c r="AD274" s="497">
        <f>IF(('Comparison Calculator'!$E$11-AC274)&gt;=0,0,IFERROR(-PPMT($AH$66/12,(AB274-60),($F$1-5)*12,$AH$65),0))</f>
        <v>0</v>
      </c>
      <c r="AE274" s="497">
        <f>IF(('Comparison Calculator'!$E$11-AC274)&gt;=0,$C$1*$AH$66/12,IFERROR(-IPMT($AH$66/12,(AB274-60),($F$1-5)*12,$AH$65,0),0))</f>
        <v>0</v>
      </c>
      <c r="AF274" s="497">
        <f t="shared" si="119"/>
        <v>0</v>
      </c>
      <c r="AG274" s="497">
        <f t="shared" si="106"/>
        <v>1800000</v>
      </c>
      <c r="AH274" s="493"/>
      <c r="AI274" s="493"/>
      <c r="AK274" s="492">
        <v>270</v>
      </c>
      <c r="AL274" s="492">
        <v>23</v>
      </c>
      <c r="AM274" s="497">
        <f>IF(('Comparison Calculator'!$E$11-AL274)&gt;=0,0,IFERROR(-PPMT($AQ$66/12,(AK274-60),($F$1-5)*12,$AQ$65),0))</f>
        <v>0</v>
      </c>
      <c r="AN274" s="497">
        <f>IF(('Comparison Calculator'!$E$11-AL274)&gt;=0,$C$1*$AQ$66/12,IFERROR(-IPMT($AQ$66/12,(AK274-60),($F$1-5)*12,$AQ$65,0),0))</f>
        <v>0</v>
      </c>
      <c r="AO274" s="497">
        <f t="shared" si="120"/>
        <v>0</v>
      </c>
      <c r="AP274" s="497">
        <f t="shared" si="107"/>
        <v>1800000</v>
      </c>
      <c r="AQ274" s="493"/>
      <c r="AR274" s="493"/>
      <c r="AT274" s="492">
        <v>270</v>
      </c>
      <c r="AU274" s="492">
        <v>23</v>
      </c>
      <c r="AV274" s="497">
        <f>IF(('Comparison Calculator'!$E$11-AU274)&gt;=0,0,IFERROR(-PPMT($AZ$66/12,(AT274-60),($F$1-5)*12,$AZ$65),0))</f>
        <v>0</v>
      </c>
      <c r="AW274" s="497">
        <f>IF(('Comparison Calculator'!$E$11-AU274)&gt;=0,$C$1*$AZ$66/12,IFERROR(-IPMT($AZ$66/12,(AT274-60),($F$1-5)*12,$AZ$65,0),0))</f>
        <v>0</v>
      </c>
      <c r="AX274" s="497">
        <f t="shared" si="121"/>
        <v>0</v>
      </c>
      <c r="AY274" s="497">
        <f t="shared" si="108"/>
        <v>1800000</v>
      </c>
      <c r="AZ274" s="493"/>
      <c r="BA274" s="493"/>
      <c r="BC274" s="492">
        <v>270</v>
      </c>
      <c r="BD274" s="492">
        <v>23</v>
      </c>
      <c r="BE274" s="497">
        <f>IF(('Comparison Calculator'!$E$11-BD274)&gt;=0,0,IFERROR(-PPMT($BI$66/12,(BC274-60),($F$1-5)*12,$BI$65),0))</f>
        <v>0</v>
      </c>
      <c r="BF274" s="497">
        <f>IF(('Comparison Calculator'!$E$11-BD274)&gt;=0,$C$1*$BI$66/12,IFERROR(-IPMT($BI$66/12,(BC274-60),($F$1-5)*12,$BI$65,0),0))</f>
        <v>0</v>
      </c>
      <c r="BG274" s="497">
        <f t="shared" si="122"/>
        <v>0</v>
      </c>
      <c r="BH274" s="497">
        <f t="shared" si="109"/>
        <v>1800000</v>
      </c>
      <c r="BI274" s="493"/>
      <c r="BJ274" s="493"/>
      <c r="BK274" s="492">
        <v>270</v>
      </c>
      <c r="BL274" s="492">
        <v>23</v>
      </c>
      <c r="BM274" s="497">
        <f>IF(('Comparison Calculator'!$E$11-BL274)&gt;=0,0,IFERROR(-PPMT($BQ$66/12,(BK274-60),($F$1-5)*12,$BQ$65),0))</f>
        <v>0</v>
      </c>
      <c r="BN274" s="497">
        <f>IF(('Comparison Calculator'!$E$11-BL274)&gt;=0,$C$1*$BQ$66/12,IFERROR(-IPMT($BQ$66/12,(BK274-60),($F$1-5)*12,$BQ$65,0),0))</f>
        <v>0</v>
      </c>
      <c r="BO274" s="497">
        <f t="shared" si="123"/>
        <v>0</v>
      </c>
      <c r="BP274" s="497">
        <f t="shared" si="110"/>
        <v>1800000</v>
      </c>
      <c r="BQ274" s="493"/>
      <c r="BR274" s="493"/>
      <c r="BT274" s="492">
        <v>270</v>
      </c>
      <c r="BU274" s="492">
        <v>23</v>
      </c>
      <c r="BV274" s="497">
        <f>IF(('Comparison Calculator'!$E$11-BU274)&gt;=0,0,IFERROR(-PPMT($BZ$66/12,(BT274-60),($F$1-5)*12,$BZ$65),0))</f>
        <v>0</v>
      </c>
      <c r="BW274" s="497">
        <f>IF(('Comparison Calculator'!$E$11-BU274)&gt;=0,$C$1*$BZ$66/12,IFERROR(-IPMT($BZ$66/12,(BT274-60),($F$1-5)*12,$BZ$65,0),0))</f>
        <v>0</v>
      </c>
      <c r="BX274" s="497">
        <f t="shared" si="124"/>
        <v>0</v>
      </c>
      <c r="BY274" s="497">
        <f t="shared" si="111"/>
        <v>1800000</v>
      </c>
      <c r="BZ274" s="493"/>
      <c r="CA274" s="493"/>
      <c r="CC274" s="492">
        <v>270</v>
      </c>
      <c r="CD274" s="492">
        <v>23</v>
      </c>
      <c r="CE274" s="497">
        <f>IF(('Comparison Calculator'!$E$11-CD274)&gt;=0,0,IFERROR(-PPMT($CI$66/12,(CC274-60),($F$1-5)*12,$CI$65),0))</f>
        <v>0</v>
      </c>
      <c r="CF274" s="497">
        <f>IF(('Comparison Calculator'!$E$11-CD274)&gt;=0,$C$1*$CI$66/12,IFERROR(-IPMT($CI$66/12,(CC274-60),($F$1-5)*12,$CI$65,0),0))</f>
        <v>0</v>
      </c>
      <c r="CG274" s="497">
        <f t="shared" si="125"/>
        <v>0</v>
      </c>
      <c r="CH274" s="497">
        <f t="shared" si="112"/>
        <v>1800000</v>
      </c>
      <c r="CI274" s="493"/>
      <c r="CJ274" s="493"/>
      <c r="CL274" s="492">
        <v>270</v>
      </c>
      <c r="CM274" s="492">
        <v>23</v>
      </c>
      <c r="CN274" s="497">
        <f>IF(('Comparison Calculator'!$E$11-CM274)&gt;=0,0,IFERROR(-PPMT($CR$66/12,(CL274-60),($F$1-5)*12,$CR$65),0))</f>
        <v>0</v>
      </c>
      <c r="CO274" s="497">
        <f>IF(('Comparison Calculator'!$E$11-CM274)&gt;=0,$C$1*$CI$66/12,IFERROR(-IPMT($CI$66/12,(CL274-60),($F$1-5)*12,$CI$65,0),0))</f>
        <v>0</v>
      </c>
      <c r="CP274" s="497">
        <f t="shared" si="126"/>
        <v>0</v>
      </c>
      <c r="CQ274" s="497">
        <f t="shared" si="113"/>
        <v>1800000</v>
      </c>
      <c r="CR274" s="493"/>
      <c r="CS274" s="493"/>
      <c r="CU274" s="492">
        <v>270</v>
      </c>
      <c r="CV274" s="492">
        <v>23</v>
      </c>
      <c r="CW274" s="497">
        <f>IF(('Comparison Calculator'!$E$11-CV274)&gt;=0,0,IFERROR(-PPMT($DA$66/12,(CU274-60),($F$1-5)*12,$DA$65),0))</f>
        <v>0</v>
      </c>
      <c r="CX274" s="497">
        <f>IF(('Comparison Calculator'!$E$11-CV274)&gt;=0,$C$1*$DA$66/12,IFERROR(-IPMT($DA$66/12,(CU274-60),($F$1-5)*12,$DA$65,0),0))</f>
        <v>0</v>
      </c>
      <c r="CY274" s="497">
        <f t="shared" si="127"/>
        <v>0</v>
      </c>
      <c r="CZ274" s="497">
        <f t="shared" si="114"/>
        <v>1800000</v>
      </c>
      <c r="DA274" s="493"/>
      <c r="DB274" s="493"/>
      <c r="DD274" s="492">
        <v>270</v>
      </c>
      <c r="DE274" s="492">
        <v>23</v>
      </c>
      <c r="DF274" s="497">
        <f>IF(('Comparison Calculator'!$E$11-DE274)&gt;=0,0,IFERROR(-PPMT($DJ$66/12,(DD274-60),($F$1-5)*12,$DJ$65),0))</f>
        <v>0</v>
      </c>
      <c r="DG274" s="497">
        <f>IF(('Comparison Calculator'!$E$11-DE274)&gt;=0,$C$1*$DJ$66/12,IFERROR(-IPMT($DJ$66/12,(DD274-60),($F$1-5)*12,$DJ$65,0),0))</f>
        <v>0</v>
      </c>
      <c r="DH274" s="497">
        <f t="shared" si="128"/>
        <v>0</v>
      </c>
      <c r="DI274" s="497">
        <f t="shared" si="115"/>
        <v>1800000</v>
      </c>
      <c r="DJ274" s="493"/>
      <c r="DK274" s="493"/>
    </row>
    <row r="275" spans="1:115">
      <c r="A275" s="492">
        <v>271</v>
      </c>
      <c r="B275" s="492">
        <v>23</v>
      </c>
      <c r="C275" s="497">
        <f>IF(('Comparison Calculator'!$E$11-B275)&gt;=0,0,IFERROR(-PPMT($G$66/12,(A275-60),($F$1-5)*12,$G$65),0))</f>
        <v>0</v>
      </c>
      <c r="D275" s="497">
        <f>IF(('Comparison Calculator'!$E$11-B275)&gt;=0,$C$1*$G$66/12,IFERROR(-IPMT($G$66/12,(A275-60),($F$1-5)*12,$G$65,0),0))</f>
        <v>0</v>
      </c>
      <c r="E275" s="497">
        <f t="shared" si="116"/>
        <v>0</v>
      </c>
      <c r="F275" s="497">
        <f t="shared" si="129"/>
        <v>1800000</v>
      </c>
      <c r="G275" s="493"/>
      <c r="H275" s="493"/>
      <c r="I275" s="489"/>
      <c r="J275" s="492">
        <v>271</v>
      </c>
      <c r="K275" s="492">
        <v>23</v>
      </c>
      <c r="L275" s="497">
        <f>IF(('Comparison Calculator'!$E$11-K275)&gt;=0,0,IFERROR(-PPMT($P$66/12,(J275-60),($F$1-5)*12,$P$65),0))</f>
        <v>0</v>
      </c>
      <c r="M275" s="497">
        <f>IF(('Comparison Calculator'!$E$11-K275)&gt;=0,$C$1*$P$66/12,IFERROR(-IPMT($P$66/12,(J275-60),($F$1-5)*12,$P$65,0),0))</f>
        <v>0</v>
      </c>
      <c r="N275" s="497">
        <f t="shared" si="117"/>
        <v>0</v>
      </c>
      <c r="O275" s="497">
        <f t="shared" si="104"/>
        <v>1800000</v>
      </c>
      <c r="P275" s="493"/>
      <c r="Q275" s="493"/>
      <c r="S275" s="492">
        <v>271</v>
      </c>
      <c r="T275" s="492">
        <v>23</v>
      </c>
      <c r="U275" s="497">
        <f>IF(('Comparison Calculator'!$E$11-T275)&gt;=0,0,IFERROR(-PPMT($Y$66/12,(S275-60),($F$1-5)*12,$Y$65),0))</f>
        <v>0</v>
      </c>
      <c r="V275" s="497">
        <f>IF(('Comparison Calculator'!$E$11-T275)&gt;=0,$C$1*$Y$66/12,IFERROR(-IPMT($Y$66/12,(S275-60),($F$1-5)*12,$Y$65,0),0))</f>
        <v>0</v>
      </c>
      <c r="W275" s="497">
        <f t="shared" si="118"/>
        <v>0</v>
      </c>
      <c r="X275" s="497">
        <f t="shared" si="105"/>
        <v>1800000</v>
      </c>
      <c r="Y275" s="493"/>
      <c r="Z275" s="493"/>
      <c r="AB275" s="492">
        <v>271</v>
      </c>
      <c r="AC275" s="492">
        <v>23</v>
      </c>
      <c r="AD275" s="497">
        <f>IF(('Comparison Calculator'!$E$11-AC275)&gt;=0,0,IFERROR(-PPMT($AH$66/12,(AB275-60),($F$1-5)*12,$AH$65),0))</f>
        <v>0</v>
      </c>
      <c r="AE275" s="497">
        <f>IF(('Comparison Calculator'!$E$11-AC275)&gt;=0,$C$1*$AH$66/12,IFERROR(-IPMT($AH$66/12,(AB275-60),($F$1-5)*12,$AH$65,0),0))</f>
        <v>0</v>
      </c>
      <c r="AF275" s="497">
        <f t="shared" si="119"/>
        <v>0</v>
      </c>
      <c r="AG275" s="497">
        <f t="shared" si="106"/>
        <v>1800000</v>
      </c>
      <c r="AH275" s="493"/>
      <c r="AI275" s="493"/>
      <c r="AK275" s="492">
        <v>271</v>
      </c>
      <c r="AL275" s="492">
        <v>23</v>
      </c>
      <c r="AM275" s="497">
        <f>IF(('Comparison Calculator'!$E$11-AL275)&gt;=0,0,IFERROR(-PPMT($AQ$66/12,(AK275-60),($F$1-5)*12,$AQ$65),0))</f>
        <v>0</v>
      </c>
      <c r="AN275" s="497">
        <f>IF(('Comparison Calculator'!$E$11-AL275)&gt;=0,$C$1*$AQ$66/12,IFERROR(-IPMT($AQ$66/12,(AK275-60),($F$1-5)*12,$AQ$65,0),0))</f>
        <v>0</v>
      </c>
      <c r="AO275" s="497">
        <f t="shared" si="120"/>
        <v>0</v>
      </c>
      <c r="AP275" s="497">
        <f t="shared" si="107"/>
        <v>1800000</v>
      </c>
      <c r="AQ275" s="493"/>
      <c r="AR275" s="493"/>
      <c r="AT275" s="492">
        <v>271</v>
      </c>
      <c r="AU275" s="492">
        <v>23</v>
      </c>
      <c r="AV275" s="497">
        <f>IF(('Comparison Calculator'!$E$11-AU275)&gt;=0,0,IFERROR(-PPMT($AZ$66/12,(AT275-60),($F$1-5)*12,$AZ$65),0))</f>
        <v>0</v>
      </c>
      <c r="AW275" s="497">
        <f>IF(('Comparison Calculator'!$E$11-AU275)&gt;=0,$C$1*$AZ$66/12,IFERROR(-IPMT($AZ$66/12,(AT275-60),($F$1-5)*12,$AZ$65,0),0))</f>
        <v>0</v>
      </c>
      <c r="AX275" s="497">
        <f t="shared" si="121"/>
        <v>0</v>
      </c>
      <c r="AY275" s="497">
        <f t="shared" si="108"/>
        <v>1800000</v>
      </c>
      <c r="AZ275" s="493"/>
      <c r="BA275" s="493"/>
      <c r="BC275" s="492">
        <v>271</v>
      </c>
      <c r="BD275" s="492">
        <v>23</v>
      </c>
      <c r="BE275" s="497">
        <f>IF(('Comparison Calculator'!$E$11-BD275)&gt;=0,0,IFERROR(-PPMT($BI$66/12,(BC275-60),($F$1-5)*12,$BI$65),0))</f>
        <v>0</v>
      </c>
      <c r="BF275" s="497">
        <f>IF(('Comparison Calculator'!$E$11-BD275)&gt;=0,$C$1*$BI$66/12,IFERROR(-IPMT($BI$66/12,(BC275-60),($F$1-5)*12,$BI$65,0),0))</f>
        <v>0</v>
      </c>
      <c r="BG275" s="497">
        <f t="shared" si="122"/>
        <v>0</v>
      </c>
      <c r="BH275" s="497">
        <f t="shared" si="109"/>
        <v>1800000</v>
      </c>
      <c r="BI275" s="493"/>
      <c r="BJ275" s="493"/>
      <c r="BK275" s="492">
        <v>271</v>
      </c>
      <c r="BL275" s="492">
        <v>23</v>
      </c>
      <c r="BM275" s="497">
        <f>IF(('Comparison Calculator'!$E$11-BL275)&gt;=0,0,IFERROR(-PPMT($BQ$66/12,(BK275-60),($F$1-5)*12,$BQ$65),0))</f>
        <v>0</v>
      </c>
      <c r="BN275" s="497">
        <f>IF(('Comparison Calculator'!$E$11-BL275)&gt;=0,$C$1*$BQ$66/12,IFERROR(-IPMT($BQ$66/12,(BK275-60),($F$1-5)*12,$BQ$65,0),0))</f>
        <v>0</v>
      </c>
      <c r="BO275" s="497">
        <f t="shared" si="123"/>
        <v>0</v>
      </c>
      <c r="BP275" s="497">
        <f t="shared" si="110"/>
        <v>1800000</v>
      </c>
      <c r="BQ275" s="493"/>
      <c r="BR275" s="493"/>
      <c r="BT275" s="492">
        <v>271</v>
      </c>
      <c r="BU275" s="492">
        <v>23</v>
      </c>
      <c r="BV275" s="497">
        <f>IF(('Comparison Calculator'!$E$11-BU275)&gt;=0,0,IFERROR(-PPMT($BZ$66/12,(BT275-60),($F$1-5)*12,$BZ$65),0))</f>
        <v>0</v>
      </c>
      <c r="BW275" s="497">
        <f>IF(('Comparison Calculator'!$E$11-BU275)&gt;=0,$C$1*$BZ$66/12,IFERROR(-IPMT($BZ$66/12,(BT275-60),($F$1-5)*12,$BZ$65,0),0))</f>
        <v>0</v>
      </c>
      <c r="BX275" s="497">
        <f t="shared" si="124"/>
        <v>0</v>
      </c>
      <c r="BY275" s="497">
        <f t="shared" si="111"/>
        <v>1800000</v>
      </c>
      <c r="BZ275" s="493"/>
      <c r="CA275" s="493"/>
      <c r="CC275" s="492">
        <v>271</v>
      </c>
      <c r="CD275" s="492">
        <v>23</v>
      </c>
      <c r="CE275" s="497">
        <f>IF(('Comparison Calculator'!$E$11-CD275)&gt;=0,0,IFERROR(-PPMT($CI$66/12,(CC275-60),($F$1-5)*12,$CI$65),0))</f>
        <v>0</v>
      </c>
      <c r="CF275" s="497">
        <f>IF(('Comparison Calculator'!$E$11-CD275)&gt;=0,$C$1*$CI$66/12,IFERROR(-IPMT($CI$66/12,(CC275-60),($F$1-5)*12,$CI$65,0),0))</f>
        <v>0</v>
      </c>
      <c r="CG275" s="497">
        <f t="shared" si="125"/>
        <v>0</v>
      </c>
      <c r="CH275" s="497">
        <f t="shared" si="112"/>
        <v>1800000</v>
      </c>
      <c r="CI275" s="493"/>
      <c r="CJ275" s="493"/>
      <c r="CL275" s="492">
        <v>271</v>
      </c>
      <c r="CM275" s="492">
        <v>23</v>
      </c>
      <c r="CN275" s="497">
        <f>IF(('Comparison Calculator'!$E$11-CM275)&gt;=0,0,IFERROR(-PPMT($CR$66/12,(CL275-60),($F$1-5)*12,$CR$65),0))</f>
        <v>0</v>
      </c>
      <c r="CO275" s="497">
        <f>IF(('Comparison Calculator'!$E$11-CM275)&gt;=0,$C$1*$CI$66/12,IFERROR(-IPMT($CI$66/12,(CL275-60),($F$1-5)*12,$CI$65,0),0))</f>
        <v>0</v>
      </c>
      <c r="CP275" s="497">
        <f t="shared" si="126"/>
        <v>0</v>
      </c>
      <c r="CQ275" s="497">
        <f t="shared" si="113"/>
        <v>1800000</v>
      </c>
      <c r="CR275" s="493"/>
      <c r="CS275" s="493"/>
      <c r="CU275" s="492">
        <v>271</v>
      </c>
      <c r="CV275" s="492">
        <v>23</v>
      </c>
      <c r="CW275" s="497">
        <f>IF(('Comparison Calculator'!$E$11-CV275)&gt;=0,0,IFERROR(-PPMT($DA$66/12,(CU275-60),($F$1-5)*12,$DA$65),0))</f>
        <v>0</v>
      </c>
      <c r="CX275" s="497">
        <f>IF(('Comparison Calculator'!$E$11-CV275)&gt;=0,$C$1*$DA$66/12,IFERROR(-IPMT($DA$66/12,(CU275-60),($F$1-5)*12,$DA$65,0),0))</f>
        <v>0</v>
      </c>
      <c r="CY275" s="497">
        <f t="shared" si="127"/>
        <v>0</v>
      </c>
      <c r="CZ275" s="497">
        <f t="shared" si="114"/>
        <v>1800000</v>
      </c>
      <c r="DA275" s="493"/>
      <c r="DB275" s="493"/>
      <c r="DD275" s="492">
        <v>271</v>
      </c>
      <c r="DE275" s="492">
        <v>23</v>
      </c>
      <c r="DF275" s="497">
        <f>IF(('Comparison Calculator'!$E$11-DE275)&gt;=0,0,IFERROR(-PPMT($DJ$66/12,(DD275-60),($F$1-5)*12,$DJ$65),0))</f>
        <v>0</v>
      </c>
      <c r="DG275" s="497">
        <f>IF(('Comparison Calculator'!$E$11-DE275)&gt;=0,$C$1*$DJ$66/12,IFERROR(-IPMT($DJ$66/12,(DD275-60),($F$1-5)*12,$DJ$65,0),0))</f>
        <v>0</v>
      </c>
      <c r="DH275" s="497">
        <f t="shared" si="128"/>
        <v>0</v>
      </c>
      <c r="DI275" s="497">
        <f t="shared" si="115"/>
        <v>1800000</v>
      </c>
      <c r="DJ275" s="493"/>
      <c r="DK275" s="493"/>
    </row>
    <row r="276" spans="1:115">
      <c r="A276" s="492">
        <v>272</v>
      </c>
      <c r="B276" s="492">
        <v>23</v>
      </c>
      <c r="C276" s="497">
        <f>IF(('Comparison Calculator'!$E$11-B276)&gt;=0,0,IFERROR(-PPMT($G$66/12,(A276-60),($F$1-5)*12,$G$65),0))</f>
        <v>0</v>
      </c>
      <c r="D276" s="497">
        <f>IF(('Comparison Calculator'!$E$11-B276)&gt;=0,$C$1*$G$66/12,IFERROR(-IPMT($G$66/12,(A276-60),($F$1-5)*12,$G$65,0),0))</f>
        <v>0</v>
      </c>
      <c r="E276" s="497">
        <f t="shared" si="116"/>
        <v>0</v>
      </c>
      <c r="F276" s="497">
        <f t="shared" si="129"/>
        <v>1800000</v>
      </c>
      <c r="G276" s="493"/>
      <c r="H276" s="493"/>
      <c r="I276" s="489"/>
      <c r="J276" s="492">
        <v>272</v>
      </c>
      <c r="K276" s="492">
        <v>23</v>
      </c>
      <c r="L276" s="497">
        <f>IF(('Comparison Calculator'!$E$11-K276)&gt;=0,0,IFERROR(-PPMT($P$66/12,(J276-60),($F$1-5)*12,$P$65),0))</f>
        <v>0</v>
      </c>
      <c r="M276" s="497">
        <f>IF(('Comparison Calculator'!$E$11-K276)&gt;=0,$C$1*$P$66/12,IFERROR(-IPMT($P$66/12,(J276-60),($F$1-5)*12,$P$65,0),0))</f>
        <v>0</v>
      </c>
      <c r="N276" s="497">
        <f t="shared" si="117"/>
        <v>0</v>
      </c>
      <c r="O276" s="497">
        <f t="shared" si="104"/>
        <v>1800000</v>
      </c>
      <c r="P276" s="493"/>
      <c r="Q276" s="493"/>
      <c r="S276" s="492">
        <v>272</v>
      </c>
      <c r="T276" s="492">
        <v>23</v>
      </c>
      <c r="U276" s="497">
        <f>IF(('Comparison Calculator'!$E$11-T276)&gt;=0,0,IFERROR(-PPMT($Y$66/12,(S276-60),($F$1-5)*12,$Y$65),0))</f>
        <v>0</v>
      </c>
      <c r="V276" s="497">
        <f>IF(('Comparison Calculator'!$E$11-T276)&gt;=0,$C$1*$Y$66/12,IFERROR(-IPMT($Y$66/12,(S276-60),($F$1-5)*12,$Y$65,0),0))</f>
        <v>0</v>
      </c>
      <c r="W276" s="497">
        <f t="shared" si="118"/>
        <v>0</v>
      </c>
      <c r="X276" s="497">
        <f t="shared" si="105"/>
        <v>1800000</v>
      </c>
      <c r="Y276" s="493"/>
      <c r="Z276" s="493"/>
      <c r="AB276" s="492">
        <v>272</v>
      </c>
      <c r="AC276" s="492">
        <v>23</v>
      </c>
      <c r="AD276" s="497">
        <f>IF(('Comparison Calculator'!$E$11-AC276)&gt;=0,0,IFERROR(-PPMT($AH$66/12,(AB276-60),($F$1-5)*12,$AH$65),0))</f>
        <v>0</v>
      </c>
      <c r="AE276" s="497">
        <f>IF(('Comparison Calculator'!$E$11-AC276)&gt;=0,$C$1*$AH$66/12,IFERROR(-IPMT($AH$66/12,(AB276-60),($F$1-5)*12,$AH$65,0),0))</f>
        <v>0</v>
      </c>
      <c r="AF276" s="497">
        <f t="shared" si="119"/>
        <v>0</v>
      </c>
      <c r="AG276" s="497">
        <f t="shared" si="106"/>
        <v>1800000</v>
      </c>
      <c r="AH276" s="493"/>
      <c r="AI276" s="493"/>
      <c r="AK276" s="492">
        <v>272</v>
      </c>
      <c r="AL276" s="492">
        <v>23</v>
      </c>
      <c r="AM276" s="497">
        <f>IF(('Comparison Calculator'!$E$11-AL276)&gt;=0,0,IFERROR(-PPMT($AQ$66/12,(AK276-60),($F$1-5)*12,$AQ$65),0))</f>
        <v>0</v>
      </c>
      <c r="AN276" s="497">
        <f>IF(('Comparison Calculator'!$E$11-AL276)&gt;=0,$C$1*$AQ$66/12,IFERROR(-IPMT($AQ$66/12,(AK276-60),($F$1-5)*12,$AQ$65,0),0))</f>
        <v>0</v>
      </c>
      <c r="AO276" s="497">
        <f t="shared" si="120"/>
        <v>0</v>
      </c>
      <c r="AP276" s="497">
        <f t="shared" si="107"/>
        <v>1800000</v>
      </c>
      <c r="AQ276" s="493"/>
      <c r="AR276" s="493"/>
      <c r="AT276" s="492">
        <v>272</v>
      </c>
      <c r="AU276" s="492">
        <v>23</v>
      </c>
      <c r="AV276" s="497">
        <f>IF(('Comparison Calculator'!$E$11-AU276)&gt;=0,0,IFERROR(-PPMT($AZ$66/12,(AT276-60),($F$1-5)*12,$AZ$65),0))</f>
        <v>0</v>
      </c>
      <c r="AW276" s="497">
        <f>IF(('Comparison Calculator'!$E$11-AU276)&gt;=0,$C$1*$AZ$66/12,IFERROR(-IPMT($AZ$66/12,(AT276-60),($F$1-5)*12,$AZ$65,0),0))</f>
        <v>0</v>
      </c>
      <c r="AX276" s="497">
        <f t="shared" si="121"/>
        <v>0</v>
      </c>
      <c r="AY276" s="497">
        <f t="shared" si="108"/>
        <v>1800000</v>
      </c>
      <c r="AZ276" s="493"/>
      <c r="BA276" s="493"/>
      <c r="BC276" s="492">
        <v>272</v>
      </c>
      <c r="BD276" s="492">
        <v>23</v>
      </c>
      <c r="BE276" s="497">
        <f>IF(('Comparison Calculator'!$E$11-BD276)&gt;=0,0,IFERROR(-PPMT($BI$66/12,(BC276-60),($F$1-5)*12,$BI$65),0))</f>
        <v>0</v>
      </c>
      <c r="BF276" s="497">
        <f>IF(('Comparison Calculator'!$E$11-BD276)&gt;=0,$C$1*$BI$66/12,IFERROR(-IPMT($BI$66/12,(BC276-60),($F$1-5)*12,$BI$65,0),0))</f>
        <v>0</v>
      </c>
      <c r="BG276" s="497">
        <f t="shared" si="122"/>
        <v>0</v>
      </c>
      <c r="BH276" s="497">
        <f t="shared" si="109"/>
        <v>1800000</v>
      </c>
      <c r="BI276" s="493"/>
      <c r="BJ276" s="493"/>
      <c r="BK276" s="492">
        <v>272</v>
      </c>
      <c r="BL276" s="492">
        <v>23</v>
      </c>
      <c r="BM276" s="497">
        <f>IF(('Comparison Calculator'!$E$11-BL276)&gt;=0,0,IFERROR(-PPMT($BQ$66/12,(BK276-60),($F$1-5)*12,$BQ$65),0))</f>
        <v>0</v>
      </c>
      <c r="BN276" s="497">
        <f>IF(('Comparison Calculator'!$E$11-BL276)&gt;=0,$C$1*$BQ$66/12,IFERROR(-IPMT($BQ$66/12,(BK276-60),($F$1-5)*12,$BQ$65,0),0))</f>
        <v>0</v>
      </c>
      <c r="BO276" s="497">
        <f t="shared" si="123"/>
        <v>0</v>
      </c>
      <c r="BP276" s="497">
        <f t="shared" si="110"/>
        <v>1800000</v>
      </c>
      <c r="BQ276" s="493"/>
      <c r="BR276" s="493"/>
      <c r="BT276" s="492">
        <v>272</v>
      </c>
      <c r="BU276" s="492">
        <v>23</v>
      </c>
      <c r="BV276" s="497">
        <f>IF(('Comparison Calculator'!$E$11-BU276)&gt;=0,0,IFERROR(-PPMT($BZ$66/12,(BT276-60),($F$1-5)*12,$BZ$65),0))</f>
        <v>0</v>
      </c>
      <c r="BW276" s="497">
        <f>IF(('Comparison Calculator'!$E$11-BU276)&gt;=0,$C$1*$BZ$66/12,IFERROR(-IPMT($BZ$66/12,(BT276-60),($F$1-5)*12,$BZ$65,0),0))</f>
        <v>0</v>
      </c>
      <c r="BX276" s="497">
        <f t="shared" si="124"/>
        <v>0</v>
      </c>
      <c r="BY276" s="497">
        <f t="shared" si="111"/>
        <v>1800000</v>
      </c>
      <c r="BZ276" s="493"/>
      <c r="CA276" s="493"/>
      <c r="CC276" s="492">
        <v>272</v>
      </c>
      <c r="CD276" s="492">
        <v>23</v>
      </c>
      <c r="CE276" s="497">
        <f>IF(('Comparison Calculator'!$E$11-CD276)&gt;=0,0,IFERROR(-PPMT($CI$66/12,(CC276-60),($F$1-5)*12,$CI$65),0))</f>
        <v>0</v>
      </c>
      <c r="CF276" s="497">
        <f>IF(('Comparison Calculator'!$E$11-CD276)&gt;=0,$C$1*$CI$66/12,IFERROR(-IPMT($CI$66/12,(CC276-60),($F$1-5)*12,$CI$65,0),0))</f>
        <v>0</v>
      </c>
      <c r="CG276" s="497">
        <f t="shared" si="125"/>
        <v>0</v>
      </c>
      <c r="CH276" s="497">
        <f t="shared" si="112"/>
        <v>1800000</v>
      </c>
      <c r="CI276" s="493"/>
      <c r="CJ276" s="493"/>
      <c r="CL276" s="492">
        <v>272</v>
      </c>
      <c r="CM276" s="492">
        <v>23</v>
      </c>
      <c r="CN276" s="497">
        <f>IF(('Comparison Calculator'!$E$11-CM276)&gt;=0,0,IFERROR(-PPMT($CR$66/12,(CL276-60),($F$1-5)*12,$CR$65),0))</f>
        <v>0</v>
      </c>
      <c r="CO276" s="497">
        <f>IF(('Comparison Calculator'!$E$11-CM276)&gt;=0,$C$1*$CI$66/12,IFERROR(-IPMT($CI$66/12,(CL276-60),($F$1-5)*12,$CI$65,0),0))</f>
        <v>0</v>
      </c>
      <c r="CP276" s="497">
        <f t="shared" si="126"/>
        <v>0</v>
      </c>
      <c r="CQ276" s="497">
        <f t="shared" si="113"/>
        <v>1800000</v>
      </c>
      <c r="CR276" s="493"/>
      <c r="CS276" s="493"/>
      <c r="CU276" s="492">
        <v>272</v>
      </c>
      <c r="CV276" s="492">
        <v>23</v>
      </c>
      <c r="CW276" s="497">
        <f>IF(('Comparison Calculator'!$E$11-CV276)&gt;=0,0,IFERROR(-PPMT($DA$66/12,(CU276-60),($F$1-5)*12,$DA$65),0))</f>
        <v>0</v>
      </c>
      <c r="CX276" s="497">
        <f>IF(('Comparison Calculator'!$E$11-CV276)&gt;=0,$C$1*$DA$66/12,IFERROR(-IPMT($DA$66/12,(CU276-60),($F$1-5)*12,$DA$65,0),0))</f>
        <v>0</v>
      </c>
      <c r="CY276" s="497">
        <f t="shared" si="127"/>
        <v>0</v>
      </c>
      <c r="CZ276" s="497">
        <f t="shared" si="114"/>
        <v>1800000</v>
      </c>
      <c r="DA276" s="493"/>
      <c r="DB276" s="493"/>
      <c r="DD276" s="492">
        <v>272</v>
      </c>
      <c r="DE276" s="492">
        <v>23</v>
      </c>
      <c r="DF276" s="497">
        <f>IF(('Comparison Calculator'!$E$11-DE276)&gt;=0,0,IFERROR(-PPMT($DJ$66/12,(DD276-60),($F$1-5)*12,$DJ$65),0))</f>
        <v>0</v>
      </c>
      <c r="DG276" s="497">
        <f>IF(('Comparison Calculator'!$E$11-DE276)&gt;=0,$C$1*$DJ$66/12,IFERROR(-IPMT($DJ$66/12,(DD276-60),($F$1-5)*12,$DJ$65,0),0))</f>
        <v>0</v>
      </c>
      <c r="DH276" s="497">
        <f t="shared" si="128"/>
        <v>0</v>
      </c>
      <c r="DI276" s="497">
        <f t="shared" si="115"/>
        <v>1800000</v>
      </c>
      <c r="DJ276" s="493"/>
      <c r="DK276" s="493"/>
    </row>
    <row r="277" spans="1:115">
      <c r="A277" s="492">
        <v>273</v>
      </c>
      <c r="B277" s="492">
        <v>23</v>
      </c>
      <c r="C277" s="497">
        <f>IF(('Comparison Calculator'!$E$11-B277)&gt;=0,0,IFERROR(-PPMT($G$66/12,(A277-60),($F$1-5)*12,$G$65),0))</f>
        <v>0</v>
      </c>
      <c r="D277" s="497">
        <f>IF(('Comparison Calculator'!$E$11-B277)&gt;=0,$C$1*$G$66/12,IFERROR(-IPMT($G$66/12,(A277-60),($F$1-5)*12,$G$65,0),0))</f>
        <v>0</v>
      </c>
      <c r="E277" s="497">
        <f t="shared" si="116"/>
        <v>0</v>
      </c>
      <c r="F277" s="497">
        <f t="shared" si="129"/>
        <v>1800000</v>
      </c>
      <c r="G277" s="493"/>
      <c r="H277" s="493"/>
      <c r="I277" s="489"/>
      <c r="J277" s="492">
        <v>273</v>
      </c>
      <c r="K277" s="492">
        <v>23</v>
      </c>
      <c r="L277" s="497">
        <f>IF(('Comparison Calculator'!$E$11-K277)&gt;=0,0,IFERROR(-PPMT($P$66/12,(J277-60),($F$1-5)*12,$P$65),0))</f>
        <v>0</v>
      </c>
      <c r="M277" s="497">
        <f>IF(('Comparison Calculator'!$E$11-K277)&gt;=0,$C$1*$P$66/12,IFERROR(-IPMT($P$66/12,(J277-60),($F$1-5)*12,$P$65,0),0))</f>
        <v>0</v>
      </c>
      <c r="N277" s="497">
        <f t="shared" si="117"/>
        <v>0</v>
      </c>
      <c r="O277" s="497">
        <f t="shared" si="104"/>
        <v>1800000</v>
      </c>
      <c r="P277" s="493"/>
      <c r="Q277" s="493"/>
      <c r="S277" s="492">
        <v>273</v>
      </c>
      <c r="T277" s="492">
        <v>23</v>
      </c>
      <c r="U277" s="497">
        <f>IF(('Comparison Calculator'!$E$11-T277)&gt;=0,0,IFERROR(-PPMT($Y$66/12,(S277-60),($F$1-5)*12,$Y$65),0))</f>
        <v>0</v>
      </c>
      <c r="V277" s="497">
        <f>IF(('Comparison Calculator'!$E$11-T277)&gt;=0,$C$1*$Y$66/12,IFERROR(-IPMT($Y$66/12,(S277-60),($F$1-5)*12,$Y$65,0),0))</f>
        <v>0</v>
      </c>
      <c r="W277" s="497">
        <f t="shared" si="118"/>
        <v>0</v>
      </c>
      <c r="X277" s="497">
        <f t="shared" si="105"/>
        <v>1800000</v>
      </c>
      <c r="Y277" s="493"/>
      <c r="Z277" s="493"/>
      <c r="AB277" s="492">
        <v>273</v>
      </c>
      <c r="AC277" s="492">
        <v>23</v>
      </c>
      <c r="AD277" s="497">
        <f>IF(('Comparison Calculator'!$E$11-AC277)&gt;=0,0,IFERROR(-PPMT($AH$66/12,(AB277-60),($F$1-5)*12,$AH$65),0))</f>
        <v>0</v>
      </c>
      <c r="AE277" s="497">
        <f>IF(('Comparison Calculator'!$E$11-AC277)&gt;=0,$C$1*$AH$66/12,IFERROR(-IPMT($AH$66/12,(AB277-60),($F$1-5)*12,$AH$65,0),0))</f>
        <v>0</v>
      </c>
      <c r="AF277" s="497">
        <f t="shared" si="119"/>
        <v>0</v>
      </c>
      <c r="AG277" s="497">
        <f t="shared" si="106"/>
        <v>1800000</v>
      </c>
      <c r="AH277" s="493"/>
      <c r="AI277" s="493"/>
      <c r="AK277" s="492">
        <v>273</v>
      </c>
      <c r="AL277" s="492">
        <v>23</v>
      </c>
      <c r="AM277" s="497">
        <f>IF(('Comparison Calculator'!$E$11-AL277)&gt;=0,0,IFERROR(-PPMT($AQ$66/12,(AK277-60),($F$1-5)*12,$AQ$65),0))</f>
        <v>0</v>
      </c>
      <c r="AN277" s="497">
        <f>IF(('Comparison Calculator'!$E$11-AL277)&gt;=0,$C$1*$AQ$66/12,IFERROR(-IPMT($AQ$66/12,(AK277-60),($F$1-5)*12,$AQ$65,0),0))</f>
        <v>0</v>
      </c>
      <c r="AO277" s="497">
        <f t="shared" si="120"/>
        <v>0</v>
      </c>
      <c r="AP277" s="497">
        <f t="shared" si="107"/>
        <v>1800000</v>
      </c>
      <c r="AQ277" s="493"/>
      <c r="AR277" s="493"/>
      <c r="AT277" s="492">
        <v>273</v>
      </c>
      <c r="AU277" s="492">
        <v>23</v>
      </c>
      <c r="AV277" s="497">
        <f>IF(('Comparison Calculator'!$E$11-AU277)&gt;=0,0,IFERROR(-PPMT($AZ$66/12,(AT277-60),($F$1-5)*12,$AZ$65),0))</f>
        <v>0</v>
      </c>
      <c r="AW277" s="497">
        <f>IF(('Comparison Calculator'!$E$11-AU277)&gt;=0,$C$1*$AZ$66/12,IFERROR(-IPMT($AZ$66/12,(AT277-60),($F$1-5)*12,$AZ$65,0),0))</f>
        <v>0</v>
      </c>
      <c r="AX277" s="497">
        <f t="shared" si="121"/>
        <v>0</v>
      </c>
      <c r="AY277" s="497">
        <f t="shared" si="108"/>
        <v>1800000</v>
      </c>
      <c r="AZ277" s="493"/>
      <c r="BA277" s="493"/>
      <c r="BC277" s="492">
        <v>273</v>
      </c>
      <c r="BD277" s="492">
        <v>23</v>
      </c>
      <c r="BE277" s="497">
        <f>IF(('Comparison Calculator'!$E$11-BD277)&gt;=0,0,IFERROR(-PPMT($BI$66/12,(BC277-60),($F$1-5)*12,$BI$65),0))</f>
        <v>0</v>
      </c>
      <c r="BF277" s="497">
        <f>IF(('Comparison Calculator'!$E$11-BD277)&gt;=0,$C$1*$BI$66/12,IFERROR(-IPMT($BI$66/12,(BC277-60),($F$1-5)*12,$BI$65,0),0))</f>
        <v>0</v>
      </c>
      <c r="BG277" s="497">
        <f t="shared" si="122"/>
        <v>0</v>
      </c>
      <c r="BH277" s="497">
        <f t="shared" si="109"/>
        <v>1800000</v>
      </c>
      <c r="BI277" s="493"/>
      <c r="BJ277" s="493"/>
      <c r="BK277" s="492">
        <v>273</v>
      </c>
      <c r="BL277" s="492">
        <v>23</v>
      </c>
      <c r="BM277" s="497">
        <f>IF(('Comparison Calculator'!$E$11-BL277)&gt;=0,0,IFERROR(-PPMT($BQ$66/12,(BK277-60),($F$1-5)*12,$BQ$65),0))</f>
        <v>0</v>
      </c>
      <c r="BN277" s="497">
        <f>IF(('Comparison Calculator'!$E$11-BL277)&gt;=0,$C$1*$BQ$66/12,IFERROR(-IPMT($BQ$66/12,(BK277-60),($F$1-5)*12,$BQ$65,0),0))</f>
        <v>0</v>
      </c>
      <c r="BO277" s="497">
        <f t="shared" si="123"/>
        <v>0</v>
      </c>
      <c r="BP277" s="497">
        <f t="shared" si="110"/>
        <v>1800000</v>
      </c>
      <c r="BQ277" s="493"/>
      <c r="BR277" s="493"/>
      <c r="BT277" s="492">
        <v>273</v>
      </c>
      <c r="BU277" s="492">
        <v>23</v>
      </c>
      <c r="BV277" s="497">
        <f>IF(('Comparison Calculator'!$E$11-BU277)&gt;=0,0,IFERROR(-PPMT($BZ$66/12,(BT277-60),($F$1-5)*12,$BZ$65),0))</f>
        <v>0</v>
      </c>
      <c r="BW277" s="497">
        <f>IF(('Comparison Calculator'!$E$11-BU277)&gt;=0,$C$1*$BZ$66/12,IFERROR(-IPMT($BZ$66/12,(BT277-60),($F$1-5)*12,$BZ$65,0),0))</f>
        <v>0</v>
      </c>
      <c r="BX277" s="497">
        <f t="shared" si="124"/>
        <v>0</v>
      </c>
      <c r="BY277" s="497">
        <f t="shared" si="111"/>
        <v>1800000</v>
      </c>
      <c r="BZ277" s="493"/>
      <c r="CA277" s="493"/>
      <c r="CC277" s="492">
        <v>273</v>
      </c>
      <c r="CD277" s="492">
        <v>23</v>
      </c>
      <c r="CE277" s="497">
        <f>IF(('Comparison Calculator'!$E$11-CD277)&gt;=0,0,IFERROR(-PPMT($CI$66/12,(CC277-60),($F$1-5)*12,$CI$65),0))</f>
        <v>0</v>
      </c>
      <c r="CF277" s="497">
        <f>IF(('Comparison Calculator'!$E$11-CD277)&gt;=0,$C$1*$CI$66/12,IFERROR(-IPMT($CI$66/12,(CC277-60),($F$1-5)*12,$CI$65,0),0))</f>
        <v>0</v>
      </c>
      <c r="CG277" s="497">
        <f t="shared" si="125"/>
        <v>0</v>
      </c>
      <c r="CH277" s="497">
        <f t="shared" si="112"/>
        <v>1800000</v>
      </c>
      <c r="CI277" s="493"/>
      <c r="CJ277" s="493"/>
      <c r="CL277" s="492">
        <v>273</v>
      </c>
      <c r="CM277" s="492">
        <v>23</v>
      </c>
      <c r="CN277" s="497">
        <f>IF(('Comparison Calculator'!$E$11-CM277)&gt;=0,0,IFERROR(-PPMT($CR$66/12,(CL277-60),($F$1-5)*12,$CR$65),0))</f>
        <v>0</v>
      </c>
      <c r="CO277" s="497">
        <f>IF(('Comparison Calculator'!$E$11-CM277)&gt;=0,$C$1*$CI$66/12,IFERROR(-IPMT($CI$66/12,(CL277-60),($F$1-5)*12,$CI$65,0),0))</f>
        <v>0</v>
      </c>
      <c r="CP277" s="497">
        <f t="shared" si="126"/>
        <v>0</v>
      </c>
      <c r="CQ277" s="497">
        <f t="shared" si="113"/>
        <v>1800000</v>
      </c>
      <c r="CR277" s="493"/>
      <c r="CS277" s="493"/>
      <c r="CU277" s="492">
        <v>273</v>
      </c>
      <c r="CV277" s="492">
        <v>23</v>
      </c>
      <c r="CW277" s="497">
        <f>IF(('Comparison Calculator'!$E$11-CV277)&gt;=0,0,IFERROR(-PPMT($DA$66/12,(CU277-60),($F$1-5)*12,$DA$65),0))</f>
        <v>0</v>
      </c>
      <c r="CX277" s="497">
        <f>IF(('Comparison Calculator'!$E$11-CV277)&gt;=0,$C$1*$DA$66/12,IFERROR(-IPMT($DA$66/12,(CU277-60),($F$1-5)*12,$DA$65,0),0))</f>
        <v>0</v>
      </c>
      <c r="CY277" s="497">
        <f t="shared" si="127"/>
        <v>0</v>
      </c>
      <c r="CZ277" s="497">
        <f t="shared" si="114"/>
        <v>1800000</v>
      </c>
      <c r="DA277" s="493"/>
      <c r="DB277" s="493"/>
      <c r="DD277" s="492">
        <v>273</v>
      </c>
      <c r="DE277" s="492">
        <v>23</v>
      </c>
      <c r="DF277" s="497">
        <f>IF(('Comparison Calculator'!$E$11-DE277)&gt;=0,0,IFERROR(-PPMT($DJ$66/12,(DD277-60),($F$1-5)*12,$DJ$65),0))</f>
        <v>0</v>
      </c>
      <c r="DG277" s="497">
        <f>IF(('Comparison Calculator'!$E$11-DE277)&gt;=0,$C$1*$DJ$66/12,IFERROR(-IPMT($DJ$66/12,(DD277-60),($F$1-5)*12,$DJ$65,0),0))</f>
        <v>0</v>
      </c>
      <c r="DH277" s="497">
        <f t="shared" si="128"/>
        <v>0</v>
      </c>
      <c r="DI277" s="497">
        <f t="shared" si="115"/>
        <v>1800000</v>
      </c>
      <c r="DJ277" s="493"/>
      <c r="DK277" s="493"/>
    </row>
    <row r="278" spans="1:115">
      <c r="A278" s="492">
        <v>274</v>
      </c>
      <c r="B278" s="492">
        <v>23</v>
      </c>
      <c r="C278" s="497">
        <f>IF(('Comparison Calculator'!$E$11-B278)&gt;=0,0,IFERROR(-PPMT($G$66/12,(A278-60),($F$1-5)*12,$G$65),0))</f>
        <v>0</v>
      </c>
      <c r="D278" s="497">
        <f>IF(('Comparison Calculator'!$E$11-B278)&gt;=0,$C$1*$G$66/12,IFERROR(-IPMT($G$66/12,(A278-60),($F$1-5)*12,$G$65,0),0))</f>
        <v>0</v>
      </c>
      <c r="E278" s="497">
        <f t="shared" si="116"/>
        <v>0</v>
      </c>
      <c r="F278" s="497">
        <f t="shared" si="129"/>
        <v>1800000</v>
      </c>
      <c r="G278" s="493"/>
      <c r="H278" s="493"/>
      <c r="I278" s="489"/>
      <c r="J278" s="492">
        <v>274</v>
      </c>
      <c r="K278" s="492">
        <v>23</v>
      </c>
      <c r="L278" s="497">
        <f>IF(('Comparison Calculator'!$E$11-K278)&gt;=0,0,IFERROR(-PPMT($P$66/12,(J278-60),($F$1-5)*12,$P$65),0))</f>
        <v>0</v>
      </c>
      <c r="M278" s="497">
        <f>IF(('Comparison Calculator'!$E$11-K278)&gt;=0,$C$1*$P$66/12,IFERROR(-IPMT($P$66/12,(J278-60),($F$1-5)*12,$P$65,0),0))</f>
        <v>0</v>
      </c>
      <c r="N278" s="497">
        <f t="shared" si="117"/>
        <v>0</v>
      </c>
      <c r="O278" s="497">
        <f t="shared" si="104"/>
        <v>1800000</v>
      </c>
      <c r="P278" s="493"/>
      <c r="Q278" s="493"/>
      <c r="S278" s="492">
        <v>274</v>
      </c>
      <c r="T278" s="492">
        <v>23</v>
      </c>
      <c r="U278" s="497">
        <f>IF(('Comparison Calculator'!$E$11-T278)&gt;=0,0,IFERROR(-PPMT($Y$66/12,(S278-60),($F$1-5)*12,$Y$65),0))</f>
        <v>0</v>
      </c>
      <c r="V278" s="497">
        <f>IF(('Comparison Calculator'!$E$11-T278)&gt;=0,$C$1*$Y$66/12,IFERROR(-IPMT($Y$66/12,(S278-60),($F$1-5)*12,$Y$65,0),0))</f>
        <v>0</v>
      </c>
      <c r="W278" s="497">
        <f t="shared" si="118"/>
        <v>0</v>
      </c>
      <c r="X278" s="497">
        <f t="shared" si="105"/>
        <v>1800000</v>
      </c>
      <c r="Y278" s="493"/>
      <c r="Z278" s="493"/>
      <c r="AB278" s="492">
        <v>274</v>
      </c>
      <c r="AC278" s="492">
        <v>23</v>
      </c>
      <c r="AD278" s="497">
        <f>IF(('Comparison Calculator'!$E$11-AC278)&gt;=0,0,IFERROR(-PPMT($AH$66/12,(AB278-60),($F$1-5)*12,$AH$65),0))</f>
        <v>0</v>
      </c>
      <c r="AE278" s="497">
        <f>IF(('Comparison Calculator'!$E$11-AC278)&gt;=0,$C$1*$AH$66/12,IFERROR(-IPMT($AH$66/12,(AB278-60),($F$1-5)*12,$AH$65,0),0))</f>
        <v>0</v>
      </c>
      <c r="AF278" s="497">
        <f t="shared" si="119"/>
        <v>0</v>
      </c>
      <c r="AG278" s="497">
        <f t="shared" si="106"/>
        <v>1800000</v>
      </c>
      <c r="AH278" s="493"/>
      <c r="AI278" s="493"/>
      <c r="AK278" s="492">
        <v>274</v>
      </c>
      <c r="AL278" s="492">
        <v>23</v>
      </c>
      <c r="AM278" s="497">
        <f>IF(('Comparison Calculator'!$E$11-AL278)&gt;=0,0,IFERROR(-PPMT($AQ$66/12,(AK278-60),($F$1-5)*12,$AQ$65),0))</f>
        <v>0</v>
      </c>
      <c r="AN278" s="497">
        <f>IF(('Comparison Calculator'!$E$11-AL278)&gt;=0,$C$1*$AQ$66/12,IFERROR(-IPMT($AQ$66/12,(AK278-60),($F$1-5)*12,$AQ$65,0),0))</f>
        <v>0</v>
      </c>
      <c r="AO278" s="497">
        <f t="shared" si="120"/>
        <v>0</v>
      </c>
      <c r="AP278" s="497">
        <f t="shared" si="107"/>
        <v>1800000</v>
      </c>
      <c r="AQ278" s="493"/>
      <c r="AR278" s="493"/>
      <c r="AT278" s="492">
        <v>274</v>
      </c>
      <c r="AU278" s="492">
        <v>23</v>
      </c>
      <c r="AV278" s="497">
        <f>IF(('Comparison Calculator'!$E$11-AU278)&gt;=0,0,IFERROR(-PPMT($AZ$66/12,(AT278-60),($F$1-5)*12,$AZ$65),0))</f>
        <v>0</v>
      </c>
      <c r="AW278" s="497">
        <f>IF(('Comparison Calculator'!$E$11-AU278)&gt;=0,$C$1*$AZ$66/12,IFERROR(-IPMT($AZ$66/12,(AT278-60),($F$1-5)*12,$AZ$65,0),0))</f>
        <v>0</v>
      </c>
      <c r="AX278" s="497">
        <f t="shared" si="121"/>
        <v>0</v>
      </c>
      <c r="AY278" s="497">
        <f t="shared" si="108"/>
        <v>1800000</v>
      </c>
      <c r="AZ278" s="493"/>
      <c r="BA278" s="493"/>
      <c r="BC278" s="492">
        <v>274</v>
      </c>
      <c r="BD278" s="492">
        <v>23</v>
      </c>
      <c r="BE278" s="497">
        <f>IF(('Comparison Calculator'!$E$11-BD278)&gt;=0,0,IFERROR(-PPMT($BI$66/12,(BC278-60),($F$1-5)*12,$BI$65),0))</f>
        <v>0</v>
      </c>
      <c r="BF278" s="497">
        <f>IF(('Comparison Calculator'!$E$11-BD278)&gt;=0,$C$1*$BI$66/12,IFERROR(-IPMT($BI$66/12,(BC278-60),($F$1-5)*12,$BI$65,0),0))</f>
        <v>0</v>
      </c>
      <c r="BG278" s="497">
        <f t="shared" si="122"/>
        <v>0</v>
      </c>
      <c r="BH278" s="497">
        <f t="shared" si="109"/>
        <v>1800000</v>
      </c>
      <c r="BI278" s="493"/>
      <c r="BJ278" s="493"/>
      <c r="BK278" s="492">
        <v>274</v>
      </c>
      <c r="BL278" s="492">
        <v>23</v>
      </c>
      <c r="BM278" s="497">
        <f>IF(('Comparison Calculator'!$E$11-BL278)&gt;=0,0,IFERROR(-PPMT($BQ$66/12,(BK278-60),($F$1-5)*12,$BQ$65),0))</f>
        <v>0</v>
      </c>
      <c r="BN278" s="497">
        <f>IF(('Comparison Calculator'!$E$11-BL278)&gt;=0,$C$1*$BQ$66/12,IFERROR(-IPMT($BQ$66/12,(BK278-60),($F$1-5)*12,$BQ$65,0),0))</f>
        <v>0</v>
      </c>
      <c r="BO278" s="497">
        <f t="shared" si="123"/>
        <v>0</v>
      </c>
      <c r="BP278" s="497">
        <f t="shared" si="110"/>
        <v>1800000</v>
      </c>
      <c r="BQ278" s="493"/>
      <c r="BR278" s="493"/>
      <c r="BT278" s="492">
        <v>274</v>
      </c>
      <c r="BU278" s="492">
        <v>23</v>
      </c>
      <c r="BV278" s="497">
        <f>IF(('Comparison Calculator'!$E$11-BU278)&gt;=0,0,IFERROR(-PPMT($BZ$66/12,(BT278-60),($F$1-5)*12,$BZ$65),0))</f>
        <v>0</v>
      </c>
      <c r="BW278" s="497">
        <f>IF(('Comparison Calculator'!$E$11-BU278)&gt;=0,$C$1*$BZ$66/12,IFERROR(-IPMT($BZ$66/12,(BT278-60),($F$1-5)*12,$BZ$65,0),0))</f>
        <v>0</v>
      </c>
      <c r="BX278" s="497">
        <f t="shared" si="124"/>
        <v>0</v>
      </c>
      <c r="BY278" s="497">
        <f t="shared" si="111"/>
        <v>1800000</v>
      </c>
      <c r="BZ278" s="493"/>
      <c r="CA278" s="493"/>
      <c r="CC278" s="492">
        <v>274</v>
      </c>
      <c r="CD278" s="492">
        <v>23</v>
      </c>
      <c r="CE278" s="497">
        <f>IF(('Comparison Calculator'!$E$11-CD278)&gt;=0,0,IFERROR(-PPMT($CI$66/12,(CC278-60),($F$1-5)*12,$CI$65),0))</f>
        <v>0</v>
      </c>
      <c r="CF278" s="497">
        <f>IF(('Comparison Calculator'!$E$11-CD278)&gt;=0,$C$1*$CI$66/12,IFERROR(-IPMT($CI$66/12,(CC278-60),($F$1-5)*12,$CI$65,0),0))</f>
        <v>0</v>
      </c>
      <c r="CG278" s="497">
        <f t="shared" si="125"/>
        <v>0</v>
      </c>
      <c r="CH278" s="497">
        <f t="shared" si="112"/>
        <v>1800000</v>
      </c>
      <c r="CI278" s="493"/>
      <c r="CJ278" s="493"/>
      <c r="CL278" s="492">
        <v>274</v>
      </c>
      <c r="CM278" s="492">
        <v>23</v>
      </c>
      <c r="CN278" s="497">
        <f>IF(('Comparison Calculator'!$E$11-CM278)&gt;=0,0,IFERROR(-PPMT($CR$66/12,(CL278-60),($F$1-5)*12,$CR$65),0))</f>
        <v>0</v>
      </c>
      <c r="CO278" s="497">
        <f>IF(('Comparison Calculator'!$E$11-CM278)&gt;=0,$C$1*$CI$66/12,IFERROR(-IPMT($CI$66/12,(CL278-60),($F$1-5)*12,$CI$65,0),0))</f>
        <v>0</v>
      </c>
      <c r="CP278" s="497">
        <f t="shared" si="126"/>
        <v>0</v>
      </c>
      <c r="CQ278" s="497">
        <f t="shared" si="113"/>
        <v>1800000</v>
      </c>
      <c r="CR278" s="493"/>
      <c r="CS278" s="493"/>
      <c r="CU278" s="492">
        <v>274</v>
      </c>
      <c r="CV278" s="492">
        <v>23</v>
      </c>
      <c r="CW278" s="497">
        <f>IF(('Comparison Calculator'!$E$11-CV278)&gt;=0,0,IFERROR(-PPMT($DA$66/12,(CU278-60),($F$1-5)*12,$DA$65),0))</f>
        <v>0</v>
      </c>
      <c r="CX278" s="497">
        <f>IF(('Comparison Calculator'!$E$11-CV278)&gt;=0,$C$1*$DA$66/12,IFERROR(-IPMT($DA$66/12,(CU278-60),($F$1-5)*12,$DA$65,0),0))</f>
        <v>0</v>
      </c>
      <c r="CY278" s="497">
        <f t="shared" si="127"/>
        <v>0</v>
      </c>
      <c r="CZ278" s="497">
        <f t="shared" si="114"/>
        <v>1800000</v>
      </c>
      <c r="DA278" s="493"/>
      <c r="DB278" s="493"/>
      <c r="DD278" s="492">
        <v>274</v>
      </c>
      <c r="DE278" s="492">
        <v>23</v>
      </c>
      <c r="DF278" s="497">
        <f>IF(('Comparison Calculator'!$E$11-DE278)&gt;=0,0,IFERROR(-PPMT($DJ$66/12,(DD278-60),($F$1-5)*12,$DJ$65),0))</f>
        <v>0</v>
      </c>
      <c r="DG278" s="497">
        <f>IF(('Comparison Calculator'!$E$11-DE278)&gt;=0,$C$1*$DJ$66/12,IFERROR(-IPMT($DJ$66/12,(DD278-60),($F$1-5)*12,$DJ$65,0),0))</f>
        <v>0</v>
      </c>
      <c r="DH278" s="497">
        <f t="shared" si="128"/>
        <v>0</v>
      </c>
      <c r="DI278" s="497">
        <f t="shared" si="115"/>
        <v>1800000</v>
      </c>
      <c r="DJ278" s="493"/>
      <c r="DK278" s="493"/>
    </row>
    <row r="279" spans="1:115">
      <c r="A279" s="492">
        <v>275</v>
      </c>
      <c r="B279" s="492">
        <v>23</v>
      </c>
      <c r="C279" s="497">
        <f>IF(('Comparison Calculator'!$E$11-B279)&gt;=0,0,IFERROR(-PPMT($G$66/12,(A279-60),($F$1-5)*12,$G$65),0))</f>
        <v>0</v>
      </c>
      <c r="D279" s="497">
        <f>IF(('Comparison Calculator'!$E$11-B279)&gt;=0,$C$1*$G$66/12,IFERROR(-IPMT($G$66/12,(A279-60),($F$1-5)*12,$G$65,0),0))</f>
        <v>0</v>
      </c>
      <c r="E279" s="497">
        <f t="shared" si="116"/>
        <v>0</v>
      </c>
      <c r="F279" s="497">
        <f t="shared" si="129"/>
        <v>1800000</v>
      </c>
      <c r="G279" s="493"/>
      <c r="H279" s="493"/>
      <c r="I279" s="489"/>
      <c r="J279" s="492">
        <v>275</v>
      </c>
      <c r="K279" s="492">
        <v>23</v>
      </c>
      <c r="L279" s="497">
        <f>IF(('Comparison Calculator'!$E$11-K279)&gt;=0,0,IFERROR(-PPMT($P$66/12,(J279-60),($F$1-5)*12,$P$65),0))</f>
        <v>0</v>
      </c>
      <c r="M279" s="497">
        <f>IF(('Comparison Calculator'!$E$11-K279)&gt;=0,$C$1*$P$66/12,IFERROR(-IPMT($P$66/12,(J279-60),($F$1-5)*12,$P$65,0),0))</f>
        <v>0</v>
      </c>
      <c r="N279" s="497">
        <f t="shared" si="117"/>
        <v>0</v>
      </c>
      <c r="O279" s="497">
        <f t="shared" si="104"/>
        <v>1800000</v>
      </c>
      <c r="P279" s="493"/>
      <c r="Q279" s="493"/>
      <c r="S279" s="492">
        <v>275</v>
      </c>
      <c r="T279" s="492">
        <v>23</v>
      </c>
      <c r="U279" s="497">
        <f>IF(('Comparison Calculator'!$E$11-T279)&gt;=0,0,IFERROR(-PPMT($Y$66/12,(S279-60),($F$1-5)*12,$Y$65),0))</f>
        <v>0</v>
      </c>
      <c r="V279" s="497">
        <f>IF(('Comparison Calculator'!$E$11-T279)&gt;=0,$C$1*$Y$66/12,IFERROR(-IPMT($Y$66/12,(S279-60),($F$1-5)*12,$Y$65,0),0))</f>
        <v>0</v>
      </c>
      <c r="W279" s="497">
        <f t="shared" si="118"/>
        <v>0</v>
      </c>
      <c r="X279" s="497">
        <f t="shared" si="105"/>
        <v>1800000</v>
      </c>
      <c r="Y279" s="493"/>
      <c r="Z279" s="493"/>
      <c r="AB279" s="492">
        <v>275</v>
      </c>
      <c r="AC279" s="492">
        <v>23</v>
      </c>
      <c r="AD279" s="497">
        <f>IF(('Comparison Calculator'!$E$11-AC279)&gt;=0,0,IFERROR(-PPMT($AH$66/12,(AB279-60),($F$1-5)*12,$AH$65),0))</f>
        <v>0</v>
      </c>
      <c r="AE279" s="497">
        <f>IF(('Comparison Calculator'!$E$11-AC279)&gt;=0,$C$1*$AH$66/12,IFERROR(-IPMT($AH$66/12,(AB279-60),($F$1-5)*12,$AH$65,0),0))</f>
        <v>0</v>
      </c>
      <c r="AF279" s="497">
        <f t="shared" si="119"/>
        <v>0</v>
      </c>
      <c r="AG279" s="497">
        <f t="shared" si="106"/>
        <v>1800000</v>
      </c>
      <c r="AH279" s="493"/>
      <c r="AI279" s="493"/>
      <c r="AK279" s="492">
        <v>275</v>
      </c>
      <c r="AL279" s="492">
        <v>23</v>
      </c>
      <c r="AM279" s="497">
        <f>IF(('Comparison Calculator'!$E$11-AL279)&gt;=0,0,IFERROR(-PPMT($AQ$66/12,(AK279-60),($F$1-5)*12,$AQ$65),0))</f>
        <v>0</v>
      </c>
      <c r="AN279" s="497">
        <f>IF(('Comparison Calculator'!$E$11-AL279)&gt;=0,$C$1*$AQ$66/12,IFERROR(-IPMT($AQ$66/12,(AK279-60),($F$1-5)*12,$AQ$65,0),0))</f>
        <v>0</v>
      </c>
      <c r="AO279" s="497">
        <f t="shared" si="120"/>
        <v>0</v>
      </c>
      <c r="AP279" s="497">
        <f t="shared" si="107"/>
        <v>1800000</v>
      </c>
      <c r="AQ279" s="493"/>
      <c r="AR279" s="493"/>
      <c r="AT279" s="492">
        <v>275</v>
      </c>
      <c r="AU279" s="492">
        <v>23</v>
      </c>
      <c r="AV279" s="497">
        <f>IF(('Comparison Calculator'!$E$11-AU279)&gt;=0,0,IFERROR(-PPMT($AZ$66/12,(AT279-60),($F$1-5)*12,$AZ$65),0))</f>
        <v>0</v>
      </c>
      <c r="AW279" s="497">
        <f>IF(('Comparison Calculator'!$E$11-AU279)&gt;=0,$C$1*$AZ$66/12,IFERROR(-IPMT($AZ$66/12,(AT279-60),($F$1-5)*12,$AZ$65,0),0))</f>
        <v>0</v>
      </c>
      <c r="AX279" s="497">
        <f t="shared" si="121"/>
        <v>0</v>
      </c>
      <c r="AY279" s="497">
        <f t="shared" si="108"/>
        <v>1800000</v>
      </c>
      <c r="AZ279" s="493"/>
      <c r="BA279" s="493"/>
      <c r="BC279" s="492">
        <v>275</v>
      </c>
      <c r="BD279" s="492">
        <v>23</v>
      </c>
      <c r="BE279" s="497">
        <f>IF(('Comparison Calculator'!$E$11-BD279)&gt;=0,0,IFERROR(-PPMT($BI$66/12,(BC279-60),($F$1-5)*12,$BI$65),0))</f>
        <v>0</v>
      </c>
      <c r="BF279" s="497">
        <f>IF(('Comparison Calculator'!$E$11-BD279)&gt;=0,$C$1*$BI$66/12,IFERROR(-IPMT($BI$66/12,(BC279-60),($F$1-5)*12,$BI$65,0),0))</f>
        <v>0</v>
      </c>
      <c r="BG279" s="497">
        <f t="shared" si="122"/>
        <v>0</v>
      </c>
      <c r="BH279" s="497">
        <f t="shared" si="109"/>
        <v>1800000</v>
      </c>
      <c r="BI279" s="493"/>
      <c r="BJ279" s="493"/>
      <c r="BK279" s="492">
        <v>275</v>
      </c>
      <c r="BL279" s="492">
        <v>23</v>
      </c>
      <c r="BM279" s="497">
        <f>IF(('Comparison Calculator'!$E$11-BL279)&gt;=0,0,IFERROR(-PPMT($BQ$66/12,(BK279-60),($F$1-5)*12,$BQ$65),0))</f>
        <v>0</v>
      </c>
      <c r="BN279" s="497">
        <f>IF(('Comparison Calculator'!$E$11-BL279)&gt;=0,$C$1*$BQ$66/12,IFERROR(-IPMT($BQ$66/12,(BK279-60),($F$1-5)*12,$BQ$65,0),0))</f>
        <v>0</v>
      </c>
      <c r="BO279" s="497">
        <f t="shared" si="123"/>
        <v>0</v>
      </c>
      <c r="BP279" s="497">
        <f t="shared" si="110"/>
        <v>1800000</v>
      </c>
      <c r="BQ279" s="493"/>
      <c r="BR279" s="493"/>
      <c r="BT279" s="492">
        <v>275</v>
      </c>
      <c r="BU279" s="492">
        <v>23</v>
      </c>
      <c r="BV279" s="497">
        <f>IF(('Comparison Calculator'!$E$11-BU279)&gt;=0,0,IFERROR(-PPMT($BZ$66/12,(BT279-60),($F$1-5)*12,$BZ$65),0))</f>
        <v>0</v>
      </c>
      <c r="BW279" s="497">
        <f>IF(('Comparison Calculator'!$E$11-BU279)&gt;=0,$C$1*$BZ$66/12,IFERROR(-IPMT($BZ$66/12,(BT279-60),($F$1-5)*12,$BZ$65,0),0))</f>
        <v>0</v>
      </c>
      <c r="BX279" s="497">
        <f t="shared" si="124"/>
        <v>0</v>
      </c>
      <c r="BY279" s="497">
        <f t="shared" si="111"/>
        <v>1800000</v>
      </c>
      <c r="BZ279" s="493"/>
      <c r="CA279" s="493"/>
      <c r="CC279" s="492">
        <v>275</v>
      </c>
      <c r="CD279" s="492">
        <v>23</v>
      </c>
      <c r="CE279" s="497">
        <f>IF(('Comparison Calculator'!$E$11-CD279)&gt;=0,0,IFERROR(-PPMT($CI$66/12,(CC279-60),($F$1-5)*12,$CI$65),0))</f>
        <v>0</v>
      </c>
      <c r="CF279" s="497">
        <f>IF(('Comparison Calculator'!$E$11-CD279)&gt;=0,$C$1*$CI$66/12,IFERROR(-IPMT($CI$66/12,(CC279-60),($F$1-5)*12,$CI$65,0),0))</f>
        <v>0</v>
      </c>
      <c r="CG279" s="497">
        <f t="shared" si="125"/>
        <v>0</v>
      </c>
      <c r="CH279" s="497">
        <f t="shared" si="112"/>
        <v>1800000</v>
      </c>
      <c r="CI279" s="493"/>
      <c r="CJ279" s="493"/>
      <c r="CL279" s="492">
        <v>275</v>
      </c>
      <c r="CM279" s="492">
        <v>23</v>
      </c>
      <c r="CN279" s="497">
        <f>IF(('Comparison Calculator'!$E$11-CM279)&gt;=0,0,IFERROR(-PPMT($CR$66/12,(CL279-60),($F$1-5)*12,$CR$65),0))</f>
        <v>0</v>
      </c>
      <c r="CO279" s="497">
        <f>IF(('Comparison Calculator'!$E$11-CM279)&gt;=0,$C$1*$CI$66/12,IFERROR(-IPMT($CI$66/12,(CL279-60),($F$1-5)*12,$CI$65,0),0))</f>
        <v>0</v>
      </c>
      <c r="CP279" s="497">
        <f t="shared" si="126"/>
        <v>0</v>
      </c>
      <c r="CQ279" s="497">
        <f t="shared" si="113"/>
        <v>1800000</v>
      </c>
      <c r="CR279" s="493"/>
      <c r="CS279" s="493"/>
      <c r="CU279" s="492">
        <v>275</v>
      </c>
      <c r="CV279" s="492">
        <v>23</v>
      </c>
      <c r="CW279" s="497">
        <f>IF(('Comparison Calculator'!$E$11-CV279)&gt;=0,0,IFERROR(-PPMT($DA$66/12,(CU279-60),($F$1-5)*12,$DA$65),0))</f>
        <v>0</v>
      </c>
      <c r="CX279" s="497">
        <f>IF(('Comparison Calculator'!$E$11-CV279)&gt;=0,$C$1*$DA$66/12,IFERROR(-IPMT($DA$66/12,(CU279-60),($F$1-5)*12,$DA$65,0),0))</f>
        <v>0</v>
      </c>
      <c r="CY279" s="497">
        <f t="shared" si="127"/>
        <v>0</v>
      </c>
      <c r="CZ279" s="497">
        <f t="shared" si="114"/>
        <v>1800000</v>
      </c>
      <c r="DA279" s="493"/>
      <c r="DB279" s="493"/>
      <c r="DD279" s="492">
        <v>275</v>
      </c>
      <c r="DE279" s="492">
        <v>23</v>
      </c>
      <c r="DF279" s="497">
        <f>IF(('Comparison Calculator'!$E$11-DE279)&gt;=0,0,IFERROR(-PPMT($DJ$66/12,(DD279-60),($F$1-5)*12,$DJ$65),0))</f>
        <v>0</v>
      </c>
      <c r="DG279" s="497">
        <f>IF(('Comparison Calculator'!$E$11-DE279)&gt;=0,$C$1*$DJ$66/12,IFERROR(-IPMT($DJ$66/12,(DD279-60),($F$1-5)*12,$DJ$65,0),0))</f>
        <v>0</v>
      </c>
      <c r="DH279" s="497">
        <f t="shared" si="128"/>
        <v>0</v>
      </c>
      <c r="DI279" s="497">
        <f t="shared" si="115"/>
        <v>1800000</v>
      </c>
      <c r="DJ279" s="493"/>
      <c r="DK279" s="493"/>
    </row>
    <row r="280" spans="1:115">
      <c r="A280" s="492">
        <v>276</v>
      </c>
      <c r="B280" s="492">
        <v>23</v>
      </c>
      <c r="C280" s="497">
        <f>IF(('Comparison Calculator'!$E$11-B280)&gt;=0,0,IFERROR(-PPMT($G$66/12,(A280-60),($F$1-5)*12,$G$65),0))</f>
        <v>0</v>
      </c>
      <c r="D280" s="497">
        <f>IF(('Comparison Calculator'!$E$11-B280)&gt;=0,$C$1*$G$66/12,IFERROR(-IPMT($G$66/12,(A280-60),($F$1-5)*12,$G$65,0),0))</f>
        <v>0</v>
      </c>
      <c r="E280" s="497">
        <f t="shared" si="116"/>
        <v>0</v>
      </c>
      <c r="F280" s="497">
        <f t="shared" si="129"/>
        <v>1800000</v>
      </c>
      <c r="G280" s="493"/>
      <c r="H280" s="493"/>
      <c r="I280" s="489"/>
      <c r="J280" s="492">
        <v>276</v>
      </c>
      <c r="K280" s="492">
        <v>23</v>
      </c>
      <c r="L280" s="497">
        <f>IF(('Comparison Calculator'!$E$11-K280)&gt;=0,0,IFERROR(-PPMT($P$66/12,(J280-60),($F$1-5)*12,$P$65),0))</f>
        <v>0</v>
      </c>
      <c r="M280" s="497">
        <f>IF(('Comparison Calculator'!$E$11-K280)&gt;=0,$C$1*$P$66/12,IFERROR(-IPMT($P$66/12,(J280-60),($F$1-5)*12,$P$65,0),0))</f>
        <v>0</v>
      </c>
      <c r="N280" s="497">
        <f t="shared" si="117"/>
        <v>0</v>
      </c>
      <c r="O280" s="497">
        <f t="shared" si="104"/>
        <v>1800000</v>
      </c>
      <c r="P280" s="493"/>
      <c r="Q280" s="493"/>
      <c r="S280" s="492">
        <v>276</v>
      </c>
      <c r="T280" s="492">
        <v>23</v>
      </c>
      <c r="U280" s="497">
        <f>IF(('Comparison Calculator'!$E$11-T280)&gt;=0,0,IFERROR(-PPMT($Y$66/12,(S280-60),($F$1-5)*12,$Y$65),0))</f>
        <v>0</v>
      </c>
      <c r="V280" s="497">
        <f>IF(('Comparison Calculator'!$E$11-T280)&gt;=0,$C$1*$Y$66/12,IFERROR(-IPMT($Y$66/12,(S280-60),($F$1-5)*12,$Y$65,0),0))</f>
        <v>0</v>
      </c>
      <c r="W280" s="497">
        <f t="shared" si="118"/>
        <v>0</v>
      </c>
      <c r="X280" s="497">
        <f t="shared" si="105"/>
        <v>1800000</v>
      </c>
      <c r="Y280" s="493"/>
      <c r="Z280" s="493"/>
      <c r="AB280" s="492">
        <v>276</v>
      </c>
      <c r="AC280" s="492">
        <v>23</v>
      </c>
      <c r="AD280" s="497">
        <f>IF(('Comparison Calculator'!$E$11-AC280)&gt;=0,0,IFERROR(-PPMT($AH$66/12,(AB280-60),($F$1-5)*12,$AH$65),0))</f>
        <v>0</v>
      </c>
      <c r="AE280" s="497">
        <f>IF(('Comparison Calculator'!$E$11-AC280)&gt;=0,$C$1*$AH$66/12,IFERROR(-IPMT($AH$66/12,(AB280-60),($F$1-5)*12,$AH$65,0),0))</f>
        <v>0</v>
      </c>
      <c r="AF280" s="497">
        <f t="shared" si="119"/>
        <v>0</v>
      </c>
      <c r="AG280" s="497">
        <f t="shared" si="106"/>
        <v>1800000</v>
      </c>
      <c r="AH280" s="493"/>
      <c r="AI280" s="493"/>
      <c r="AK280" s="492">
        <v>276</v>
      </c>
      <c r="AL280" s="492">
        <v>23</v>
      </c>
      <c r="AM280" s="497">
        <f>IF(('Comparison Calculator'!$E$11-AL280)&gt;=0,0,IFERROR(-PPMT($AQ$66/12,(AK280-60),($F$1-5)*12,$AQ$65),0))</f>
        <v>0</v>
      </c>
      <c r="AN280" s="497">
        <f>IF(('Comparison Calculator'!$E$11-AL280)&gt;=0,$C$1*$AQ$66/12,IFERROR(-IPMT($AQ$66/12,(AK280-60),($F$1-5)*12,$AQ$65,0),0))</f>
        <v>0</v>
      </c>
      <c r="AO280" s="497">
        <f t="shared" si="120"/>
        <v>0</v>
      </c>
      <c r="AP280" s="497">
        <f t="shared" si="107"/>
        <v>1800000</v>
      </c>
      <c r="AQ280" s="493"/>
      <c r="AR280" s="493"/>
      <c r="AT280" s="492">
        <v>276</v>
      </c>
      <c r="AU280" s="492">
        <v>23</v>
      </c>
      <c r="AV280" s="497">
        <f>IF(('Comparison Calculator'!$E$11-AU280)&gt;=0,0,IFERROR(-PPMT($AZ$66/12,(AT280-60),($F$1-5)*12,$AZ$65),0))</f>
        <v>0</v>
      </c>
      <c r="AW280" s="497">
        <f>IF(('Comparison Calculator'!$E$11-AU280)&gt;=0,$C$1*$AZ$66/12,IFERROR(-IPMT($AZ$66/12,(AT280-60),($F$1-5)*12,$AZ$65,0),0))</f>
        <v>0</v>
      </c>
      <c r="AX280" s="497">
        <f t="shared" si="121"/>
        <v>0</v>
      </c>
      <c r="AY280" s="497">
        <f t="shared" si="108"/>
        <v>1800000</v>
      </c>
      <c r="AZ280" s="493"/>
      <c r="BA280" s="493"/>
      <c r="BC280" s="492">
        <v>276</v>
      </c>
      <c r="BD280" s="492">
        <v>23</v>
      </c>
      <c r="BE280" s="497">
        <f>IF(('Comparison Calculator'!$E$11-BD280)&gt;=0,0,IFERROR(-PPMT($BI$66/12,(BC280-60),($F$1-5)*12,$BI$65),0))</f>
        <v>0</v>
      </c>
      <c r="BF280" s="497">
        <f>IF(('Comparison Calculator'!$E$11-BD280)&gt;=0,$C$1*$BI$66/12,IFERROR(-IPMT($BI$66/12,(BC280-60),($F$1-5)*12,$BI$65,0),0))</f>
        <v>0</v>
      </c>
      <c r="BG280" s="497">
        <f t="shared" si="122"/>
        <v>0</v>
      </c>
      <c r="BH280" s="497">
        <f t="shared" si="109"/>
        <v>1800000</v>
      </c>
      <c r="BI280" s="493"/>
      <c r="BJ280" s="493"/>
      <c r="BK280" s="492">
        <v>276</v>
      </c>
      <c r="BL280" s="492">
        <v>23</v>
      </c>
      <c r="BM280" s="497">
        <f>IF(('Comparison Calculator'!$E$11-BL280)&gt;=0,0,IFERROR(-PPMT($BQ$66/12,(BK280-60),($F$1-5)*12,$BQ$65),0))</f>
        <v>0</v>
      </c>
      <c r="BN280" s="497">
        <f>IF(('Comparison Calculator'!$E$11-BL280)&gt;=0,$C$1*$BQ$66/12,IFERROR(-IPMT($BQ$66/12,(BK280-60),($F$1-5)*12,$BQ$65,0),0))</f>
        <v>0</v>
      </c>
      <c r="BO280" s="497">
        <f t="shared" si="123"/>
        <v>0</v>
      </c>
      <c r="BP280" s="497">
        <f t="shared" si="110"/>
        <v>1800000</v>
      </c>
      <c r="BQ280" s="493"/>
      <c r="BR280" s="493"/>
      <c r="BT280" s="492">
        <v>276</v>
      </c>
      <c r="BU280" s="492">
        <v>23</v>
      </c>
      <c r="BV280" s="497">
        <f>IF(('Comparison Calculator'!$E$11-BU280)&gt;=0,0,IFERROR(-PPMT($BZ$66/12,(BT280-60),($F$1-5)*12,$BZ$65),0))</f>
        <v>0</v>
      </c>
      <c r="BW280" s="497">
        <f>IF(('Comparison Calculator'!$E$11-BU280)&gt;=0,$C$1*$BZ$66/12,IFERROR(-IPMT($BZ$66/12,(BT280-60),($F$1-5)*12,$BZ$65,0),0))</f>
        <v>0</v>
      </c>
      <c r="BX280" s="497">
        <f t="shared" si="124"/>
        <v>0</v>
      </c>
      <c r="BY280" s="497">
        <f t="shared" si="111"/>
        <v>1800000</v>
      </c>
      <c r="BZ280" s="493"/>
      <c r="CA280" s="493"/>
      <c r="CC280" s="492">
        <v>276</v>
      </c>
      <c r="CD280" s="492">
        <v>23</v>
      </c>
      <c r="CE280" s="497">
        <f>IF(('Comparison Calculator'!$E$11-CD280)&gt;=0,0,IFERROR(-PPMT($CI$66/12,(CC280-60),($F$1-5)*12,$CI$65),0))</f>
        <v>0</v>
      </c>
      <c r="CF280" s="497">
        <f>IF(('Comparison Calculator'!$E$11-CD280)&gt;=0,$C$1*$CI$66/12,IFERROR(-IPMT($CI$66/12,(CC280-60),($F$1-5)*12,$CI$65,0),0))</f>
        <v>0</v>
      </c>
      <c r="CG280" s="497">
        <f t="shared" si="125"/>
        <v>0</v>
      </c>
      <c r="CH280" s="497">
        <f t="shared" si="112"/>
        <v>1800000</v>
      </c>
      <c r="CI280" s="493"/>
      <c r="CJ280" s="493"/>
      <c r="CL280" s="492">
        <v>276</v>
      </c>
      <c r="CM280" s="492">
        <v>23</v>
      </c>
      <c r="CN280" s="497">
        <f>IF(('Comparison Calculator'!$E$11-CM280)&gt;=0,0,IFERROR(-PPMT($CR$66/12,(CL280-60),($F$1-5)*12,$CR$65),0))</f>
        <v>0</v>
      </c>
      <c r="CO280" s="497">
        <f>IF(('Comparison Calculator'!$E$11-CM280)&gt;=0,$C$1*$CI$66/12,IFERROR(-IPMT($CI$66/12,(CL280-60),($F$1-5)*12,$CI$65,0),0))</f>
        <v>0</v>
      </c>
      <c r="CP280" s="497">
        <f t="shared" si="126"/>
        <v>0</v>
      </c>
      <c r="CQ280" s="497">
        <f t="shared" si="113"/>
        <v>1800000</v>
      </c>
      <c r="CR280" s="493"/>
      <c r="CS280" s="493"/>
      <c r="CU280" s="492">
        <v>276</v>
      </c>
      <c r="CV280" s="492">
        <v>23</v>
      </c>
      <c r="CW280" s="497">
        <f>IF(('Comparison Calculator'!$E$11-CV280)&gt;=0,0,IFERROR(-PPMT($DA$66/12,(CU280-60),($F$1-5)*12,$DA$65),0))</f>
        <v>0</v>
      </c>
      <c r="CX280" s="497">
        <f>IF(('Comparison Calculator'!$E$11-CV280)&gt;=0,$C$1*$DA$66/12,IFERROR(-IPMT($DA$66/12,(CU280-60),($F$1-5)*12,$DA$65,0),0))</f>
        <v>0</v>
      </c>
      <c r="CY280" s="497">
        <f t="shared" si="127"/>
        <v>0</v>
      </c>
      <c r="CZ280" s="497">
        <f t="shared" si="114"/>
        <v>1800000</v>
      </c>
      <c r="DA280" s="493"/>
      <c r="DB280" s="493"/>
      <c r="DD280" s="492">
        <v>276</v>
      </c>
      <c r="DE280" s="492">
        <v>23</v>
      </c>
      <c r="DF280" s="497">
        <f>IF(('Comparison Calculator'!$E$11-DE280)&gt;=0,0,IFERROR(-PPMT($DJ$66/12,(DD280-60),($F$1-5)*12,$DJ$65),0))</f>
        <v>0</v>
      </c>
      <c r="DG280" s="497">
        <f>IF(('Comparison Calculator'!$E$11-DE280)&gt;=0,$C$1*$DJ$66/12,IFERROR(-IPMT($DJ$66/12,(DD280-60),($F$1-5)*12,$DJ$65,0),0))</f>
        <v>0</v>
      </c>
      <c r="DH280" s="497">
        <f t="shared" si="128"/>
        <v>0</v>
      </c>
      <c r="DI280" s="497">
        <f t="shared" si="115"/>
        <v>1800000</v>
      </c>
      <c r="DJ280" s="493"/>
      <c r="DK280" s="493"/>
    </row>
    <row r="281" spans="1:115">
      <c r="A281" s="492">
        <v>277</v>
      </c>
      <c r="B281" s="492">
        <v>24</v>
      </c>
      <c r="C281" s="497">
        <f>IF(('Comparison Calculator'!$E$11-B281)&gt;=0,0,IFERROR(-PPMT($G$66/12,(A281-60),($F$1-5)*12,$G$65),0))</f>
        <v>0</v>
      </c>
      <c r="D281" s="497">
        <f>IF(('Comparison Calculator'!$E$11-B281)&gt;=0,$C$1*$G$66/12,IFERROR(-IPMT($G$66/12,(A281-60),($F$1-5)*12,$G$65,0),0))</f>
        <v>0</v>
      </c>
      <c r="E281" s="497">
        <f t="shared" si="116"/>
        <v>0</v>
      </c>
      <c r="F281" s="497">
        <f t="shared" si="129"/>
        <v>1800000</v>
      </c>
      <c r="G281" s="493"/>
      <c r="H281" s="493"/>
      <c r="I281" s="489"/>
      <c r="J281" s="492">
        <v>277</v>
      </c>
      <c r="K281" s="492">
        <v>24</v>
      </c>
      <c r="L281" s="497">
        <f>IF(('Comparison Calculator'!$E$11-K281)&gt;=0,0,IFERROR(-PPMT($P$66/12,(J281-60),($F$1-5)*12,$P$65),0))</f>
        <v>0</v>
      </c>
      <c r="M281" s="497">
        <f>IF(('Comparison Calculator'!$E$11-K281)&gt;=0,$C$1*$P$66/12,IFERROR(-IPMT($P$66/12,(J281-60),($F$1-5)*12,$P$65,0),0))</f>
        <v>0</v>
      </c>
      <c r="N281" s="497">
        <f t="shared" si="117"/>
        <v>0</v>
      </c>
      <c r="O281" s="497">
        <f t="shared" ref="O281:O344" si="130">O280-L281</f>
        <v>1800000</v>
      </c>
      <c r="P281" s="493"/>
      <c r="Q281" s="493"/>
      <c r="S281" s="492">
        <v>277</v>
      </c>
      <c r="T281" s="492">
        <v>24</v>
      </c>
      <c r="U281" s="497">
        <f>IF(('Comparison Calculator'!$E$11-T281)&gt;=0,0,IFERROR(-PPMT($Y$66/12,(S281-60),($F$1-5)*12,$Y$65),0))</f>
        <v>0</v>
      </c>
      <c r="V281" s="497">
        <f>IF(('Comparison Calculator'!$E$11-T281)&gt;=0,$C$1*$Y$66/12,IFERROR(-IPMT($Y$66/12,(S281-60),($F$1-5)*12,$Y$65,0),0))</f>
        <v>0</v>
      </c>
      <c r="W281" s="497">
        <f t="shared" si="118"/>
        <v>0</v>
      </c>
      <c r="X281" s="497">
        <f t="shared" ref="X281:X344" si="131">X280-U281</f>
        <v>1800000</v>
      </c>
      <c r="Y281" s="493"/>
      <c r="Z281" s="493"/>
      <c r="AB281" s="492">
        <v>277</v>
      </c>
      <c r="AC281" s="492">
        <v>24</v>
      </c>
      <c r="AD281" s="497">
        <f>IF(('Comparison Calculator'!$E$11-AC281)&gt;=0,0,IFERROR(-PPMT($AH$66/12,(AB281-60),($F$1-5)*12,$AH$65),0))</f>
        <v>0</v>
      </c>
      <c r="AE281" s="497">
        <f>IF(('Comparison Calculator'!$E$11-AC281)&gt;=0,$C$1*$AH$66/12,IFERROR(-IPMT($AH$66/12,(AB281-60),($F$1-5)*12,$AH$65,0),0))</f>
        <v>0</v>
      </c>
      <c r="AF281" s="497">
        <f t="shared" si="119"/>
        <v>0</v>
      </c>
      <c r="AG281" s="497">
        <f t="shared" ref="AG281:AG344" si="132">AG280-AD281</f>
        <v>1800000</v>
      </c>
      <c r="AH281" s="493"/>
      <c r="AI281" s="493"/>
      <c r="AK281" s="492">
        <v>277</v>
      </c>
      <c r="AL281" s="492">
        <v>24</v>
      </c>
      <c r="AM281" s="497">
        <f>IF(('Comparison Calculator'!$E$11-AL281)&gt;=0,0,IFERROR(-PPMT($AQ$66/12,(AK281-60),($F$1-5)*12,$AQ$65),0))</f>
        <v>0</v>
      </c>
      <c r="AN281" s="497">
        <f>IF(('Comparison Calculator'!$E$11-AL281)&gt;=0,$C$1*$AQ$66/12,IFERROR(-IPMT($AQ$66/12,(AK281-60),($F$1-5)*12,$AQ$65,0),0))</f>
        <v>0</v>
      </c>
      <c r="AO281" s="497">
        <f t="shared" si="120"/>
        <v>0</v>
      </c>
      <c r="AP281" s="497">
        <f t="shared" ref="AP281:AP344" si="133">AP280-AM281</f>
        <v>1800000</v>
      </c>
      <c r="AQ281" s="493"/>
      <c r="AR281" s="493"/>
      <c r="AT281" s="492">
        <v>277</v>
      </c>
      <c r="AU281" s="492">
        <v>24</v>
      </c>
      <c r="AV281" s="497">
        <f>IF(('Comparison Calculator'!$E$11-AU281)&gt;=0,0,IFERROR(-PPMT($AZ$66/12,(AT281-60),($F$1-5)*12,$AZ$65),0))</f>
        <v>0</v>
      </c>
      <c r="AW281" s="497">
        <f>IF(('Comparison Calculator'!$E$11-AU281)&gt;=0,$C$1*$AZ$66/12,IFERROR(-IPMT($AZ$66/12,(AT281-60),($F$1-5)*12,$AZ$65,0),0))</f>
        <v>0</v>
      </c>
      <c r="AX281" s="497">
        <f t="shared" si="121"/>
        <v>0</v>
      </c>
      <c r="AY281" s="497">
        <f t="shared" ref="AY281:AY344" si="134">AY280-AV281</f>
        <v>1800000</v>
      </c>
      <c r="AZ281" s="493"/>
      <c r="BA281" s="493"/>
      <c r="BC281" s="492">
        <v>277</v>
      </c>
      <c r="BD281" s="492">
        <v>24</v>
      </c>
      <c r="BE281" s="497">
        <f>IF(('Comparison Calculator'!$E$11-BD281)&gt;=0,0,IFERROR(-PPMT($BI$66/12,(BC281-60),($F$1-5)*12,$BI$65),0))</f>
        <v>0</v>
      </c>
      <c r="BF281" s="497">
        <f>IF(('Comparison Calculator'!$E$11-BD281)&gt;=0,$C$1*$BI$66/12,IFERROR(-IPMT($BI$66/12,(BC281-60),($F$1-5)*12,$BI$65,0),0))</f>
        <v>0</v>
      </c>
      <c r="BG281" s="497">
        <f t="shared" si="122"/>
        <v>0</v>
      </c>
      <c r="BH281" s="497">
        <f t="shared" ref="BH281:BH344" si="135">BH280-BE281</f>
        <v>1800000</v>
      </c>
      <c r="BI281" s="493"/>
      <c r="BJ281" s="493"/>
      <c r="BK281" s="492">
        <v>277</v>
      </c>
      <c r="BL281" s="492">
        <v>24</v>
      </c>
      <c r="BM281" s="497">
        <f>IF(('Comparison Calculator'!$E$11-BL281)&gt;=0,0,IFERROR(-PPMT($BQ$66/12,(BK281-60),($F$1-5)*12,$BQ$65),0))</f>
        <v>0</v>
      </c>
      <c r="BN281" s="497">
        <f>IF(('Comparison Calculator'!$E$11-BL281)&gt;=0,$C$1*$BQ$66/12,IFERROR(-IPMT($BQ$66/12,(BK281-60),($F$1-5)*12,$BQ$65,0),0))</f>
        <v>0</v>
      </c>
      <c r="BO281" s="497">
        <f t="shared" si="123"/>
        <v>0</v>
      </c>
      <c r="BP281" s="497">
        <f t="shared" ref="BP281:BP344" si="136">BP280-BM281</f>
        <v>1800000</v>
      </c>
      <c r="BQ281" s="493"/>
      <c r="BR281" s="493"/>
      <c r="BT281" s="492">
        <v>277</v>
      </c>
      <c r="BU281" s="492">
        <v>24</v>
      </c>
      <c r="BV281" s="497">
        <f>IF(('Comparison Calculator'!$E$11-BU281)&gt;=0,0,IFERROR(-PPMT($BZ$66/12,(BT281-60),($F$1-5)*12,$BZ$65),0))</f>
        <v>0</v>
      </c>
      <c r="BW281" s="497">
        <f>IF(('Comparison Calculator'!$E$11-BU281)&gt;=0,$C$1*$BZ$66/12,IFERROR(-IPMT($BZ$66/12,(BT281-60),($F$1-5)*12,$BZ$65,0),0))</f>
        <v>0</v>
      </c>
      <c r="BX281" s="497">
        <f t="shared" si="124"/>
        <v>0</v>
      </c>
      <c r="BY281" s="497">
        <f t="shared" ref="BY281:BY344" si="137">BY280-BV281</f>
        <v>1800000</v>
      </c>
      <c r="BZ281" s="493"/>
      <c r="CA281" s="493"/>
      <c r="CC281" s="492">
        <v>277</v>
      </c>
      <c r="CD281" s="492">
        <v>24</v>
      </c>
      <c r="CE281" s="497">
        <f>IF(('Comparison Calculator'!$E$11-CD281)&gt;=0,0,IFERROR(-PPMT($CI$66/12,(CC281-60),($F$1-5)*12,$CI$65),0))</f>
        <v>0</v>
      </c>
      <c r="CF281" s="497">
        <f>IF(('Comparison Calculator'!$E$11-CD281)&gt;=0,$C$1*$CI$66/12,IFERROR(-IPMT($CI$66/12,(CC281-60),($F$1-5)*12,$CI$65,0),0))</f>
        <v>0</v>
      </c>
      <c r="CG281" s="497">
        <f t="shared" si="125"/>
        <v>0</v>
      </c>
      <c r="CH281" s="497">
        <f t="shared" ref="CH281:CH344" si="138">CH280-CE281</f>
        <v>1800000</v>
      </c>
      <c r="CI281" s="493"/>
      <c r="CJ281" s="493"/>
      <c r="CL281" s="492">
        <v>277</v>
      </c>
      <c r="CM281" s="492">
        <v>24</v>
      </c>
      <c r="CN281" s="497">
        <f>IF(('Comparison Calculator'!$E$11-CM281)&gt;=0,0,IFERROR(-PPMT($CR$66/12,(CL281-60),($F$1-5)*12,$CR$65),0))</f>
        <v>0</v>
      </c>
      <c r="CO281" s="497">
        <f>IF(('Comparison Calculator'!$E$11-CM281)&gt;=0,$C$1*$CI$66/12,IFERROR(-IPMT($CI$66/12,(CL281-60),($F$1-5)*12,$CI$65,0),0))</f>
        <v>0</v>
      </c>
      <c r="CP281" s="497">
        <f t="shared" si="126"/>
        <v>0</v>
      </c>
      <c r="CQ281" s="497">
        <f t="shared" ref="CQ281:CQ344" si="139">CQ280-CN281</f>
        <v>1800000</v>
      </c>
      <c r="CR281" s="493"/>
      <c r="CS281" s="493"/>
      <c r="CU281" s="492">
        <v>277</v>
      </c>
      <c r="CV281" s="492">
        <v>24</v>
      </c>
      <c r="CW281" s="497">
        <f>IF(('Comparison Calculator'!$E$11-CV281)&gt;=0,0,IFERROR(-PPMT($DA$66/12,(CU281-60),($F$1-5)*12,$DA$65),0))</f>
        <v>0</v>
      </c>
      <c r="CX281" s="497">
        <f>IF(('Comparison Calculator'!$E$11-CV281)&gt;=0,$C$1*$DA$66/12,IFERROR(-IPMT($DA$66/12,(CU281-60),($F$1-5)*12,$DA$65,0),0))</f>
        <v>0</v>
      </c>
      <c r="CY281" s="497">
        <f t="shared" si="127"/>
        <v>0</v>
      </c>
      <c r="CZ281" s="497">
        <f t="shared" ref="CZ281:CZ344" si="140">CZ280-CW281</f>
        <v>1800000</v>
      </c>
      <c r="DA281" s="493"/>
      <c r="DB281" s="493"/>
      <c r="DD281" s="492">
        <v>277</v>
      </c>
      <c r="DE281" s="492">
        <v>24</v>
      </c>
      <c r="DF281" s="497">
        <f>IF(('Comparison Calculator'!$E$11-DE281)&gt;=0,0,IFERROR(-PPMT($DJ$66/12,(DD281-60),($F$1-5)*12,$DJ$65),0))</f>
        <v>0</v>
      </c>
      <c r="DG281" s="497">
        <f>IF(('Comparison Calculator'!$E$11-DE281)&gt;=0,$C$1*$DJ$66/12,IFERROR(-IPMT($DJ$66/12,(DD281-60),($F$1-5)*12,$DJ$65,0),0))</f>
        <v>0</v>
      </c>
      <c r="DH281" s="497">
        <f t="shared" si="128"/>
        <v>0</v>
      </c>
      <c r="DI281" s="497">
        <f t="shared" ref="DI281:DI344" si="141">DI280-DF281</f>
        <v>1800000</v>
      </c>
      <c r="DJ281" s="493"/>
      <c r="DK281" s="493"/>
    </row>
    <row r="282" spans="1:115">
      <c r="A282" s="492">
        <v>278</v>
      </c>
      <c r="B282" s="492">
        <v>24</v>
      </c>
      <c r="C282" s="497">
        <f>IF(('Comparison Calculator'!$E$11-B282)&gt;=0,0,IFERROR(-PPMT($G$66/12,(A282-60),($F$1-5)*12,$G$65),0))</f>
        <v>0</v>
      </c>
      <c r="D282" s="497">
        <f>IF(('Comparison Calculator'!$E$11-B282)&gt;=0,$C$1*$G$66/12,IFERROR(-IPMT($G$66/12,(A282-60),($F$1-5)*12,$G$65,0),0))</f>
        <v>0</v>
      </c>
      <c r="E282" s="497">
        <f t="shared" si="116"/>
        <v>0</v>
      </c>
      <c r="F282" s="497">
        <f t="shared" si="129"/>
        <v>1800000</v>
      </c>
      <c r="G282" s="493"/>
      <c r="H282" s="493"/>
      <c r="I282" s="489"/>
      <c r="J282" s="492">
        <v>278</v>
      </c>
      <c r="K282" s="492">
        <v>24</v>
      </c>
      <c r="L282" s="497">
        <f>IF(('Comparison Calculator'!$E$11-K282)&gt;=0,0,IFERROR(-PPMT($P$66/12,(J282-60),($F$1-5)*12,$P$65),0))</f>
        <v>0</v>
      </c>
      <c r="M282" s="497">
        <f>IF(('Comparison Calculator'!$E$11-K282)&gt;=0,$C$1*$P$66/12,IFERROR(-IPMT($P$66/12,(J282-60),($F$1-5)*12,$P$65,0),0))</f>
        <v>0</v>
      </c>
      <c r="N282" s="497">
        <f t="shared" si="117"/>
        <v>0</v>
      </c>
      <c r="O282" s="497">
        <f t="shared" si="130"/>
        <v>1800000</v>
      </c>
      <c r="P282" s="493"/>
      <c r="Q282" s="493"/>
      <c r="S282" s="492">
        <v>278</v>
      </c>
      <c r="T282" s="492">
        <v>24</v>
      </c>
      <c r="U282" s="497">
        <f>IF(('Comparison Calculator'!$E$11-T282)&gt;=0,0,IFERROR(-PPMT($Y$66/12,(S282-60),($F$1-5)*12,$Y$65),0))</f>
        <v>0</v>
      </c>
      <c r="V282" s="497">
        <f>IF(('Comparison Calculator'!$E$11-T282)&gt;=0,$C$1*$Y$66/12,IFERROR(-IPMT($Y$66/12,(S282-60),($F$1-5)*12,$Y$65,0),0))</f>
        <v>0</v>
      </c>
      <c r="W282" s="497">
        <f t="shared" si="118"/>
        <v>0</v>
      </c>
      <c r="X282" s="497">
        <f t="shared" si="131"/>
        <v>1800000</v>
      </c>
      <c r="Y282" s="493"/>
      <c r="Z282" s="493"/>
      <c r="AB282" s="492">
        <v>278</v>
      </c>
      <c r="AC282" s="492">
        <v>24</v>
      </c>
      <c r="AD282" s="497">
        <f>IF(('Comparison Calculator'!$E$11-AC282)&gt;=0,0,IFERROR(-PPMT($AH$66/12,(AB282-60),($F$1-5)*12,$AH$65),0))</f>
        <v>0</v>
      </c>
      <c r="AE282" s="497">
        <f>IF(('Comparison Calculator'!$E$11-AC282)&gt;=0,$C$1*$AH$66/12,IFERROR(-IPMT($AH$66/12,(AB282-60),($F$1-5)*12,$AH$65,0),0))</f>
        <v>0</v>
      </c>
      <c r="AF282" s="497">
        <f t="shared" si="119"/>
        <v>0</v>
      </c>
      <c r="AG282" s="497">
        <f t="shared" si="132"/>
        <v>1800000</v>
      </c>
      <c r="AH282" s="493"/>
      <c r="AI282" s="493"/>
      <c r="AK282" s="492">
        <v>278</v>
      </c>
      <c r="AL282" s="492">
        <v>24</v>
      </c>
      <c r="AM282" s="497">
        <f>IF(('Comparison Calculator'!$E$11-AL282)&gt;=0,0,IFERROR(-PPMT($AQ$66/12,(AK282-60),($F$1-5)*12,$AQ$65),0))</f>
        <v>0</v>
      </c>
      <c r="AN282" s="497">
        <f>IF(('Comparison Calculator'!$E$11-AL282)&gt;=0,$C$1*$AQ$66/12,IFERROR(-IPMT($AQ$66/12,(AK282-60),($F$1-5)*12,$AQ$65,0),0))</f>
        <v>0</v>
      </c>
      <c r="AO282" s="497">
        <f t="shared" si="120"/>
        <v>0</v>
      </c>
      <c r="AP282" s="497">
        <f t="shared" si="133"/>
        <v>1800000</v>
      </c>
      <c r="AQ282" s="493"/>
      <c r="AR282" s="493"/>
      <c r="AT282" s="492">
        <v>278</v>
      </c>
      <c r="AU282" s="492">
        <v>24</v>
      </c>
      <c r="AV282" s="497">
        <f>IF(('Comparison Calculator'!$E$11-AU282)&gt;=0,0,IFERROR(-PPMT($AZ$66/12,(AT282-60),($F$1-5)*12,$AZ$65),0))</f>
        <v>0</v>
      </c>
      <c r="AW282" s="497">
        <f>IF(('Comparison Calculator'!$E$11-AU282)&gt;=0,$C$1*$AZ$66/12,IFERROR(-IPMT($AZ$66/12,(AT282-60),($F$1-5)*12,$AZ$65,0),0))</f>
        <v>0</v>
      </c>
      <c r="AX282" s="497">
        <f t="shared" si="121"/>
        <v>0</v>
      </c>
      <c r="AY282" s="497">
        <f t="shared" si="134"/>
        <v>1800000</v>
      </c>
      <c r="AZ282" s="493"/>
      <c r="BA282" s="493"/>
      <c r="BC282" s="492">
        <v>278</v>
      </c>
      <c r="BD282" s="492">
        <v>24</v>
      </c>
      <c r="BE282" s="497">
        <f>IF(('Comparison Calculator'!$E$11-BD282)&gt;=0,0,IFERROR(-PPMT($BI$66/12,(BC282-60),($F$1-5)*12,$BI$65),0))</f>
        <v>0</v>
      </c>
      <c r="BF282" s="497">
        <f>IF(('Comparison Calculator'!$E$11-BD282)&gt;=0,$C$1*$BI$66/12,IFERROR(-IPMT($BI$66/12,(BC282-60),($F$1-5)*12,$BI$65,0),0))</f>
        <v>0</v>
      </c>
      <c r="BG282" s="497">
        <f t="shared" si="122"/>
        <v>0</v>
      </c>
      <c r="BH282" s="497">
        <f t="shared" si="135"/>
        <v>1800000</v>
      </c>
      <c r="BI282" s="493"/>
      <c r="BJ282" s="493"/>
      <c r="BK282" s="492">
        <v>278</v>
      </c>
      <c r="BL282" s="492">
        <v>24</v>
      </c>
      <c r="BM282" s="497">
        <f>IF(('Comparison Calculator'!$E$11-BL282)&gt;=0,0,IFERROR(-PPMT($BQ$66/12,(BK282-60),($F$1-5)*12,$BQ$65),0))</f>
        <v>0</v>
      </c>
      <c r="BN282" s="497">
        <f>IF(('Comparison Calculator'!$E$11-BL282)&gt;=0,$C$1*$BQ$66/12,IFERROR(-IPMT($BQ$66/12,(BK282-60),($F$1-5)*12,$BQ$65,0),0))</f>
        <v>0</v>
      </c>
      <c r="BO282" s="497">
        <f t="shared" si="123"/>
        <v>0</v>
      </c>
      <c r="BP282" s="497">
        <f t="shared" si="136"/>
        <v>1800000</v>
      </c>
      <c r="BQ282" s="493"/>
      <c r="BR282" s="493"/>
      <c r="BT282" s="492">
        <v>278</v>
      </c>
      <c r="BU282" s="492">
        <v>24</v>
      </c>
      <c r="BV282" s="497">
        <f>IF(('Comparison Calculator'!$E$11-BU282)&gt;=0,0,IFERROR(-PPMT($BZ$66/12,(BT282-60),($F$1-5)*12,$BZ$65),0))</f>
        <v>0</v>
      </c>
      <c r="BW282" s="497">
        <f>IF(('Comparison Calculator'!$E$11-BU282)&gt;=0,$C$1*$BZ$66/12,IFERROR(-IPMT($BZ$66/12,(BT282-60),($F$1-5)*12,$BZ$65,0),0))</f>
        <v>0</v>
      </c>
      <c r="BX282" s="497">
        <f t="shared" si="124"/>
        <v>0</v>
      </c>
      <c r="BY282" s="497">
        <f t="shared" si="137"/>
        <v>1800000</v>
      </c>
      <c r="BZ282" s="493"/>
      <c r="CA282" s="493"/>
      <c r="CC282" s="492">
        <v>278</v>
      </c>
      <c r="CD282" s="492">
        <v>24</v>
      </c>
      <c r="CE282" s="497">
        <f>IF(('Comparison Calculator'!$E$11-CD282)&gt;=0,0,IFERROR(-PPMT($CI$66/12,(CC282-60),($F$1-5)*12,$CI$65),0))</f>
        <v>0</v>
      </c>
      <c r="CF282" s="497">
        <f>IF(('Comparison Calculator'!$E$11-CD282)&gt;=0,$C$1*$CI$66/12,IFERROR(-IPMT($CI$66/12,(CC282-60),($F$1-5)*12,$CI$65,0),0))</f>
        <v>0</v>
      </c>
      <c r="CG282" s="497">
        <f t="shared" si="125"/>
        <v>0</v>
      </c>
      <c r="CH282" s="497">
        <f t="shared" si="138"/>
        <v>1800000</v>
      </c>
      <c r="CI282" s="493"/>
      <c r="CJ282" s="493"/>
      <c r="CL282" s="492">
        <v>278</v>
      </c>
      <c r="CM282" s="492">
        <v>24</v>
      </c>
      <c r="CN282" s="497">
        <f>IF(('Comparison Calculator'!$E$11-CM282)&gt;=0,0,IFERROR(-PPMT($CR$66/12,(CL282-60),($F$1-5)*12,$CR$65),0))</f>
        <v>0</v>
      </c>
      <c r="CO282" s="497">
        <f>IF(('Comparison Calculator'!$E$11-CM282)&gt;=0,$C$1*$CI$66/12,IFERROR(-IPMT($CI$66/12,(CL282-60),($F$1-5)*12,$CI$65,0),0))</f>
        <v>0</v>
      </c>
      <c r="CP282" s="497">
        <f t="shared" si="126"/>
        <v>0</v>
      </c>
      <c r="CQ282" s="497">
        <f t="shared" si="139"/>
        <v>1800000</v>
      </c>
      <c r="CR282" s="493"/>
      <c r="CS282" s="493"/>
      <c r="CU282" s="492">
        <v>278</v>
      </c>
      <c r="CV282" s="492">
        <v>24</v>
      </c>
      <c r="CW282" s="497">
        <f>IF(('Comparison Calculator'!$E$11-CV282)&gt;=0,0,IFERROR(-PPMT($DA$66/12,(CU282-60),($F$1-5)*12,$DA$65),0))</f>
        <v>0</v>
      </c>
      <c r="CX282" s="497">
        <f>IF(('Comparison Calculator'!$E$11-CV282)&gt;=0,$C$1*$DA$66/12,IFERROR(-IPMT($DA$66/12,(CU282-60),($F$1-5)*12,$DA$65,0),0))</f>
        <v>0</v>
      </c>
      <c r="CY282" s="497">
        <f t="shared" si="127"/>
        <v>0</v>
      </c>
      <c r="CZ282" s="497">
        <f t="shared" si="140"/>
        <v>1800000</v>
      </c>
      <c r="DA282" s="493"/>
      <c r="DB282" s="493"/>
      <c r="DD282" s="492">
        <v>278</v>
      </c>
      <c r="DE282" s="492">
        <v>24</v>
      </c>
      <c r="DF282" s="497">
        <f>IF(('Comparison Calculator'!$E$11-DE282)&gt;=0,0,IFERROR(-PPMT($DJ$66/12,(DD282-60),($F$1-5)*12,$DJ$65),0))</f>
        <v>0</v>
      </c>
      <c r="DG282" s="497">
        <f>IF(('Comparison Calculator'!$E$11-DE282)&gt;=0,$C$1*$DJ$66/12,IFERROR(-IPMT($DJ$66/12,(DD282-60),($F$1-5)*12,$DJ$65,0),0))</f>
        <v>0</v>
      </c>
      <c r="DH282" s="497">
        <f t="shared" si="128"/>
        <v>0</v>
      </c>
      <c r="DI282" s="497">
        <f t="shared" si="141"/>
        <v>1800000</v>
      </c>
      <c r="DJ282" s="493"/>
      <c r="DK282" s="493"/>
    </row>
    <row r="283" spans="1:115">
      <c r="A283" s="492">
        <v>279</v>
      </c>
      <c r="B283" s="492">
        <v>24</v>
      </c>
      <c r="C283" s="497">
        <f>IF(('Comparison Calculator'!$E$11-B283)&gt;=0,0,IFERROR(-PPMT($G$66/12,(A283-60),($F$1-5)*12,$G$65),0))</f>
        <v>0</v>
      </c>
      <c r="D283" s="497">
        <f>IF(('Comparison Calculator'!$E$11-B283)&gt;=0,$C$1*$G$66/12,IFERROR(-IPMT($G$66/12,(A283-60),($F$1-5)*12,$G$65,0),0))</f>
        <v>0</v>
      </c>
      <c r="E283" s="497">
        <f t="shared" si="116"/>
        <v>0</v>
      </c>
      <c r="F283" s="497">
        <f t="shared" si="129"/>
        <v>1800000</v>
      </c>
      <c r="G283" s="493"/>
      <c r="H283" s="493"/>
      <c r="I283" s="489"/>
      <c r="J283" s="492">
        <v>279</v>
      </c>
      <c r="K283" s="492">
        <v>24</v>
      </c>
      <c r="L283" s="497">
        <f>IF(('Comparison Calculator'!$E$11-K283)&gt;=0,0,IFERROR(-PPMT($P$66/12,(J283-60),($F$1-5)*12,$P$65),0))</f>
        <v>0</v>
      </c>
      <c r="M283" s="497">
        <f>IF(('Comparison Calculator'!$E$11-K283)&gt;=0,$C$1*$P$66/12,IFERROR(-IPMT($P$66/12,(J283-60),($F$1-5)*12,$P$65,0),0))</f>
        <v>0</v>
      </c>
      <c r="N283" s="497">
        <f t="shared" si="117"/>
        <v>0</v>
      </c>
      <c r="O283" s="497">
        <f t="shared" si="130"/>
        <v>1800000</v>
      </c>
      <c r="P283" s="493"/>
      <c r="Q283" s="493"/>
      <c r="S283" s="492">
        <v>279</v>
      </c>
      <c r="T283" s="492">
        <v>24</v>
      </c>
      <c r="U283" s="497">
        <f>IF(('Comparison Calculator'!$E$11-T283)&gt;=0,0,IFERROR(-PPMT($Y$66/12,(S283-60),($F$1-5)*12,$Y$65),0))</f>
        <v>0</v>
      </c>
      <c r="V283" s="497">
        <f>IF(('Comparison Calculator'!$E$11-T283)&gt;=0,$C$1*$Y$66/12,IFERROR(-IPMT($Y$66/12,(S283-60),($F$1-5)*12,$Y$65,0),0))</f>
        <v>0</v>
      </c>
      <c r="W283" s="497">
        <f t="shared" si="118"/>
        <v>0</v>
      </c>
      <c r="X283" s="497">
        <f t="shared" si="131"/>
        <v>1800000</v>
      </c>
      <c r="Y283" s="493"/>
      <c r="Z283" s="493"/>
      <c r="AB283" s="492">
        <v>279</v>
      </c>
      <c r="AC283" s="492">
        <v>24</v>
      </c>
      <c r="AD283" s="497">
        <f>IF(('Comparison Calculator'!$E$11-AC283)&gt;=0,0,IFERROR(-PPMT($AH$66/12,(AB283-60),($F$1-5)*12,$AH$65),0))</f>
        <v>0</v>
      </c>
      <c r="AE283" s="497">
        <f>IF(('Comparison Calculator'!$E$11-AC283)&gt;=0,$C$1*$AH$66/12,IFERROR(-IPMT($AH$66/12,(AB283-60),($F$1-5)*12,$AH$65,0),0))</f>
        <v>0</v>
      </c>
      <c r="AF283" s="497">
        <f t="shared" si="119"/>
        <v>0</v>
      </c>
      <c r="AG283" s="497">
        <f t="shared" si="132"/>
        <v>1800000</v>
      </c>
      <c r="AH283" s="493"/>
      <c r="AI283" s="493"/>
      <c r="AK283" s="492">
        <v>279</v>
      </c>
      <c r="AL283" s="492">
        <v>24</v>
      </c>
      <c r="AM283" s="497">
        <f>IF(('Comparison Calculator'!$E$11-AL283)&gt;=0,0,IFERROR(-PPMT($AQ$66/12,(AK283-60),($F$1-5)*12,$AQ$65),0))</f>
        <v>0</v>
      </c>
      <c r="AN283" s="497">
        <f>IF(('Comparison Calculator'!$E$11-AL283)&gt;=0,$C$1*$AQ$66/12,IFERROR(-IPMT($AQ$66/12,(AK283-60),($F$1-5)*12,$AQ$65,0),0))</f>
        <v>0</v>
      </c>
      <c r="AO283" s="497">
        <f t="shared" si="120"/>
        <v>0</v>
      </c>
      <c r="AP283" s="497">
        <f t="shared" si="133"/>
        <v>1800000</v>
      </c>
      <c r="AQ283" s="493"/>
      <c r="AR283" s="493"/>
      <c r="AT283" s="492">
        <v>279</v>
      </c>
      <c r="AU283" s="492">
        <v>24</v>
      </c>
      <c r="AV283" s="497">
        <f>IF(('Comparison Calculator'!$E$11-AU283)&gt;=0,0,IFERROR(-PPMT($AZ$66/12,(AT283-60),($F$1-5)*12,$AZ$65),0))</f>
        <v>0</v>
      </c>
      <c r="AW283" s="497">
        <f>IF(('Comparison Calculator'!$E$11-AU283)&gt;=0,$C$1*$AZ$66/12,IFERROR(-IPMT($AZ$66/12,(AT283-60),($F$1-5)*12,$AZ$65,0),0))</f>
        <v>0</v>
      </c>
      <c r="AX283" s="497">
        <f t="shared" si="121"/>
        <v>0</v>
      </c>
      <c r="AY283" s="497">
        <f t="shared" si="134"/>
        <v>1800000</v>
      </c>
      <c r="AZ283" s="493"/>
      <c r="BA283" s="493"/>
      <c r="BC283" s="492">
        <v>279</v>
      </c>
      <c r="BD283" s="492">
        <v>24</v>
      </c>
      <c r="BE283" s="497">
        <f>IF(('Comparison Calculator'!$E$11-BD283)&gt;=0,0,IFERROR(-PPMT($BI$66/12,(BC283-60),($F$1-5)*12,$BI$65),0))</f>
        <v>0</v>
      </c>
      <c r="BF283" s="497">
        <f>IF(('Comparison Calculator'!$E$11-BD283)&gt;=0,$C$1*$BI$66/12,IFERROR(-IPMT($BI$66/12,(BC283-60),($F$1-5)*12,$BI$65,0),0))</f>
        <v>0</v>
      </c>
      <c r="BG283" s="497">
        <f t="shared" si="122"/>
        <v>0</v>
      </c>
      <c r="BH283" s="497">
        <f t="shared" si="135"/>
        <v>1800000</v>
      </c>
      <c r="BI283" s="493"/>
      <c r="BJ283" s="493"/>
      <c r="BK283" s="492">
        <v>279</v>
      </c>
      <c r="BL283" s="492">
        <v>24</v>
      </c>
      <c r="BM283" s="497">
        <f>IF(('Comparison Calculator'!$E$11-BL283)&gt;=0,0,IFERROR(-PPMT($BQ$66/12,(BK283-60),($F$1-5)*12,$BQ$65),0))</f>
        <v>0</v>
      </c>
      <c r="BN283" s="497">
        <f>IF(('Comparison Calculator'!$E$11-BL283)&gt;=0,$C$1*$BQ$66/12,IFERROR(-IPMT($BQ$66/12,(BK283-60),($F$1-5)*12,$BQ$65,0),0))</f>
        <v>0</v>
      </c>
      <c r="BO283" s="497">
        <f t="shared" si="123"/>
        <v>0</v>
      </c>
      <c r="BP283" s="497">
        <f t="shared" si="136"/>
        <v>1800000</v>
      </c>
      <c r="BQ283" s="493"/>
      <c r="BR283" s="493"/>
      <c r="BT283" s="492">
        <v>279</v>
      </c>
      <c r="BU283" s="492">
        <v>24</v>
      </c>
      <c r="BV283" s="497">
        <f>IF(('Comparison Calculator'!$E$11-BU283)&gt;=0,0,IFERROR(-PPMT($BZ$66/12,(BT283-60),($F$1-5)*12,$BZ$65),0))</f>
        <v>0</v>
      </c>
      <c r="BW283" s="497">
        <f>IF(('Comparison Calculator'!$E$11-BU283)&gt;=0,$C$1*$BZ$66/12,IFERROR(-IPMT($BZ$66/12,(BT283-60),($F$1-5)*12,$BZ$65,0),0))</f>
        <v>0</v>
      </c>
      <c r="BX283" s="497">
        <f t="shared" si="124"/>
        <v>0</v>
      </c>
      <c r="BY283" s="497">
        <f t="shared" si="137"/>
        <v>1800000</v>
      </c>
      <c r="BZ283" s="493"/>
      <c r="CA283" s="493"/>
      <c r="CC283" s="492">
        <v>279</v>
      </c>
      <c r="CD283" s="492">
        <v>24</v>
      </c>
      <c r="CE283" s="497">
        <f>IF(('Comparison Calculator'!$E$11-CD283)&gt;=0,0,IFERROR(-PPMT($CI$66/12,(CC283-60),($F$1-5)*12,$CI$65),0))</f>
        <v>0</v>
      </c>
      <c r="CF283" s="497">
        <f>IF(('Comparison Calculator'!$E$11-CD283)&gt;=0,$C$1*$CI$66/12,IFERROR(-IPMT($CI$66/12,(CC283-60),($F$1-5)*12,$CI$65,0),0))</f>
        <v>0</v>
      </c>
      <c r="CG283" s="497">
        <f t="shared" si="125"/>
        <v>0</v>
      </c>
      <c r="CH283" s="497">
        <f t="shared" si="138"/>
        <v>1800000</v>
      </c>
      <c r="CI283" s="493"/>
      <c r="CJ283" s="493"/>
      <c r="CL283" s="492">
        <v>279</v>
      </c>
      <c r="CM283" s="492">
        <v>24</v>
      </c>
      <c r="CN283" s="497">
        <f>IF(('Comparison Calculator'!$E$11-CM283)&gt;=0,0,IFERROR(-PPMT($CR$66/12,(CL283-60),($F$1-5)*12,$CR$65),0))</f>
        <v>0</v>
      </c>
      <c r="CO283" s="497">
        <f>IF(('Comparison Calculator'!$E$11-CM283)&gt;=0,$C$1*$CI$66/12,IFERROR(-IPMT($CI$66/12,(CL283-60),($F$1-5)*12,$CI$65,0),0))</f>
        <v>0</v>
      </c>
      <c r="CP283" s="497">
        <f t="shared" si="126"/>
        <v>0</v>
      </c>
      <c r="CQ283" s="497">
        <f t="shared" si="139"/>
        <v>1800000</v>
      </c>
      <c r="CR283" s="493"/>
      <c r="CS283" s="493"/>
      <c r="CU283" s="492">
        <v>279</v>
      </c>
      <c r="CV283" s="492">
        <v>24</v>
      </c>
      <c r="CW283" s="497">
        <f>IF(('Comparison Calculator'!$E$11-CV283)&gt;=0,0,IFERROR(-PPMT($DA$66/12,(CU283-60),($F$1-5)*12,$DA$65),0))</f>
        <v>0</v>
      </c>
      <c r="CX283" s="497">
        <f>IF(('Comparison Calculator'!$E$11-CV283)&gt;=0,$C$1*$DA$66/12,IFERROR(-IPMT($DA$66/12,(CU283-60),($F$1-5)*12,$DA$65,0),0))</f>
        <v>0</v>
      </c>
      <c r="CY283" s="497">
        <f t="shared" si="127"/>
        <v>0</v>
      </c>
      <c r="CZ283" s="497">
        <f t="shared" si="140"/>
        <v>1800000</v>
      </c>
      <c r="DA283" s="493"/>
      <c r="DB283" s="493"/>
      <c r="DD283" s="492">
        <v>279</v>
      </c>
      <c r="DE283" s="492">
        <v>24</v>
      </c>
      <c r="DF283" s="497">
        <f>IF(('Comparison Calculator'!$E$11-DE283)&gt;=0,0,IFERROR(-PPMT($DJ$66/12,(DD283-60),($F$1-5)*12,$DJ$65),0))</f>
        <v>0</v>
      </c>
      <c r="DG283" s="497">
        <f>IF(('Comparison Calculator'!$E$11-DE283)&gt;=0,$C$1*$DJ$66/12,IFERROR(-IPMT($DJ$66/12,(DD283-60),($F$1-5)*12,$DJ$65,0),0))</f>
        <v>0</v>
      </c>
      <c r="DH283" s="497">
        <f t="shared" si="128"/>
        <v>0</v>
      </c>
      <c r="DI283" s="497">
        <f t="shared" si="141"/>
        <v>1800000</v>
      </c>
      <c r="DJ283" s="493"/>
      <c r="DK283" s="493"/>
    </row>
    <row r="284" spans="1:115">
      <c r="A284" s="492">
        <v>280</v>
      </c>
      <c r="B284" s="492">
        <v>24</v>
      </c>
      <c r="C284" s="497">
        <f>IF(('Comparison Calculator'!$E$11-B284)&gt;=0,0,IFERROR(-PPMT($G$66/12,(A284-60),($F$1-5)*12,$G$65),0))</f>
        <v>0</v>
      </c>
      <c r="D284" s="497">
        <f>IF(('Comparison Calculator'!$E$11-B284)&gt;=0,$C$1*$G$66/12,IFERROR(-IPMT($G$66/12,(A284-60),($F$1-5)*12,$G$65,0),0))</f>
        <v>0</v>
      </c>
      <c r="E284" s="497">
        <f t="shared" si="116"/>
        <v>0</v>
      </c>
      <c r="F284" s="497">
        <f t="shared" si="129"/>
        <v>1800000</v>
      </c>
      <c r="G284" s="493"/>
      <c r="H284" s="493"/>
      <c r="I284" s="489"/>
      <c r="J284" s="492">
        <v>280</v>
      </c>
      <c r="K284" s="492">
        <v>24</v>
      </c>
      <c r="L284" s="497">
        <f>IF(('Comparison Calculator'!$E$11-K284)&gt;=0,0,IFERROR(-PPMT($P$66/12,(J284-60),($F$1-5)*12,$P$65),0))</f>
        <v>0</v>
      </c>
      <c r="M284" s="497">
        <f>IF(('Comparison Calculator'!$E$11-K284)&gt;=0,$C$1*$P$66/12,IFERROR(-IPMT($P$66/12,(J284-60),($F$1-5)*12,$P$65,0),0))</f>
        <v>0</v>
      </c>
      <c r="N284" s="497">
        <f t="shared" si="117"/>
        <v>0</v>
      </c>
      <c r="O284" s="497">
        <f t="shared" si="130"/>
        <v>1800000</v>
      </c>
      <c r="P284" s="493"/>
      <c r="Q284" s="493"/>
      <c r="S284" s="492">
        <v>280</v>
      </c>
      <c r="T284" s="492">
        <v>24</v>
      </c>
      <c r="U284" s="497">
        <f>IF(('Comparison Calculator'!$E$11-T284)&gt;=0,0,IFERROR(-PPMT($Y$66/12,(S284-60),($F$1-5)*12,$Y$65),0))</f>
        <v>0</v>
      </c>
      <c r="V284" s="497">
        <f>IF(('Comparison Calculator'!$E$11-T284)&gt;=0,$C$1*$Y$66/12,IFERROR(-IPMT($Y$66/12,(S284-60),($F$1-5)*12,$Y$65,0),0))</f>
        <v>0</v>
      </c>
      <c r="W284" s="497">
        <f t="shared" si="118"/>
        <v>0</v>
      </c>
      <c r="X284" s="497">
        <f t="shared" si="131"/>
        <v>1800000</v>
      </c>
      <c r="Y284" s="493"/>
      <c r="Z284" s="493"/>
      <c r="AB284" s="492">
        <v>280</v>
      </c>
      <c r="AC284" s="492">
        <v>24</v>
      </c>
      <c r="AD284" s="497">
        <f>IF(('Comparison Calculator'!$E$11-AC284)&gt;=0,0,IFERROR(-PPMT($AH$66/12,(AB284-60),($F$1-5)*12,$AH$65),0))</f>
        <v>0</v>
      </c>
      <c r="AE284" s="497">
        <f>IF(('Comparison Calculator'!$E$11-AC284)&gt;=0,$C$1*$AH$66/12,IFERROR(-IPMT($AH$66/12,(AB284-60),($F$1-5)*12,$AH$65,0),0))</f>
        <v>0</v>
      </c>
      <c r="AF284" s="497">
        <f t="shared" si="119"/>
        <v>0</v>
      </c>
      <c r="AG284" s="497">
        <f t="shared" si="132"/>
        <v>1800000</v>
      </c>
      <c r="AH284" s="493"/>
      <c r="AI284" s="493"/>
      <c r="AK284" s="492">
        <v>280</v>
      </c>
      <c r="AL284" s="492">
        <v>24</v>
      </c>
      <c r="AM284" s="497">
        <f>IF(('Comparison Calculator'!$E$11-AL284)&gt;=0,0,IFERROR(-PPMT($AQ$66/12,(AK284-60),($F$1-5)*12,$AQ$65),0))</f>
        <v>0</v>
      </c>
      <c r="AN284" s="497">
        <f>IF(('Comparison Calculator'!$E$11-AL284)&gt;=0,$C$1*$AQ$66/12,IFERROR(-IPMT($AQ$66/12,(AK284-60),($F$1-5)*12,$AQ$65,0),0))</f>
        <v>0</v>
      </c>
      <c r="AO284" s="497">
        <f t="shared" si="120"/>
        <v>0</v>
      </c>
      <c r="AP284" s="497">
        <f t="shared" si="133"/>
        <v>1800000</v>
      </c>
      <c r="AQ284" s="493"/>
      <c r="AR284" s="493"/>
      <c r="AT284" s="492">
        <v>280</v>
      </c>
      <c r="AU284" s="492">
        <v>24</v>
      </c>
      <c r="AV284" s="497">
        <f>IF(('Comparison Calculator'!$E$11-AU284)&gt;=0,0,IFERROR(-PPMT($AZ$66/12,(AT284-60),($F$1-5)*12,$AZ$65),0))</f>
        <v>0</v>
      </c>
      <c r="AW284" s="497">
        <f>IF(('Comparison Calculator'!$E$11-AU284)&gt;=0,$C$1*$AZ$66/12,IFERROR(-IPMT($AZ$66/12,(AT284-60),($F$1-5)*12,$AZ$65,0),0))</f>
        <v>0</v>
      </c>
      <c r="AX284" s="497">
        <f t="shared" si="121"/>
        <v>0</v>
      </c>
      <c r="AY284" s="497">
        <f t="shared" si="134"/>
        <v>1800000</v>
      </c>
      <c r="AZ284" s="493"/>
      <c r="BA284" s="493"/>
      <c r="BC284" s="492">
        <v>280</v>
      </c>
      <c r="BD284" s="492">
        <v>24</v>
      </c>
      <c r="BE284" s="497">
        <f>IF(('Comparison Calculator'!$E$11-BD284)&gt;=0,0,IFERROR(-PPMT($BI$66/12,(BC284-60),($F$1-5)*12,$BI$65),0))</f>
        <v>0</v>
      </c>
      <c r="BF284" s="497">
        <f>IF(('Comparison Calculator'!$E$11-BD284)&gt;=0,$C$1*$BI$66/12,IFERROR(-IPMT($BI$66/12,(BC284-60),($F$1-5)*12,$BI$65,0),0))</f>
        <v>0</v>
      </c>
      <c r="BG284" s="497">
        <f t="shared" si="122"/>
        <v>0</v>
      </c>
      <c r="BH284" s="497">
        <f t="shared" si="135"/>
        <v>1800000</v>
      </c>
      <c r="BI284" s="493"/>
      <c r="BJ284" s="493"/>
      <c r="BK284" s="492">
        <v>280</v>
      </c>
      <c r="BL284" s="492">
        <v>24</v>
      </c>
      <c r="BM284" s="497">
        <f>IF(('Comparison Calculator'!$E$11-BL284)&gt;=0,0,IFERROR(-PPMT($BQ$66/12,(BK284-60),($F$1-5)*12,$BQ$65),0))</f>
        <v>0</v>
      </c>
      <c r="BN284" s="497">
        <f>IF(('Comparison Calculator'!$E$11-BL284)&gt;=0,$C$1*$BQ$66/12,IFERROR(-IPMT($BQ$66/12,(BK284-60),($F$1-5)*12,$BQ$65,0),0))</f>
        <v>0</v>
      </c>
      <c r="BO284" s="497">
        <f t="shared" si="123"/>
        <v>0</v>
      </c>
      <c r="BP284" s="497">
        <f t="shared" si="136"/>
        <v>1800000</v>
      </c>
      <c r="BQ284" s="493"/>
      <c r="BR284" s="493"/>
      <c r="BT284" s="492">
        <v>280</v>
      </c>
      <c r="BU284" s="492">
        <v>24</v>
      </c>
      <c r="BV284" s="497">
        <f>IF(('Comparison Calculator'!$E$11-BU284)&gt;=0,0,IFERROR(-PPMT($BZ$66/12,(BT284-60),($F$1-5)*12,$BZ$65),0))</f>
        <v>0</v>
      </c>
      <c r="BW284" s="497">
        <f>IF(('Comparison Calculator'!$E$11-BU284)&gt;=0,$C$1*$BZ$66/12,IFERROR(-IPMT($BZ$66/12,(BT284-60),($F$1-5)*12,$BZ$65,0),0))</f>
        <v>0</v>
      </c>
      <c r="BX284" s="497">
        <f t="shared" si="124"/>
        <v>0</v>
      </c>
      <c r="BY284" s="497">
        <f t="shared" si="137"/>
        <v>1800000</v>
      </c>
      <c r="BZ284" s="493"/>
      <c r="CA284" s="493"/>
      <c r="CC284" s="492">
        <v>280</v>
      </c>
      <c r="CD284" s="492">
        <v>24</v>
      </c>
      <c r="CE284" s="497">
        <f>IF(('Comparison Calculator'!$E$11-CD284)&gt;=0,0,IFERROR(-PPMT($CI$66/12,(CC284-60),($F$1-5)*12,$CI$65),0))</f>
        <v>0</v>
      </c>
      <c r="CF284" s="497">
        <f>IF(('Comparison Calculator'!$E$11-CD284)&gt;=0,$C$1*$CI$66/12,IFERROR(-IPMT($CI$66/12,(CC284-60),($F$1-5)*12,$CI$65,0),0))</f>
        <v>0</v>
      </c>
      <c r="CG284" s="497">
        <f t="shared" si="125"/>
        <v>0</v>
      </c>
      <c r="CH284" s="497">
        <f t="shared" si="138"/>
        <v>1800000</v>
      </c>
      <c r="CI284" s="493"/>
      <c r="CJ284" s="493"/>
      <c r="CL284" s="492">
        <v>280</v>
      </c>
      <c r="CM284" s="492">
        <v>24</v>
      </c>
      <c r="CN284" s="497">
        <f>IF(('Comparison Calculator'!$E$11-CM284)&gt;=0,0,IFERROR(-PPMT($CR$66/12,(CL284-60),($F$1-5)*12,$CR$65),0))</f>
        <v>0</v>
      </c>
      <c r="CO284" s="497">
        <f>IF(('Comparison Calculator'!$E$11-CM284)&gt;=0,$C$1*$CI$66/12,IFERROR(-IPMT($CI$66/12,(CL284-60),($F$1-5)*12,$CI$65,0),0))</f>
        <v>0</v>
      </c>
      <c r="CP284" s="497">
        <f t="shared" si="126"/>
        <v>0</v>
      </c>
      <c r="CQ284" s="497">
        <f t="shared" si="139"/>
        <v>1800000</v>
      </c>
      <c r="CR284" s="493"/>
      <c r="CS284" s="493"/>
      <c r="CU284" s="492">
        <v>280</v>
      </c>
      <c r="CV284" s="492">
        <v>24</v>
      </c>
      <c r="CW284" s="497">
        <f>IF(('Comparison Calculator'!$E$11-CV284)&gt;=0,0,IFERROR(-PPMT($DA$66/12,(CU284-60),($F$1-5)*12,$DA$65),0))</f>
        <v>0</v>
      </c>
      <c r="CX284" s="497">
        <f>IF(('Comparison Calculator'!$E$11-CV284)&gt;=0,$C$1*$DA$66/12,IFERROR(-IPMT($DA$66/12,(CU284-60),($F$1-5)*12,$DA$65,0),0))</f>
        <v>0</v>
      </c>
      <c r="CY284" s="497">
        <f t="shared" si="127"/>
        <v>0</v>
      </c>
      <c r="CZ284" s="497">
        <f t="shared" si="140"/>
        <v>1800000</v>
      </c>
      <c r="DA284" s="493"/>
      <c r="DB284" s="493"/>
      <c r="DD284" s="492">
        <v>280</v>
      </c>
      <c r="DE284" s="492">
        <v>24</v>
      </c>
      <c r="DF284" s="497">
        <f>IF(('Comparison Calculator'!$E$11-DE284)&gt;=0,0,IFERROR(-PPMT($DJ$66/12,(DD284-60),($F$1-5)*12,$DJ$65),0))</f>
        <v>0</v>
      </c>
      <c r="DG284" s="497">
        <f>IF(('Comparison Calculator'!$E$11-DE284)&gt;=0,$C$1*$DJ$66/12,IFERROR(-IPMT($DJ$66/12,(DD284-60),($F$1-5)*12,$DJ$65,0),0))</f>
        <v>0</v>
      </c>
      <c r="DH284" s="497">
        <f t="shared" si="128"/>
        <v>0</v>
      </c>
      <c r="DI284" s="497">
        <f t="shared" si="141"/>
        <v>1800000</v>
      </c>
      <c r="DJ284" s="493"/>
      <c r="DK284" s="493"/>
    </row>
    <row r="285" spans="1:115">
      <c r="A285" s="492">
        <v>281</v>
      </c>
      <c r="B285" s="492">
        <v>24</v>
      </c>
      <c r="C285" s="497">
        <f>IF(('Comparison Calculator'!$E$11-B285)&gt;=0,0,IFERROR(-PPMT($G$66/12,(A285-60),($F$1-5)*12,$G$65),0))</f>
        <v>0</v>
      </c>
      <c r="D285" s="497">
        <f>IF(('Comparison Calculator'!$E$11-B285)&gt;=0,$C$1*$G$66/12,IFERROR(-IPMT($G$66/12,(A285-60),($F$1-5)*12,$G$65,0),0))</f>
        <v>0</v>
      </c>
      <c r="E285" s="497">
        <f t="shared" si="116"/>
        <v>0</v>
      </c>
      <c r="F285" s="497">
        <f t="shared" si="129"/>
        <v>1800000</v>
      </c>
      <c r="G285" s="493"/>
      <c r="H285" s="493"/>
      <c r="I285" s="489"/>
      <c r="J285" s="492">
        <v>281</v>
      </c>
      <c r="K285" s="492">
        <v>24</v>
      </c>
      <c r="L285" s="497">
        <f>IF(('Comparison Calculator'!$E$11-K285)&gt;=0,0,IFERROR(-PPMT($P$66/12,(J285-60),($F$1-5)*12,$P$65),0))</f>
        <v>0</v>
      </c>
      <c r="M285" s="497">
        <f>IF(('Comparison Calculator'!$E$11-K285)&gt;=0,$C$1*$P$66/12,IFERROR(-IPMT($P$66/12,(J285-60),($F$1-5)*12,$P$65,0),0))</f>
        <v>0</v>
      </c>
      <c r="N285" s="497">
        <f t="shared" si="117"/>
        <v>0</v>
      </c>
      <c r="O285" s="497">
        <f t="shared" si="130"/>
        <v>1800000</v>
      </c>
      <c r="P285" s="493"/>
      <c r="Q285" s="493"/>
      <c r="S285" s="492">
        <v>281</v>
      </c>
      <c r="T285" s="492">
        <v>24</v>
      </c>
      <c r="U285" s="497">
        <f>IF(('Comparison Calculator'!$E$11-T285)&gt;=0,0,IFERROR(-PPMT($Y$66/12,(S285-60),($F$1-5)*12,$Y$65),0))</f>
        <v>0</v>
      </c>
      <c r="V285" s="497">
        <f>IF(('Comparison Calculator'!$E$11-T285)&gt;=0,$C$1*$Y$66/12,IFERROR(-IPMT($Y$66/12,(S285-60),($F$1-5)*12,$Y$65,0),0))</f>
        <v>0</v>
      </c>
      <c r="W285" s="497">
        <f t="shared" si="118"/>
        <v>0</v>
      </c>
      <c r="X285" s="497">
        <f t="shared" si="131"/>
        <v>1800000</v>
      </c>
      <c r="Y285" s="493"/>
      <c r="Z285" s="493"/>
      <c r="AB285" s="492">
        <v>281</v>
      </c>
      <c r="AC285" s="492">
        <v>24</v>
      </c>
      <c r="AD285" s="497">
        <f>IF(('Comparison Calculator'!$E$11-AC285)&gt;=0,0,IFERROR(-PPMT($AH$66/12,(AB285-60),($F$1-5)*12,$AH$65),0))</f>
        <v>0</v>
      </c>
      <c r="AE285" s="497">
        <f>IF(('Comparison Calculator'!$E$11-AC285)&gt;=0,$C$1*$AH$66/12,IFERROR(-IPMT($AH$66/12,(AB285-60),($F$1-5)*12,$AH$65,0),0))</f>
        <v>0</v>
      </c>
      <c r="AF285" s="497">
        <f t="shared" si="119"/>
        <v>0</v>
      </c>
      <c r="AG285" s="497">
        <f t="shared" si="132"/>
        <v>1800000</v>
      </c>
      <c r="AH285" s="493"/>
      <c r="AI285" s="493"/>
      <c r="AK285" s="492">
        <v>281</v>
      </c>
      <c r="AL285" s="492">
        <v>24</v>
      </c>
      <c r="AM285" s="497">
        <f>IF(('Comparison Calculator'!$E$11-AL285)&gt;=0,0,IFERROR(-PPMT($AQ$66/12,(AK285-60),($F$1-5)*12,$AQ$65),0))</f>
        <v>0</v>
      </c>
      <c r="AN285" s="497">
        <f>IF(('Comparison Calculator'!$E$11-AL285)&gt;=0,$C$1*$AQ$66/12,IFERROR(-IPMT($AQ$66/12,(AK285-60),($F$1-5)*12,$AQ$65,0),0))</f>
        <v>0</v>
      </c>
      <c r="AO285" s="497">
        <f t="shared" si="120"/>
        <v>0</v>
      </c>
      <c r="AP285" s="497">
        <f t="shared" si="133"/>
        <v>1800000</v>
      </c>
      <c r="AQ285" s="493"/>
      <c r="AR285" s="493"/>
      <c r="AT285" s="492">
        <v>281</v>
      </c>
      <c r="AU285" s="492">
        <v>24</v>
      </c>
      <c r="AV285" s="497">
        <f>IF(('Comparison Calculator'!$E$11-AU285)&gt;=0,0,IFERROR(-PPMT($AZ$66/12,(AT285-60),($F$1-5)*12,$AZ$65),0))</f>
        <v>0</v>
      </c>
      <c r="AW285" s="497">
        <f>IF(('Comparison Calculator'!$E$11-AU285)&gt;=0,$C$1*$AZ$66/12,IFERROR(-IPMT($AZ$66/12,(AT285-60),($F$1-5)*12,$AZ$65,0),0))</f>
        <v>0</v>
      </c>
      <c r="AX285" s="497">
        <f t="shared" si="121"/>
        <v>0</v>
      </c>
      <c r="AY285" s="497">
        <f t="shared" si="134"/>
        <v>1800000</v>
      </c>
      <c r="AZ285" s="493"/>
      <c r="BA285" s="493"/>
      <c r="BC285" s="492">
        <v>281</v>
      </c>
      <c r="BD285" s="492">
        <v>24</v>
      </c>
      <c r="BE285" s="497">
        <f>IF(('Comparison Calculator'!$E$11-BD285)&gt;=0,0,IFERROR(-PPMT($BI$66/12,(BC285-60),($F$1-5)*12,$BI$65),0))</f>
        <v>0</v>
      </c>
      <c r="BF285" s="497">
        <f>IF(('Comparison Calculator'!$E$11-BD285)&gt;=0,$C$1*$BI$66/12,IFERROR(-IPMT($BI$66/12,(BC285-60),($F$1-5)*12,$BI$65,0),0))</f>
        <v>0</v>
      </c>
      <c r="BG285" s="497">
        <f t="shared" si="122"/>
        <v>0</v>
      </c>
      <c r="BH285" s="497">
        <f t="shared" si="135"/>
        <v>1800000</v>
      </c>
      <c r="BI285" s="493"/>
      <c r="BJ285" s="493"/>
      <c r="BK285" s="492">
        <v>281</v>
      </c>
      <c r="BL285" s="492">
        <v>24</v>
      </c>
      <c r="BM285" s="497">
        <f>IF(('Comparison Calculator'!$E$11-BL285)&gt;=0,0,IFERROR(-PPMT($BQ$66/12,(BK285-60),($F$1-5)*12,$BQ$65),0))</f>
        <v>0</v>
      </c>
      <c r="BN285" s="497">
        <f>IF(('Comparison Calculator'!$E$11-BL285)&gt;=0,$C$1*$BQ$66/12,IFERROR(-IPMT($BQ$66/12,(BK285-60),($F$1-5)*12,$BQ$65,0),0))</f>
        <v>0</v>
      </c>
      <c r="BO285" s="497">
        <f t="shared" si="123"/>
        <v>0</v>
      </c>
      <c r="BP285" s="497">
        <f t="shared" si="136"/>
        <v>1800000</v>
      </c>
      <c r="BQ285" s="493"/>
      <c r="BR285" s="493"/>
      <c r="BT285" s="492">
        <v>281</v>
      </c>
      <c r="BU285" s="492">
        <v>24</v>
      </c>
      <c r="BV285" s="497">
        <f>IF(('Comparison Calculator'!$E$11-BU285)&gt;=0,0,IFERROR(-PPMT($BZ$66/12,(BT285-60),($F$1-5)*12,$BZ$65),0))</f>
        <v>0</v>
      </c>
      <c r="BW285" s="497">
        <f>IF(('Comparison Calculator'!$E$11-BU285)&gt;=0,$C$1*$BZ$66/12,IFERROR(-IPMT($BZ$66/12,(BT285-60),($F$1-5)*12,$BZ$65,0),0))</f>
        <v>0</v>
      </c>
      <c r="BX285" s="497">
        <f t="shared" si="124"/>
        <v>0</v>
      </c>
      <c r="BY285" s="497">
        <f t="shared" si="137"/>
        <v>1800000</v>
      </c>
      <c r="BZ285" s="493"/>
      <c r="CA285" s="493"/>
      <c r="CC285" s="492">
        <v>281</v>
      </c>
      <c r="CD285" s="492">
        <v>24</v>
      </c>
      <c r="CE285" s="497">
        <f>IF(('Comparison Calculator'!$E$11-CD285)&gt;=0,0,IFERROR(-PPMT($CI$66/12,(CC285-60),($F$1-5)*12,$CI$65),0))</f>
        <v>0</v>
      </c>
      <c r="CF285" s="497">
        <f>IF(('Comparison Calculator'!$E$11-CD285)&gt;=0,$C$1*$CI$66/12,IFERROR(-IPMT($CI$66/12,(CC285-60),($F$1-5)*12,$CI$65,0),0))</f>
        <v>0</v>
      </c>
      <c r="CG285" s="497">
        <f t="shared" si="125"/>
        <v>0</v>
      </c>
      <c r="CH285" s="497">
        <f t="shared" si="138"/>
        <v>1800000</v>
      </c>
      <c r="CI285" s="493"/>
      <c r="CJ285" s="493"/>
      <c r="CL285" s="492">
        <v>281</v>
      </c>
      <c r="CM285" s="492">
        <v>24</v>
      </c>
      <c r="CN285" s="497">
        <f>IF(('Comparison Calculator'!$E$11-CM285)&gt;=0,0,IFERROR(-PPMT($CR$66/12,(CL285-60),($F$1-5)*12,$CR$65),0))</f>
        <v>0</v>
      </c>
      <c r="CO285" s="497">
        <f>IF(('Comparison Calculator'!$E$11-CM285)&gt;=0,$C$1*$CI$66/12,IFERROR(-IPMT($CI$66/12,(CL285-60),($F$1-5)*12,$CI$65,0),0))</f>
        <v>0</v>
      </c>
      <c r="CP285" s="497">
        <f t="shared" si="126"/>
        <v>0</v>
      </c>
      <c r="CQ285" s="497">
        <f t="shared" si="139"/>
        <v>1800000</v>
      </c>
      <c r="CR285" s="493"/>
      <c r="CS285" s="493"/>
      <c r="CU285" s="492">
        <v>281</v>
      </c>
      <c r="CV285" s="492">
        <v>24</v>
      </c>
      <c r="CW285" s="497">
        <f>IF(('Comparison Calculator'!$E$11-CV285)&gt;=0,0,IFERROR(-PPMT($DA$66/12,(CU285-60),($F$1-5)*12,$DA$65),0))</f>
        <v>0</v>
      </c>
      <c r="CX285" s="497">
        <f>IF(('Comparison Calculator'!$E$11-CV285)&gt;=0,$C$1*$DA$66/12,IFERROR(-IPMT($DA$66/12,(CU285-60),($F$1-5)*12,$DA$65,0),0))</f>
        <v>0</v>
      </c>
      <c r="CY285" s="497">
        <f t="shared" si="127"/>
        <v>0</v>
      </c>
      <c r="CZ285" s="497">
        <f t="shared" si="140"/>
        <v>1800000</v>
      </c>
      <c r="DA285" s="493"/>
      <c r="DB285" s="493"/>
      <c r="DD285" s="492">
        <v>281</v>
      </c>
      <c r="DE285" s="492">
        <v>24</v>
      </c>
      <c r="DF285" s="497">
        <f>IF(('Comparison Calculator'!$E$11-DE285)&gt;=0,0,IFERROR(-PPMT($DJ$66/12,(DD285-60),($F$1-5)*12,$DJ$65),0))</f>
        <v>0</v>
      </c>
      <c r="DG285" s="497">
        <f>IF(('Comparison Calculator'!$E$11-DE285)&gt;=0,$C$1*$DJ$66/12,IFERROR(-IPMT($DJ$66/12,(DD285-60),($F$1-5)*12,$DJ$65,0),0))</f>
        <v>0</v>
      </c>
      <c r="DH285" s="497">
        <f t="shared" si="128"/>
        <v>0</v>
      </c>
      <c r="DI285" s="497">
        <f t="shared" si="141"/>
        <v>1800000</v>
      </c>
      <c r="DJ285" s="493"/>
      <c r="DK285" s="493"/>
    </row>
    <row r="286" spans="1:115">
      <c r="A286" s="492">
        <v>282</v>
      </c>
      <c r="B286" s="492">
        <v>24</v>
      </c>
      <c r="C286" s="497">
        <f>IF(('Comparison Calculator'!$E$11-B286)&gt;=0,0,IFERROR(-PPMT($G$66/12,(A286-60),($F$1-5)*12,$G$65),0))</f>
        <v>0</v>
      </c>
      <c r="D286" s="497">
        <f>IF(('Comparison Calculator'!$E$11-B286)&gt;=0,$C$1*$G$66/12,IFERROR(-IPMT($G$66/12,(A286-60),($F$1-5)*12,$G$65,0),0))</f>
        <v>0</v>
      </c>
      <c r="E286" s="497">
        <f t="shared" si="116"/>
        <v>0</v>
      </c>
      <c r="F286" s="497">
        <f t="shared" si="129"/>
        <v>1800000</v>
      </c>
      <c r="G286" s="493"/>
      <c r="H286" s="493"/>
      <c r="I286" s="489"/>
      <c r="J286" s="492">
        <v>282</v>
      </c>
      <c r="K286" s="492">
        <v>24</v>
      </c>
      <c r="L286" s="497">
        <f>IF(('Comparison Calculator'!$E$11-K286)&gt;=0,0,IFERROR(-PPMT($P$66/12,(J286-60),($F$1-5)*12,$P$65),0))</f>
        <v>0</v>
      </c>
      <c r="M286" s="497">
        <f>IF(('Comparison Calculator'!$E$11-K286)&gt;=0,$C$1*$P$66/12,IFERROR(-IPMT($P$66/12,(J286-60),($F$1-5)*12,$P$65,0),0))</f>
        <v>0</v>
      </c>
      <c r="N286" s="497">
        <f t="shared" si="117"/>
        <v>0</v>
      </c>
      <c r="O286" s="497">
        <f t="shared" si="130"/>
        <v>1800000</v>
      </c>
      <c r="P286" s="493"/>
      <c r="Q286" s="493"/>
      <c r="S286" s="492">
        <v>282</v>
      </c>
      <c r="T286" s="492">
        <v>24</v>
      </c>
      <c r="U286" s="497">
        <f>IF(('Comparison Calculator'!$E$11-T286)&gt;=0,0,IFERROR(-PPMT($Y$66/12,(S286-60),($F$1-5)*12,$Y$65),0))</f>
        <v>0</v>
      </c>
      <c r="V286" s="497">
        <f>IF(('Comparison Calculator'!$E$11-T286)&gt;=0,$C$1*$Y$66/12,IFERROR(-IPMT($Y$66/12,(S286-60),($F$1-5)*12,$Y$65,0),0))</f>
        <v>0</v>
      </c>
      <c r="W286" s="497">
        <f t="shared" si="118"/>
        <v>0</v>
      </c>
      <c r="X286" s="497">
        <f t="shared" si="131"/>
        <v>1800000</v>
      </c>
      <c r="Y286" s="493"/>
      <c r="Z286" s="493"/>
      <c r="AB286" s="492">
        <v>282</v>
      </c>
      <c r="AC286" s="492">
        <v>24</v>
      </c>
      <c r="AD286" s="497">
        <f>IF(('Comparison Calculator'!$E$11-AC286)&gt;=0,0,IFERROR(-PPMT($AH$66/12,(AB286-60),($F$1-5)*12,$AH$65),0))</f>
        <v>0</v>
      </c>
      <c r="AE286" s="497">
        <f>IF(('Comparison Calculator'!$E$11-AC286)&gt;=0,$C$1*$AH$66/12,IFERROR(-IPMT($AH$66/12,(AB286-60),($F$1-5)*12,$AH$65,0),0))</f>
        <v>0</v>
      </c>
      <c r="AF286" s="497">
        <f t="shared" si="119"/>
        <v>0</v>
      </c>
      <c r="AG286" s="497">
        <f t="shared" si="132"/>
        <v>1800000</v>
      </c>
      <c r="AH286" s="493"/>
      <c r="AI286" s="493"/>
      <c r="AK286" s="492">
        <v>282</v>
      </c>
      <c r="AL286" s="492">
        <v>24</v>
      </c>
      <c r="AM286" s="497">
        <f>IF(('Comparison Calculator'!$E$11-AL286)&gt;=0,0,IFERROR(-PPMT($AQ$66/12,(AK286-60),($F$1-5)*12,$AQ$65),0))</f>
        <v>0</v>
      </c>
      <c r="AN286" s="497">
        <f>IF(('Comparison Calculator'!$E$11-AL286)&gt;=0,$C$1*$AQ$66/12,IFERROR(-IPMT($AQ$66/12,(AK286-60),($F$1-5)*12,$AQ$65,0),0))</f>
        <v>0</v>
      </c>
      <c r="AO286" s="497">
        <f t="shared" si="120"/>
        <v>0</v>
      </c>
      <c r="AP286" s="497">
        <f t="shared" si="133"/>
        <v>1800000</v>
      </c>
      <c r="AQ286" s="493"/>
      <c r="AR286" s="493"/>
      <c r="AT286" s="492">
        <v>282</v>
      </c>
      <c r="AU286" s="492">
        <v>24</v>
      </c>
      <c r="AV286" s="497">
        <f>IF(('Comparison Calculator'!$E$11-AU286)&gt;=0,0,IFERROR(-PPMT($AZ$66/12,(AT286-60),($F$1-5)*12,$AZ$65),0))</f>
        <v>0</v>
      </c>
      <c r="AW286" s="497">
        <f>IF(('Comparison Calculator'!$E$11-AU286)&gt;=0,$C$1*$AZ$66/12,IFERROR(-IPMT($AZ$66/12,(AT286-60),($F$1-5)*12,$AZ$65,0),0))</f>
        <v>0</v>
      </c>
      <c r="AX286" s="497">
        <f t="shared" si="121"/>
        <v>0</v>
      </c>
      <c r="AY286" s="497">
        <f t="shared" si="134"/>
        <v>1800000</v>
      </c>
      <c r="AZ286" s="493"/>
      <c r="BA286" s="493"/>
      <c r="BC286" s="492">
        <v>282</v>
      </c>
      <c r="BD286" s="492">
        <v>24</v>
      </c>
      <c r="BE286" s="497">
        <f>IF(('Comparison Calculator'!$E$11-BD286)&gt;=0,0,IFERROR(-PPMT($BI$66/12,(BC286-60),($F$1-5)*12,$BI$65),0))</f>
        <v>0</v>
      </c>
      <c r="BF286" s="497">
        <f>IF(('Comparison Calculator'!$E$11-BD286)&gt;=0,$C$1*$BI$66/12,IFERROR(-IPMT($BI$66/12,(BC286-60),($F$1-5)*12,$BI$65,0),0))</f>
        <v>0</v>
      </c>
      <c r="BG286" s="497">
        <f t="shared" si="122"/>
        <v>0</v>
      </c>
      <c r="BH286" s="497">
        <f t="shared" si="135"/>
        <v>1800000</v>
      </c>
      <c r="BI286" s="493"/>
      <c r="BJ286" s="493"/>
      <c r="BK286" s="492">
        <v>282</v>
      </c>
      <c r="BL286" s="492">
        <v>24</v>
      </c>
      <c r="BM286" s="497">
        <f>IF(('Comparison Calculator'!$E$11-BL286)&gt;=0,0,IFERROR(-PPMT($BQ$66/12,(BK286-60),($F$1-5)*12,$BQ$65),0))</f>
        <v>0</v>
      </c>
      <c r="BN286" s="497">
        <f>IF(('Comparison Calculator'!$E$11-BL286)&gt;=0,$C$1*$BQ$66/12,IFERROR(-IPMT($BQ$66/12,(BK286-60),($F$1-5)*12,$BQ$65,0),0))</f>
        <v>0</v>
      </c>
      <c r="BO286" s="497">
        <f t="shared" si="123"/>
        <v>0</v>
      </c>
      <c r="BP286" s="497">
        <f t="shared" si="136"/>
        <v>1800000</v>
      </c>
      <c r="BQ286" s="493"/>
      <c r="BR286" s="493"/>
      <c r="BT286" s="492">
        <v>282</v>
      </c>
      <c r="BU286" s="492">
        <v>24</v>
      </c>
      <c r="BV286" s="497">
        <f>IF(('Comparison Calculator'!$E$11-BU286)&gt;=0,0,IFERROR(-PPMT($BZ$66/12,(BT286-60),($F$1-5)*12,$BZ$65),0))</f>
        <v>0</v>
      </c>
      <c r="BW286" s="497">
        <f>IF(('Comparison Calculator'!$E$11-BU286)&gt;=0,$C$1*$BZ$66/12,IFERROR(-IPMT($BZ$66/12,(BT286-60),($F$1-5)*12,$BZ$65,0),0))</f>
        <v>0</v>
      </c>
      <c r="BX286" s="497">
        <f t="shared" si="124"/>
        <v>0</v>
      </c>
      <c r="BY286" s="497">
        <f t="shared" si="137"/>
        <v>1800000</v>
      </c>
      <c r="BZ286" s="493"/>
      <c r="CA286" s="493"/>
      <c r="CC286" s="492">
        <v>282</v>
      </c>
      <c r="CD286" s="492">
        <v>24</v>
      </c>
      <c r="CE286" s="497">
        <f>IF(('Comparison Calculator'!$E$11-CD286)&gt;=0,0,IFERROR(-PPMT($CI$66/12,(CC286-60),($F$1-5)*12,$CI$65),0))</f>
        <v>0</v>
      </c>
      <c r="CF286" s="497">
        <f>IF(('Comparison Calculator'!$E$11-CD286)&gt;=0,$C$1*$CI$66/12,IFERROR(-IPMT($CI$66/12,(CC286-60),($F$1-5)*12,$CI$65,0),0))</f>
        <v>0</v>
      </c>
      <c r="CG286" s="497">
        <f t="shared" si="125"/>
        <v>0</v>
      </c>
      <c r="CH286" s="497">
        <f t="shared" si="138"/>
        <v>1800000</v>
      </c>
      <c r="CI286" s="493"/>
      <c r="CJ286" s="493"/>
      <c r="CL286" s="492">
        <v>282</v>
      </c>
      <c r="CM286" s="492">
        <v>24</v>
      </c>
      <c r="CN286" s="497">
        <f>IF(('Comparison Calculator'!$E$11-CM286)&gt;=0,0,IFERROR(-PPMT($CR$66/12,(CL286-60),($F$1-5)*12,$CR$65),0))</f>
        <v>0</v>
      </c>
      <c r="CO286" s="497">
        <f>IF(('Comparison Calculator'!$E$11-CM286)&gt;=0,$C$1*$CI$66/12,IFERROR(-IPMT($CI$66/12,(CL286-60),($F$1-5)*12,$CI$65,0),0))</f>
        <v>0</v>
      </c>
      <c r="CP286" s="497">
        <f t="shared" si="126"/>
        <v>0</v>
      </c>
      <c r="CQ286" s="497">
        <f t="shared" si="139"/>
        <v>1800000</v>
      </c>
      <c r="CR286" s="493"/>
      <c r="CS286" s="493"/>
      <c r="CU286" s="492">
        <v>282</v>
      </c>
      <c r="CV286" s="492">
        <v>24</v>
      </c>
      <c r="CW286" s="497">
        <f>IF(('Comparison Calculator'!$E$11-CV286)&gt;=0,0,IFERROR(-PPMT($DA$66/12,(CU286-60),($F$1-5)*12,$DA$65),0))</f>
        <v>0</v>
      </c>
      <c r="CX286" s="497">
        <f>IF(('Comparison Calculator'!$E$11-CV286)&gt;=0,$C$1*$DA$66/12,IFERROR(-IPMT($DA$66/12,(CU286-60),($F$1-5)*12,$DA$65,0),0))</f>
        <v>0</v>
      </c>
      <c r="CY286" s="497">
        <f t="shared" si="127"/>
        <v>0</v>
      </c>
      <c r="CZ286" s="497">
        <f t="shared" si="140"/>
        <v>1800000</v>
      </c>
      <c r="DA286" s="493"/>
      <c r="DB286" s="493"/>
      <c r="DD286" s="492">
        <v>282</v>
      </c>
      <c r="DE286" s="492">
        <v>24</v>
      </c>
      <c r="DF286" s="497">
        <f>IF(('Comparison Calculator'!$E$11-DE286)&gt;=0,0,IFERROR(-PPMT($DJ$66/12,(DD286-60),($F$1-5)*12,$DJ$65),0))</f>
        <v>0</v>
      </c>
      <c r="DG286" s="497">
        <f>IF(('Comparison Calculator'!$E$11-DE286)&gt;=0,$C$1*$DJ$66/12,IFERROR(-IPMT($DJ$66/12,(DD286-60),($F$1-5)*12,$DJ$65,0),0))</f>
        <v>0</v>
      </c>
      <c r="DH286" s="497">
        <f t="shared" si="128"/>
        <v>0</v>
      </c>
      <c r="DI286" s="497">
        <f t="shared" si="141"/>
        <v>1800000</v>
      </c>
      <c r="DJ286" s="493"/>
      <c r="DK286" s="493"/>
    </row>
    <row r="287" spans="1:115">
      <c r="A287" s="492">
        <v>283</v>
      </c>
      <c r="B287" s="492">
        <v>24</v>
      </c>
      <c r="C287" s="497">
        <f>IF(('Comparison Calculator'!$E$11-B287)&gt;=0,0,IFERROR(-PPMT($G$66/12,(A287-60),($F$1-5)*12,$G$65),0))</f>
        <v>0</v>
      </c>
      <c r="D287" s="497">
        <f>IF(('Comparison Calculator'!$E$11-B287)&gt;=0,$C$1*$G$66/12,IFERROR(-IPMT($G$66/12,(A287-60),($F$1-5)*12,$G$65,0),0))</f>
        <v>0</v>
      </c>
      <c r="E287" s="497">
        <f t="shared" si="116"/>
        <v>0</v>
      </c>
      <c r="F287" s="497">
        <f t="shared" si="129"/>
        <v>1800000</v>
      </c>
      <c r="G287" s="493"/>
      <c r="H287" s="493"/>
      <c r="I287" s="489"/>
      <c r="J287" s="492">
        <v>283</v>
      </c>
      <c r="K287" s="492">
        <v>24</v>
      </c>
      <c r="L287" s="497">
        <f>IF(('Comparison Calculator'!$E$11-K287)&gt;=0,0,IFERROR(-PPMT($P$66/12,(J287-60),($F$1-5)*12,$P$65),0))</f>
        <v>0</v>
      </c>
      <c r="M287" s="497">
        <f>IF(('Comparison Calculator'!$E$11-K287)&gt;=0,$C$1*$P$66/12,IFERROR(-IPMT($P$66/12,(J287-60),($F$1-5)*12,$P$65,0),0))</f>
        <v>0</v>
      </c>
      <c r="N287" s="497">
        <f t="shared" si="117"/>
        <v>0</v>
      </c>
      <c r="O287" s="497">
        <f t="shared" si="130"/>
        <v>1800000</v>
      </c>
      <c r="P287" s="493"/>
      <c r="Q287" s="493"/>
      <c r="S287" s="492">
        <v>283</v>
      </c>
      <c r="T287" s="492">
        <v>24</v>
      </c>
      <c r="U287" s="497">
        <f>IF(('Comparison Calculator'!$E$11-T287)&gt;=0,0,IFERROR(-PPMT($Y$66/12,(S287-60),($F$1-5)*12,$Y$65),0))</f>
        <v>0</v>
      </c>
      <c r="V287" s="497">
        <f>IF(('Comparison Calculator'!$E$11-T287)&gt;=0,$C$1*$Y$66/12,IFERROR(-IPMT($Y$66/12,(S287-60),($F$1-5)*12,$Y$65,0),0))</f>
        <v>0</v>
      </c>
      <c r="W287" s="497">
        <f t="shared" si="118"/>
        <v>0</v>
      </c>
      <c r="X287" s="497">
        <f t="shared" si="131"/>
        <v>1800000</v>
      </c>
      <c r="Y287" s="493"/>
      <c r="Z287" s="493"/>
      <c r="AB287" s="492">
        <v>283</v>
      </c>
      <c r="AC287" s="492">
        <v>24</v>
      </c>
      <c r="AD287" s="497">
        <f>IF(('Comparison Calculator'!$E$11-AC287)&gt;=0,0,IFERROR(-PPMT($AH$66/12,(AB287-60),($F$1-5)*12,$AH$65),0))</f>
        <v>0</v>
      </c>
      <c r="AE287" s="497">
        <f>IF(('Comparison Calculator'!$E$11-AC287)&gt;=0,$C$1*$AH$66/12,IFERROR(-IPMT($AH$66/12,(AB287-60),($F$1-5)*12,$AH$65,0),0))</f>
        <v>0</v>
      </c>
      <c r="AF287" s="497">
        <f t="shared" si="119"/>
        <v>0</v>
      </c>
      <c r="AG287" s="497">
        <f t="shared" si="132"/>
        <v>1800000</v>
      </c>
      <c r="AH287" s="493"/>
      <c r="AI287" s="493"/>
      <c r="AK287" s="492">
        <v>283</v>
      </c>
      <c r="AL287" s="492">
        <v>24</v>
      </c>
      <c r="AM287" s="497">
        <f>IF(('Comparison Calculator'!$E$11-AL287)&gt;=0,0,IFERROR(-PPMT($AQ$66/12,(AK287-60),($F$1-5)*12,$AQ$65),0))</f>
        <v>0</v>
      </c>
      <c r="AN287" s="497">
        <f>IF(('Comparison Calculator'!$E$11-AL287)&gt;=0,$C$1*$AQ$66/12,IFERROR(-IPMT($AQ$66/12,(AK287-60),($F$1-5)*12,$AQ$65,0),0))</f>
        <v>0</v>
      </c>
      <c r="AO287" s="497">
        <f t="shared" si="120"/>
        <v>0</v>
      </c>
      <c r="AP287" s="497">
        <f t="shared" si="133"/>
        <v>1800000</v>
      </c>
      <c r="AQ287" s="493"/>
      <c r="AR287" s="493"/>
      <c r="AT287" s="492">
        <v>283</v>
      </c>
      <c r="AU287" s="492">
        <v>24</v>
      </c>
      <c r="AV287" s="497">
        <f>IF(('Comparison Calculator'!$E$11-AU287)&gt;=0,0,IFERROR(-PPMT($AZ$66/12,(AT287-60),($F$1-5)*12,$AZ$65),0))</f>
        <v>0</v>
      </c>
      <c r="AW287" s="497">
        <f>IF(('Comparison Calculator'!$E$11-AU287)&gt;=0,$C$1*$AZ$66/12,IFERROR(-IPMT($AZ$66/12,(AT287-60),($F$1-5)*12,$AZ$65,0),0))</f>
        <v>0</v>
      </c>
      <c r="AX287" s="497">
        <f t="shared" si="121"/>
        <v>0</v>
      </c>
      <c r="AY287" s="497">
        <f t="shared" si="134"/>
        <v>1800000</v>
      </c>
      <c r="AZ287" s="493"/>
      <c r="BA287" s="493"/>
      <c r="BC287" s="492">
        <v>283</v>
      </c>
      <c r="BD287" s="492">
        <v>24</v>
      </c>
      <c r="BE287" s="497">
        <f>IF(('Comparison Calculator'!$E$11-BD287)&gt;=0,0,IFERROR(-PPMT($BI$66/12,(BC287-60),($F$1-5)*12,$BI$65),0))</f>
        <v>0</v>
      </c>
      <c r="BF287" s="497">
        <f>IF(('Comparison Calculator'!$E$11-BD287)&gt;=0,$C$1*$BI$66/12,IFERROR(-IPMT($BI$66/12,(BC287-60),($F$1-5)*12,$BI$65,0),0))</f>
        <v>0</v>
      </c>
      <c r="BG287" s="497">
        <f t="shared" si="122"/>
        <v>0</v>
      </c>
      <c r="BH287" s="497">
        <f t="shared" si="135"/>
        <v>1800000</v>
      </c>
      <c r="BI287" s="493"/>
      <c r="BJ287" s="493"/>
      <c r="BK287" s="492">
        <v>283</v>
      </c>
      <c r="BL287" s="492">
        <v>24</v>
      </c>
      <c r="BM287" s="497">
        <f>IF(('Comparison Calculator'!$E$11-BL287)&gt;=0,0,IFERROR(-PPMT($BQ$66/12,(BK287-60),($F$1-5)*12,$BQ$65),0))</f>
        <v>0</v>
      </c>
      <c r="BN287" s="497">
        <f>IF(('Comparison Calculator'!$E$11-BL287)&gt;=0,$C$1*$BQ$66/12,IFERROR(-IPMT($BQ$66/12,(BK287-60),($F$1-5)*12,$BQ$65,0),0))</f>
        <v>0</v>
      </c>
      <c r="BO287" s="497">
        <f t="shared" si="123"/>
        <v>0</v>
      </c>
      <c r="BP287" s="497">
        <f t="shared" si="136"/>
        <v>1800000</v>
      </c>
      <c r="BQ287" s="493"/>
      <c r="BR287" s="493"/>
      <c r="BT287" s="492">
        <v>283</v>
      </c>
      <c r="BU287" s="492">
        <v>24</v>
      </c>
      <c r="BV287" s="497">
        <f>IF(('Comparison Calculator'!$E$11-BU287)&gt;=0,0,IFERROR(-PPMT($BZ$66/12,(BT287-60),($F$1-5)*12,$BZ$65),0))</f>
        <v>0</v>
      </c>
      <c r="BW287" s="497">
        <f>IF(('Comparison Calculator'!$E$11-BU287)&gt;=0,$C$1*$BZ$66/12,IFERROR(-IPMT($BZ$66/12,(BT287-60),($F$1-5)*12,$BZ$65,0),0))</f>
        <v>0</v>
      </c>
      <c r="BX287" s="497">
        <f t="shared" si="124"/>
        <v>0</v>
      </c>
      <c r="BY287" s="497">
        <f t="shared" si="137"/>
        <v>1800000</v>
      </c>
      <c r="BZ287" s="493"/>
      <c r="CA287" s="493"/>
      <c r="CC287" s="492">
        <v>283</v>
      </c>
      <c r="CD287" s="492">
        <v>24</v>
      </c>
      <c r="CE287" s="497">
        <f>IF(('Comparison Calculator'!$E$11-CD287)&gt;=0,0,IFERROR(-PPMT($CI$66/12,(CC287-60),($F$1-5)*12,$CI$65),0))</f>
        <v>0</v>
      </c>
      <c r="CF287" s="497">
        <f>IF(('Comparison Calculator'!$E$11-CD287)&gt;=0,$C$1*$CI$66/12,IFERROR(-IPMT($CI$66/12,(CC287-60),($F$1-5)*12,$CI$65,0),0))</f>
        <v>0</v>
      </c>
      <c r="CG287" s="497">
        <f t="shared" si="125"/>
        <v>0</v>
      </c>
      <c r="CH287" s="497">
        <f t="shared" si="138"/>
        <v>1800000</v>
      </c>
      <c r="CI287" s="493"/>
      <c r="CJ287" s="493"/>
      <c r="CL287" s="492">
        <v>283</v>
      </c>
      <c r="CM287" s="492">
        <v>24</v>
      </c>
      <c r="CN287" s="497">
        <f>IF(('Comparison Calculator'!$E$11-CM287)&gt;=0,0,IFERROR(-PPMT($CR$66/12,(CL287-60),($F$1-5)*12,$CR$65),0))</f>
        <v>0</v>
      </c>
      <c r="CO287" s="497">
        <f>IF(('Comparison Calculator'!$E$11-CM287)&gt;=0,$C$1*$CI$66/12,IFERROR(-IPMT($CI$66/12,(CL287-60),($F$1-5)*12,$CI$65,0),0))</f>
        <v>0</v>
      </c>
      <c r="CP287" s="497">
        <f t="shared" si="126"/>
        <v>0</v>
      </c>
      <c r="CQ287" s="497">
        <f t="shared" si="139"/>
        <v>1800000</v>
      </c>
      <c r="CR287" s="493"/>
      <c r="CS287" s="493"/>
      <c r="CU287" s="492">
        <v>283</v>
      </c>
      <c r="CV287" s="492">
        <v>24</v>
      </c>
      <c r="CW287" s="497">
        <f>IF(('Comparison Calculator'!$E$11-CV287)&gt;=0,0,IFERROR(-PPMT($DA$66/12,(CU287-60),($F$1-5)*12,$DA$65),0))</f>
        <v>0</v>
      </c>
      <c r="CX287" s="497">
        <f>IF(('Comparison Calculator'!$E$11-CV287)&gt;=0,$C$1*$DA$66/12,IFERROR(-IPMT($DA$66/12,(CU287-60),($F$1-5)*12,$DA$65,0),0))</f>
        <v>0</v>
      </c>
      <c r="CY287" s="497">
        <f t="shared" si="127"/>
        <v>0</v>
      </c>
      <c r="CZ287" s="497">
        <f t="shared" si="140"/>
        <v>1800000</v>
      </c>
      <c r="DA287" s="493"/>
      <c r="DB287" s="493"/>
      <c r="DD287" s="492">
        <v>283</v>
      </c>
      <c r="DE287" s="492">
        <v>24</v>
      </c>
      <c r="DF287" s="497">
        <f>IF(('Comparison Calculator'!$E$11-DE287)&gt;=0,0,IFERROR(-PPMT($DJ$66/12,(DD287-60),($F$1-5)*12,$DJ$65),0))</f>
        <v>0</v>
      </c>
      <c r="DG287" s="497">
        <f>IF(('Comparison Calculator'!$E$11-DE287)&gt;=0,$C$1*$DJ$66/12,IFERROR(-IPMT($DJ$66/12,(DD287-60),($F$1-5)*12,$DJ$65,0),0))</f>
        <v>0</v>
      </c>
      <c r="DH287" s="497">
        <f t="shared" si="128"/>
        <v>0</v>
      </c>
      <c r="DI287" s="497">
        <f t="shared" si="141"/>
        <v>1800000</v>
      </c>
      <c r="DJ287" s="493"/>
      <c r="DK287" s="493"/>
    </row>
    <row r="288" spans="1:115">
      <c r="A288" s="492">
        <v>284</v>
      </c>
      <c r="B288" s="492">
        <v>24</v>
      </c>
      <c r="C288" s="497">
        <f>IF(('Comparison Calculator'!$E$11-B288)&gt;=0,0,IFERROR(-PPMT($G$66/12,(A288-60),($F$1-5)*12,$G$65),0))</f>
        <v>0</v>
      </c>
      <c r="D288" s="497">
        <f>IF(('Comparison Calculator'!$E$11-B288)&gt;=0,$C$1*$G$66/12,IFERROR(-IPMT($G$66/12,(A288-60),($F$1-5)*12,$G$65,0),0))</f>
        <v>0</v>
      </c>
      <c r="E288" s="497">
        <f t="shared" si="116"/>
        <v>0</v>
      </c>
      <c r="F288" s="497">
        <f t="shared" si="129"/>
        <v>1800000</v>
      </c>
      <c r="G288" s="493"/>
      <c r="H288" s="493"/>
      <c r="I288" s="489"/>
      <c r="J288" s="492">
        <v>284</v>
      </c>
      <c r="K288" s="492">
        <v>24</v>
      </c>
      <c r="L288" s="497">
        <f>IF(('Comparison Calculator'!$E$11-K288)&gt;=0,0,IFERROR(-PPMT($P$66/12,(J288-60),($F$1-5)*12,$P$65),0))</f>
        <v>0</v>
      </c>
      <c r="M288" s="497">
        <f>IF(('Comparison Calculator'!$E$11-K288)&gt;=0,$C$1*$P$66/12,IFERROR(-IPMT($P$66/12,(J288-60),($F$1-5)*12,$P$65,0),0))</f>
        <v>0</v>
      </c>
      <c r="N288" s="497">
        <f t="shared" si="117"/>
        <v>0</v>
      </c>
      <c r="O288" s="497">
        <f t="shared" si="130"/>
        <v>1800000</v>
      </c>
      <c r="P288" s="493"/>
      <c r="Q288" s="493"/>
      <c r="S288" s="492">
        <v>284</v>
      </c>
      <c r="T288" s="492">
        <v>24</v>
      </c>
      <c r="U288" s="497">
        <f>IF(('Comparison Calculator'!$E$11-T288)&gt;=0,0,IFERROR(-PPMT($Y$66/12,(S288-60),($F$1-5)*12,$Y$65),0))</f>
        <v>0</v>
      </c>
      <c r="V288" s="497">
        <f>IF(('Comparison Calculator'!$E$11-T288)&gt;=0,$C$1*$Y$66/12,IFERROR(-IPMT($Y$66/12,(S288-60),($F$1-5)*12,$Y$65,0),0))</f>
        <v>0</v>
      </c>
      <c r="W288" s="497">
        <f t="shared" si="118"/>
        <v>0</v>
      </c>
      <c r="X288" s="497">
        <f t="shared" si="131"/>
        <v>1800000</v>
      </c>
      <c r="Y288" s="493"/>
      <c r="Z288" s="493"/>
      <c r="AB288" s="492">
        <v>284</v>
      </c>
      <c r="AC288" s="492">
        <v>24</v>
      </c>
      <c r="AD288" s="497">
        <f>IF(('Comparison Calculator'!$E$11-AC288)&gt;=0,0,IFERROR(-PPMT($AH$66/12,(AB288-60),($F$1-5)*12,$AH$65),0))</f>
        <v>0</v>
      </c>
      <c r="AE288" s="497">
        <f>IF(('Comparison Calculator'!$E$11-AC288)&gt;=0,$C$1*$AH$66/12,IFERROR(-IPMT($AH$66/12,(AB288-60),($F$1-5)*12,$AH$65,0),0))</f>
        <v>0</v>
      </c>
      <c r="AF288" s="497">
        <f t="shared" si="119"/>
        <v>0</v>
      </c>
      <c r="AG288" s="497">
        <f t="shared" si="132"/>
        <v>1800000</v>
      </c>
      <c r="AH288" s="493"/>
      <c r="AI288" s="493"/>
      <c r="AK288" s="492">
        <v>284</v>
      </c>
      <c r="AL288" s="492">
        <v>24</v>
      </c>
      <c r="AM288" s="497">
        <f>IF(('Comparison Calculator'!$E$11-AL288)&gt;=0,0,IFERROR(-PPMT($AQ$66/12,(AK288-60),($F$1-5)*12,$AQ$65),0))</f>
        <v>0</v>
      </c>
      <c r="AN288" s="497">
        <f>IF(('Comparison Calculator'!$E$11-AL288)&gt;=0,$C$1*$AQ$66/12,IFERROR(-IPMT($AQ$66/12,(AK288-60),($F$1-5)*12,$AQ$65,0),0))</f>
        <v>0</v>
      </c>
      <c r="AO288" s="497">
        <f t="shared" si="120"/>
        <v>0</v>
      </c>
      <c r="AP288" s="497">
        <f t="shared" si="133"/>
        <v>1800000</v>
      </c>
      <c r="AQ288" s="493"/>
      <c r="AR288" s="493"/>
      <c r="AT288" s="492">
        <v>284</v>
      </c>
      <c r="AU288" s="492">
        <v>24</v>
      </c>
      <c r="AV288" s="497">
        <f>IF(('Comparison Calculator'!$E$11-AU288)&gt;=0,0,IFERROR(-PPMT($AZ$66/12,(AT288-60),($F$1-5)*12,$AZ$65),0))</f>
        <v>0</v>
      </c>
      <c r="AW288" s="497">
        <f>IF(('Comparison Calculator'!$E$11-AU288)&gt;=0,$C$1*$AZ$66/12,IFERROR(-IPMT($AZ$66/12,(AT288-60),($F$1-5)*12,$AZ$65,0),0))</f>
        <v>0</v>
      </c>
      <c r="AX288" s="497">
        <f t="shared" si="121"/>
        <v>0</v>
      </c>
      <c r="AY288" s="497">
        <f t="shared" si="134"/>
        <v>1800000</v>
      </c>
      <c r="AZ288" s="493"/>
      <c r="BA288" s="493"/>
      <c r="BC288" s="492">
        <v>284</v>
      </c>
      <c r="BD288" s="492">
        <v>24</v>
      </c>
      <c r="BE288" s="497">
        <f>IF(('Comparison Calculator'!$E$11-BD288)&gt;=0,0,IFERROR(-PPMT($BI$66/12,(BC288-60),($F$1-5)*12,$BI$65),0))</f>
        <v>0</v>
      </c>
      <c r="BF288" s="497">
        <f>IF(('Comparison Calculator'!$E$11-BD288)&gt;=0,$C$1*$BI$66/12,IFERROR(-IPMT($BI$66/12,(BC288-60),($F$1-5)*12,$BI$65,0),0))</f>
        <v>0</v>
      </c>
      <c r="BG288" s="497">
        <f t="shared" si="122"/>
        <v>0</v>
      </c>
      <c r="BH288" s="497">
        <f t="shared" si="135"/>
        <v>1800000</v>
      </c>
      <c r="BI288" s="493"/>
      <c r="BJ288" s="493"/>
      <c r="BK288" s="492">
        <v>284</v>
      </c>
      <c r="BL288" s="492">
        <v>24</v>
      </c>
      <c r="BM288" s="497">
        <f>IF(('Comparison Calculator'!$E$11-BL288)&gt;=0,0,IFERROR(-PPMT($BQ$66/12,(BK288-60),($F$1-5)*12,$BQ$65),0))</f>
        <v>0</v>
      </c>
      <c r="BN288" s="497">
        <f>IF(('Comparison Calculator'!$E$11-BL288)&gt;=0,$C$1*$BQ$66/12,IFERROR(-IPMT($BQ$66/12,(BK288-60),($F$1-5)*12,$BQ$65,0),0))</f>
        <v>0</v>
      </c>
      <c r="BO288" s="497">
        <f t="shared" si="123"/>
        <v>0</v>
      </c>
      <c r="BP288" s="497">
        <f t="shared" si="136"/>
        <v>1800000</v>
      </c>
      <c r="BQ288" s="493"/>
      <c r="BR288" s="493"/>
      <c r="BT288" s="492">
        <v>284</v>
      </c>
      <c r="BU288" s="492">
        <v>24</v>
      </c>
      <c r="BV288" s="497">
        <f>IF(('Comparison Calculator'!$E$11-BU288)&gt;=0,0,IFERROR(-PPMT($BZ$66/12,(BT288-60),($F$1-5)*12,$BZ$65),0))</f>
        <v>0</v>
      </c>
      <c r="BW288" s="497">
        <f>IF(('Comparison Calculator'!$E$11-BU288)&gt;=0,$C$1*$BZ$66/12,IFERROR(-IPMT($BZ$66/12,(BT288-60),($F$1-5)*12,$BZ$65,0),0))</f>
        <v>0</v>
      </c>
      <c r="BX288" s="497">
        <f t="shared" si="124"/>
        <v>0</v>
      </c>
      <c r="BY288" s="497">
        <f t="shared" si="137"/>
        <v>1800000</v>
      </c>
      <c r="BZ288" s="493"/>
      <c r="CA288" s="493"/>
      <c r="CC288" s="492">
        <v>284</v>
      </c>
      <c r="CD288" s="492">
        <v>24</v>
      </c>
      <c r="CE288" s="497">
        <f>IF(('Comparison Calculator'!$E$11-CD288)&gt;=0,0,IFERROR(-PPMT($CI$66/12,(CC288-60),($F$1-5)*12,$CI$65),0))</f>
        <v>0</v>
      </c>
      <c r="CF288" s="497">
        <f>IF(('Comparison Calculator'!$E$11-CD288)&gt;=0,$C$1*$CI$66/12,IFERROR(-IPMT($CI$66/12,(CC288-60),($F$1-5)*12,$CI$65,0),0))</f>
        <v>0</v>
      </c>
      <c r="CG288" s="497">
        <f t="shared" si="125"/>
        <v>0</v>
      </c>
      <c r="CH288" s="497">
        <f t="shared" si="138"/>
        <v>1800000</v>
      </c>
      <c r="CI288" s="493"/>
      <c r="CJ288" s="493"/>
      <c r="CL288" s="492">
        <v>284</v>
      </c>
      <c r="CM288" s="492">
        <v>24</v>
      </c>
      <c r="CN288" s="497">
        <f>IF(('Comparison Calculator'!$E$11-CM288)&gt;=0,0,IFERROR(-PPMT($CR$66/12,(CL288-60),($F$1-5)*12,$CR$65),0))</f>
        <v>0</v>
      </c>
      <c r="CO288" s="497">
        <f>IF(('Comparison Calculator'!$E$11-CM288)&gt;=0,$C$1*$CI$66/12,IFERROR(-IPMT($CI$66/12,(CL288-60),($F$1-5)*12,$CI$65,0),0))</f>
        <v>0</v>
      </c>
      <c r="CP288" s="497">
        <f t="shared" si="126"/>
        <v>0</v>
      </c>
      <c r="CQ288" s="497">
        <f t="shared" si="139"/>
        <v>1800000</v>
      </c>
      <c r="CR288" s="493"/>
      <c r="CS288" s="493"/>
      <c r="CU288" s="492">
        <v>284</v>
      </c>
      <c r="CV288" s="492">
        <v>24</v>
      </c>
      <c r="CW288" s="497">
        <f>IF(('Comparison Calculator'!$E$11-CV288)&gt;=0,0,IFERROR(-PPMT($DA$66/12,(CU288-60),($F$1-5)*12,$DA$65),0))</f>
        <v>0</v>
      </c>
      <c r="CX288" s="497">
        <f>IF(('Comparison Calculator'!$E$11-CV288)&gt;=0,$C$1*$DA$66/12,IFERROR(-IPMT($DA$66/12,(CU288-60),($F$1-5)*12,$DA$65,0),0))</f>
        <v>0</v>
      </c>
      <c r="CY288" s="497">
        <f t="shared" si="127"/>
        <v>0</v>
      </c>
      <c r="CZ288" s="497">
        <f t="shared" si="140"/>
        <v>1800000</v>
      </c>
      <c r="DA288" s="493"/>
      <c r="DB288" s="493"/>
      <c r="DD288" s="492">
        <v>284</v>
      </c>
      <c r="DE288" s="492">
        <v>24</v>
      </c>
      <c r="DF288" s="497">
        <f>IF(('Comparison Calculator'!$E$11-DE288)&gt;=0,0,IFERROR(-PPMT($DJ$66/12,(DD288-60),($F$1-5)*12,$DJ$65),0))</f>
        <v>0</v>
      </c>
      <c r="DG288" s="497">
        <f>IF(('Comparison Calculator'!$E$11-DE288)&gt;=0,$C$1*$DJ$66/12,IFERROR(-IPMT($DJ$66/12,(DD288-60),($F$1-5)*12,$DJ$65,0),0))</f>
        <v>0</v>
      </c>
      <c r="DH288" s="497">
        <f t="shared" si="128"/>
        <v>0</v>
      </c>
      <c r="DI288" s="497">
        <f t="shared" si="141"/>
        <v>1800000</v>
      </c>
      <c r="DJ288" s="493"/>
      <c r="DK288" s="493"/>
    </row>
    <row r="289" spans="1:115">
      <c r="A289" s="492">
        <v>285</v>
      </c>
      <c r="B289" s="492">
        <v>24</v>
      </c>
      <c r="C289" s="497">
        <f>IF(('Comparison Calculator'!$E$11-B289)&gt;=0,0,IFERROR(-PPMT($G$66/12,(A289-60),($F$1-5)*12,$G$65),0))</f>
        <v>0</v>
      </c>
      <c r="D289" s="497">
        <f>IF(('Comparison Calculator'!$E$11-B289)&gt;=0,$C$1*$G$66/12,IFERROR(-IPMT($G$66/12,(A289-60),($F$1-5)*12,$G$65,0),0))</f>
        <v>0</v>
      </c>
      <c r="E289" s="497">
        <f t="shared" si="116"/>
        <v>0</v>
      </c>
      <c r="F289" s="497">
        <f t="shared" si="129"/>
        <v>1800000</v>
      </c>
      <c r="G289" s="493"/>
      <c r="H289" s="493"/>
      <c r="I289" s="489"/>
      <c r="J289" s="492">
        <v>285</v>
      </c>
      <c r="K289" s="492">
        <v>24</v>
      </c>
      <c r="L289" s="497">
        <f>IF(('Comparison Calculator'!$E$11-K289)&gt;=0,0,IFERROR(-PPMT($P$66/12,(J289-60),($F$1-5)*12,$P$65),0))</f>
        <v>0</v>
      </c>
      <c r="M289" s="497">
        <f>IF(('Comparison Calculator'!$E$11-K289)&gt;=0,$C$1*$P$66/12,IFERROR(-IPMT($P$66/12,(J289-60),($F$1-5)*12,$P$65,0),0))</f>
        <v>0</v>
      </c>
      <c r="N289" s="497">
        <f t="shared" si="117"/>
        <v>0</v>
      </c>
      <c r="O289" s="497">
        <f t="shared" si="130"/>
        <v>1800000</v>
      </c>
      <c r="P289" s="493"/>
      <c r="Q289" s="493"/>
      <c r="S289" s="492">
        <v>285</v>
      </c>
      <c r="T289" s="492">
        <v>24</v>
      </c>
      <c r="U289" s="497">
        <f>IF(('Comparison Calculator'!$E$11-T289)&gt;=0,0,IFERROR(-PPMT($Y$66/12,(S289-60),($F$1-5)*12,$Y$65),0))</f>
        <v>0</v>
      </c>
      <c r="V289" s="497">
        <f>IF(('Comparison Calculator'!$E$11-T289)&gt;=0,$C$1*$Y$66/12,IFERROR(-IPMT($Y$66/12,(S289-60),($F$1-5)*12,$Y$65,0),0))</f>
        <v>0</v>
      </c>
      <c r="W289" s="497">
        <f t="shared" si="118"/>
        <v>0</v>
      </c>
      <c r="X289" s="497">
        <f t="shared" si="131"/>
        <v>1800000</v>
      </c>
      <c r="Y289" s="493"/>
      <c r="Z289" s="493"/>
      <c r="AB289" s="492">
        <v>285</v>
      </c>
      <c r="AC289" s="492">
        <v>24</v>
      </c>
      <c r="AD289" s="497">
        <f>IF(('Comparison Calculator'!$E$11-AC289)&gt;=0,0,IFERROR(-PPMT($AH$66/12,(AB289-60),($F$1-5)*12,$AH$65),0))</f>
        <v>0</v>
      </c>
      <c r="AE289" s="497">
        <f>IF(('Comparison Calculator'!$E$11-AC289)&gt;=0,$C$1*$AH$66/12,IFERROR(-IPMT($AH$66/12,(AB289-60),($F$1-5)*12,$AH$65,0),0))</f>
        <v>0</v>
      </c>
      <c r="AF289" s="497">
        <f t="shared" si="119"/>
        <v>0</v>
      </c>
      <c r="AG289" s="497">
        <f t="shared" si="132"/>
        <v>1800000</v>
      </c>
      <c r="AH289" s="493"/>
      <c r="AI289" s="493"/>
      <c r="AK289" s="492">
        <v>285</v>
      </c>
      <c r="AL289" s="492">
        <v>24</v>
      </c>
      <c r="AM289" s="497">
        <f>IF(('Comparison Calculator'!$E$11-AL289)&gt;=0,0,IFERROR(-PPMT($AQ$66/12,(AK289-60),($F$1-5)*12,$AQ$65),0))</f>
        <v>0</v>
      </c>
      <c r="AN289" s="497">
        <f>IF(('Comparison Calculator'!$E$11-AL289)&gt;=0,$C$1*$AQ$66/12,IFERROR(-IPMT($AQ$66/12,(AK289-60),($F$1-5)*12,$AQ$65,0),0))</f>
        <v>0</v>
      </c>
      <c r="AO289" s="497">
        <f t="shared" si="120"/>
        <v>0</v>
      </c>
      <c r="AP289" s="497">
        <f t="shared" si="133"/>
        <v>1800000</v>
      </c>
      <c r="AQ289" s="493"/>
      <c r="AR289" s="493"/>
      <c r="AT289" s="492">
        <v>285</v>
      </c>
      <c r="AU289" s="492">
        <v>24</v>
      </c>
      <c r="AV289" s="497">
        <f>IF(('Comparison Calculator'!$E$11-AU289)&gt;=0,0,IFERROR(-PPMT($AZ$66/12,(AT289-60),($F$1-5)*12,$AZ$65),0))</f>
        <v>0</v>
      </c>
      <c r="AW289" s="497">
        <f>IF(('Comparison Calculator'!$E$11-AU289)&gt;=0,$C$1*$AZ$66/12,IFERROR(-IPMT($AZ$66/12,(AT289-60),($F$1-5)*12,$AZ$65,0),0))</f>
        <v>0</v>
      </c>
      <c r="AX289" s="497">
        <f t="shared" si="121"/>
        <v>0</v>
      </c>
      <c r="AY289" s="497">
        <f t="shared" si="134"/>
        <v>1800000</v>
      </c>
      <c r="AZ289" s="493"/>
      <c r="BA289" s="493"/>
      <c r="BC289" s="492">
        <v>285</v>
      </c>
      <c r="BD289" s="492">
        <v>24</v>
      </c>
      <c r="BE289" s="497">
        <f>IF(('Comparison Calculator'!$E$11-BD289)&gt;=0,0,IFERROR(-PPMT($BI$66/12,(BC289-60),($F$1-5)*12,$BI$65),0))</f>
        <v>0</v>
      </c>
      <c r="BF289" s="497">
        <f>IF(('Comparison Calculator'!$E$11-BD289)&gt;=0,$C$1*$BI$66/12,IFERROR(-IPMT($BI$66/12,(BC289-60),($F$1-5)*12,$BI$65,0),0))</f>
        <v>0</v>
      </c>
      <c r="BG289" s="497">
        <f t="shared" si="122"/>
        <v>0</v>
      </c>
      <c r="BH289" s="497">
        <f t="shared" si="135"/>
        <v>1800000</v>
      </c>
      <c r="BI289" s="493"/>
      <c r="BJ289" s="493"/>
      <c r="BK289" s="492">
        <v>285</v>
      </c>
      <c r="BL289" s="492">
        <v>24</v>
      </c>
      <c r="BM289" s="497">
        <f>IF(('Comparison Calculator'!$E$11-BL289)&gt;=0,0,IFERROR(-PPMT($BQ$66/12,(BK289-60),($F$1-5)*12,$BQ$65),0))</f>
        <v>0</v>
      </c>
      <c r="BN289" s="497">
        <f>IF(('Comparison Calculator'!$E$11-BL289)&gt;=0,$C$1*$BQ$66/12,IFERROR(-IPMT($BQ$66/12,(BK289-60),($F$1-5)*12,$BQ$65,0),0))</f>
        <v>0</v>
      </c>
      <c r="BO289" s="497">
        <f t="shared" si="123"/>
        <v>0</v>
      </c>
      <c r="BP289" s="497">
        <f t="shared" si="136"/>
        <v>1800000</v>
      </c>
      <c r="BQ289" s="493"/>
      <c r="BR289" s="493"/>
      <c r="BT289" s="492">
        <v>285</v>
      </c>
      <c r="BU289" s="492">
        <v>24</v>
      </c>
      <c r="BV289" s="497">
        <f>IF(('Comparison Calculator'!$E$11-BU289)&gt;=0,0,IFERROR(-PPMT($BZ$66/12,(BT289-60),($F$1-5)*12,$BZ$65),0))</f>
        <v>0</v>
      </c>
      <c r="BW289" s="497">
        <f>IF(('Comparison Calculator'!$E$11-BU289)&gt;=0,$C$1*$BZ$66/12,IFERROR(-IPMT($BZ$66/12,(BT289-60),($F$1-5)*12,$BZ$65,0),0))</f>
        <v>0</v>
      </c>
      <c r="BX289" s="497">
        <f t="shared" si="124"/>
        <v>0</v>
      </c>
      <c r="BY289" s="497">
        <f t="shared" si="137"/>
        <v>1800000</v>
      </c>
      <c r="BZ289" s="493"/>
      <c r="CA289" s="493"/>
      <c r="CC289" s="492">
        <v>285</v>
      </c>
      <c r="CD289" s="492">
        <v>24</v>
      </c>
      <c r="CE289" s="497">
        <f>IF(('Comparison Calculator'!$E$11-CD289)&gt;=0,0,IFERROR(-PPMT($CI$66/12,(CC289-60),($F$1-5)*12,$CI$65),0))</f>
        <v>0</v>
      </c>
      <c r="CF289" s="497">
        <f>IF(('Comparison Calculator'!$E$11-CD289)&gt;=0,$C$1*$CI$66/12,IFERROR(-IPMT($CI$66/12,(CC289-60),($F$1-5)*12,$CI$65,0),0))</f>
        <v>0</v>
      </c>
      <c r="CG289" s="497">
        <f t="shared" si="125"/>
        <v>0</v>
      </c>
      <c r="CH289" s="497">
        <f t="shared" si="138"/>
        <v>1800000</v>
      </c>
      <c r="CI289" s="493"/>
      <c r="CJ289" s="493"/>
      <c r="CL289" s="492">
        <v>285</v>
      </c>
      <c r="CM289" s="492">
        <v>24</v>
      </c>
      <c r="CN289" s="497">
        <f>IF(('Comparison Calculator'!$E$11-CM289)&gt;=0,0,IFERROR(-PPMT($CR$66/12,(CL289-60),($F$1-5)*12,$CR$65),0))</f>
        <v>0</v>
      </c>
      <c r="CO289" s="497">
        <f>IF(('Comparison Calculator'!$E$11-CM289)&gt;=0,$C$1*$CI$66/12,IFERROR(-IPMT($CI$66/12,(CL289-60),($F$1-5)*12,$CI$65,0),0))</f>
        <v>0</v>
      </c>
      <c r="CP289" s="497">
        <f t="shared" si="126"/>
        <v>0</v>
      </c>
      <c r="CQ289" s="497">
        <f t="shared" si="139"/>
        <v>1800000</v>
      </c>
      <c r="CR289" s="493"/>
      <c r="CS289" s="493"/>
      <c r="CU289" s="492">
        <v>285</v>
      </c>
      <c r="CV289" s="492">
        <v>24</v>
      </c>
      <c r="CW289" s="497">
        <f>IF(('Comparison Calculator'!$E$11-CV289)&gt;=0,0,IFERROR(-PPMT($DA$66/12,(CU289-60),($F$1-5)*12,$DA$65),0))</f>
        <v>0</v>
      </c>
      <c r="CX289" s="497">
        <f>IF(('Comparison Calculator'!$E$11-CV289)&gt;=0,$C$1*$DA$66/12,IFERROR(-IPMT($DA$66/12,(CU289-60),($F$1-5)*12,$DA$65,0),0))</f>
        <v>0</v>
      </c>
      <c r="CY289" s="497">
        <f t="shared" si="127"/>
        <v>0</v>
      </c>
      <c r="CZ289" s="497">
        <f t="shared" si="140"/>
        <v>1800000</v>
      </c>
      <c r="DA289" s="493"/>
      <c r="DB289" s="493"/>
      <c r="DD289" s="492">
        <v>285</v>
      </c>
      <c r="DE289" s="492">
        <v>24</v>
      </c>
      <c r="DF289" s="497">
        <f>IF(('Comparison Calculator'!$E$11-DE289)&gt;=0,0,IFERROR(-PPMT($DJ$66/12,(DD289-60),($F$1-5)*12,$DJ$65),0))</f>
        <v>0</v>
      </c>
      <c r="DG289" s="497">
        <f>IF(('Comparison Calculator'!$E$11-DE289)&gt;=0,$C$1*$DJ$66/12,IFERROR(-IPMT($DJ$66/12,(DD289-60),($F$1-5)*12,$DJ$65,0),0))</f>
        <v>0</v>
      </c>
      <c r="DH289" s="497">
        <f t="shared" si="128"/>
        <v>0</v>
      </c>
      <c r="DI289" s="497">
        <f t="shared" si="141"/>
        <v>1800000</v>
      </c>
      <c r="DJ289" s="493"/>
      <c r="DK289" s="493"/>
    </row>
    <row r="290" spans="1:115">
      <c r="A290" s="492">
        <v>286</v>
      </c>
      <c r="B290" s="492">
        <v>24</v>
      </c>
      <c r="C290" s="497">
        <f>IF(('Comparison Calculator'!$E$11-B290)&gt;=0,0,IFERROR(-PPMT($G$66/12,(A290-60),($F$1-5)*12,$G$65),0))</f>
        <v>0</v>
      </c>
      <c r="D290" s="497">
        <f>IF(('Comparison Calculator'!$E$11-B290)&gt;=0,$C$1*$G$66/12,IFERROR(-IPMT($G$66/12,(A290-60),($F$1-5)*12,$G$65,0),0))</f>
        <v>0</v>
      </c>
      <c r="E290" s="497">
        <f t="shared" si="116"/>
        <v>0</v>
      </c>
      <c r="F290" s="497">
        <f t="shared" si="129"/>
        <v>1800000</v>
      </c>
      <c r="G290" s="493"/>
      <c r="H290" s="493"/>
      <c r="I290" s="489"/>
      <c r="J290" s="492">
        <v>286</v>
      </c>
      <c r="K290" s="492">
        <v>24</v>
      </c>
      <c r="L290" s="497">
        <f>IF(('Comparison Calculator'!$E$11-K290)&gt;=0,0,IFERROR(-PPMT($P$66/12,(J290-60),($F$1-5)*12,$P$65),0))</f>
        <v>0</v>
      </c>
      <c r="M290" s="497">
        <f>IF(('Comparison Calculator'!$E$11-K290)&gt;=0,$C$1*$P$66/12,IFERROR(-IPMT($P$66/12,(J290-60),($F$1-5)*12,$P$65,0),0))</f>
        <v>0</v>
      </c>
      <c r="N290" s="497">
        <f t="shared" si="117"/>
        <v>0</v>
      </c>
      <c r="O290" s="497">
        <f t="shared" si="130"/>
        <v>1800000</v>
      </c>
      <c r="P290" s="493"/>
      <c r="Q290" s="493"/>
      <c r="S290" s="492">
        <v>286</v>
      </c>
      <c r="T290" s="492">
        <v>24</v>
      </c>
      <c r="U290" s="497">
        <f>IF(('Comparison Calculator'!$E$11-T290)&gt;=0,0,IFERROR(-PPMT($Y$66/12,(S290-60),($F$1-5)*12,$Y$65),0))</f>
        <v>0</v>
      </c>
      <c r="V290" s="497">
        <f>IF(('Comparison Calculator'!$E$11-T290)&gt;=0,$C$1*$Y$66/12,IFERROR(-IPMT($Y$66/12,(S290-60),($F$1-5)*12,$Y$65,0),0))</f>
        <v>0</v>
      </c>
      <c r="W290" s="497">
        <f t="shared" si="118"/>
        <v>0</v>
      </c>
      <c r="X290" s="497">
        <f t="shared" si="131"/>
        <v>1800000</v>
      </c>
      <c r="Y290" s="493"/>
      <c r="Z290" s="493"/>
      <c r="AB290" s="492">
        <v>286</v>
      </c>
      <c r="AC290" s="492">
        <v>24</v>
      </c>
      <c r="AD290" s="497">
        <f>IF(('Comparison Calculator'!$E$11-AC290)&gt;=0,0,IFERROR(-PPMT($AH$66/12,(AB290-60),($F$1-5)*12,$AH$65),0))</f>
        <v>0</v>
      </c>
      <c r="AE290" s="497">
        <f>IF(('Comparison Calculator'!$E$11-AC290)&gt;=0,$C$1*$AH$66/12,IFERROR(-IPMT($AH$66/12,(AB290-60),($F$1-5)*12,$AH$65,0),0))</f>
        <v>0</v>
      </c>
      <c r="AF290" s="497">
        <f t="shared" si="119"/>
        <v>0</v>
      </c>
      <c r="AG290" s="497">
        <f t="shared" si="132"/>
        <v>1800000</v>
      </c>
      <c r="AH290" s="493"/>
      <c r="AI290" s="493"/>
      <c r="AK290" s="492">
        <v>286</v>
      </c>
      <c r="AL290" s="492">
        <v>24</v>
      </c>
      <c r="AM290" s="497">
        <f>IF(('Comparison Calculator'!$E$11-AL290)&gt;=0,0,IFERROR(-PPMT($AQ$66/12,(AK290-60),($F$1-5)*12,$AQ$65),0))</f>
        <v>0</v>
      </c>
      <c r="AN290" s="497">
        <f>IF(('Comparison Calculator'!$E$11-AL290)&gt;=0,$C$1*$AQ$66/12,IFERROR(-IPMT($AQ$66/12,(AK290-60),($F$1-5)*12,$AQ$65,0),0))</f>
        <v>0</v>
      </c>
      <c r="AO290" s="497">
        <f t="shared" si="120"/>
        <v>0</v>
      </c>
      <c r="AP290" s="497">
        <f t="shared" si="133"/>
        <v>1800000</v>
      </c>
      <c r="AQ290" s="493"/>
      <c r="AR290" s="493"/>
      <c r="AT290" s="492">
        <v>286</v>
      </c>
      <c r="AU290" s="492">
        <v>24</v>
      </c>
      <c r="AV290" s="497">
        <f>IF(('Comparison Calculator'!$E$11-AU290)&gt;=0,0,IFERROR(-PPMT($AZ$66/12,(AT290-60),($F$1-5)*12,$AZ$65),0))</f>
        <v>0</v>
      </c>
      <c r="AW290" s="497">
        <f>IF(('Comparison Calculator'!$E$11-AU290)&gt;=0,$C$1*$AZ$66/12,IFERROR(-IPMT($AZ$66/12,(AT290-60),($F$1-5)*12,$AZ$65,0),0))</f>
        <v>0</v>
      </c>
      <c r="AX290" s="497">
        <f t="shared" si="121"/>
        <v>0</v>
      </c>
      <c r="AY290" s="497">
        <f t="shared" si="134"/>
        <v>1800000</v>
      </c>
      <c r="AZ290" s="493"/>
      <c r="BA290" s="493"/>
      <c r="BC290" s="492">
        <v>286</v>
      </c>
      <c r="BD290" s="492">
        <v>24</v>
      </c>
      <c r="BE290" s="497">
        <f>IF(('Comparison Calculator'!$E$11-BD290)&gt;=0,0,IFERROR(-PPMT($BI$66/12,(BC290-60),($F$1-5)*12,$BI$65),0))</f>
        <v>0</v>
      </c>
      <c r="BF290" s="497">
        <f>IF(('Comparison Calculator'!$E$11-BD290)&gt;=0,$C$1*$BI$66/12,IFERROR(-IPMT($BI$66/12,(BC290-60),($F$1-5)*12,$BI$65,0),0))</f>
        <v>0</v>
      </c>
      <c r="BG290" s="497">
        <f t="shared" si="122"/>
        <v>0</v>
      </c>
      <c r="BH290" s="497">
        <f t="shared" si="135"/>
        <v>1800000</v>
      </c>
      <c r="BI290" s="493"/>
      <c r="BJ290" s="493"/>
      <c r="BK290" s="492">
        <v>286</v>
      </c>
      <c r="BL290" s="492">
        <v>24</v>
      </c>
      <c r="BM290" s="497">
        <f>IF(('Comparison Calculator'!$E$11-BL290)&gt;=0,0,IFERROR(-PPMT($BQ$66/12,(BK290-60),($F$1-5)*12,$BQ$65),0))</f>
        <v>0</v>
      </c>
      <c r="BN290" s="497">
        <f>IF(('Comparison Calculator'!$E$11-BL290)&gt;=0,$C$1*$BQ$66/12,IFERROR(-IPMT($BQ$66/12,(BK290-60),($F$1-5)*12,$BQ$65,0),0))</f>
        <v>0</v>
      </c>
      <c r="BO290" s="497">
        <f t="shared" si="123"/>
        <v>0</v>
      </c>
      <c r="BP290" s="497">
        <f t="shared" si="136"/>
        <v>1800000</v>
      </c>
      <c r="BQ290" s="493"/>
      <c r="BR290" s="493"/>
      <c r="BT290" s="492">
        <v>286</v>
      </c>
      <c r="BU290" s="492">
        <v>24</v>
      </c>
      <c r="BV290" s="497">
        <f>IF(('Comparison Calculator'!$E$11-BU290)&gt;=0,0,IFERROR(-PPMT($BZ$66/12,(BT290-60),($F$1-5)*12,$BZ$65),0))</f>
        <v>0</v>
      </c>
      <c r="BW290" s="497">
        <f>IF(('Comparison Calculator'!$E$11-BU290)&gt;=0,$C$1*$BZ$66/12,IFERROR(-IPMT($BZ$66/12,(BT290-60),($F$1-5)*12,$BZ$65,0),0))</f>
        <v>0</v>
      </c>
      <c r="BX290" s="497">
        <f t="shared" si="124"/>
        <v>0</v>
      </c>
      <c r="BY290" s="497">
        <f t="shared" si="137"/>
        <v>1800000</v>
      </c>
      <c r="BZ290" s="493"/>
      <c r="CA290" s="493"/>
      <c r="CC290" s="492">
        <v>286</v>
      </c>
      <c r="CD290" s="492">
        <v>24</v>
      </c>
      <c r="CE290" s="497">
        <f>IF(('Comparison Calculator'!$E$11-CD290)&gt;=0,0,IFERROR(-PPMT($CI$66/12,(CC290-60),($F$1-5)*12,$CI$65),0))</f>
        <v>0</v>
      </c>
      <c r="CF290" s="497">
        <f>IF(('Comparison Calculator'!$E$11-CD290)&gt;=0,$C$1*$CI$66/12,IFERROR(-IPMT($CI$66/12,(CC290-60),($F$1-5)*12,$CI$65,0),0))</f>
        <v>0</v>
      </c>
      <c r="CG290" s="497">
        <f t="shared" si="125"/>
        <v>0</v>
      </c>
      <c r="CH290" s="497">
        <f t="shared" si="138"/>
        <v>1800000</v>
      </c>
      <c r="CI290" s="493"/>
      <c r="CJ290" s="493"/>
      <c r="CL290" s="492">
        <v>286</v>
      </c>
      <c r="CM290" s="492">
        <v>24</v>
      </c>
      <c r="CN290" s="497">
        <f>IF(('Comparison Calculator'!$E$11-CM290)&gt;=0,0,IFERROR(-PPMT($CR$66/12,(CL290-60),($F$1-5)*12,$CR$65),0))</f>
        <v>0</v>
      </c>
      <c r="CO290" s="497">
        <f>IF(('Comparison Calculator'!$E$11-CM290)&gt;=0,$C$1*$CI$66/12,IFERROR(-IPMT($CI$66/12,(CL290-60),($F$1-5)*12,$CI$65,0),0))</f>
        <v>0</v>
      </c>
      <c r="CP290" s="497">
        <f t="shared" si="126"/>
        <v>0</v>
      </c>
      <c r="CQ290" s="497">
        <f t="shared" si="139"/>
        <v>1800000</v>
      </c>
      <c r="CR290" s="493"/>
      <c r="CS290" s="493"/>
      <c r="CU290" s="492">
        <v>286</v>
      </c>
      <c r="CV290" s="492">
        <v>24</v>
      </c>
      <c r="CW290" s="497">
        <f>IF(('Comparison Calculator'!$E$11-CV290)&gt;=0,0,IFERROR(-PPMT($DA$66/12,(CU290-60),($F$1-5)*12,$DA$65),0))</f>
        <v>0</v>
      </c>
      <c r="CX290" s="497">
        <f>IF(('Comparison Calculator'!$E$11-CV290)&gt;=0,$C$1*$DA$66/12,IFERROR(-IPMT($DA$66/12,(CU290-60),($F$1-5)*12,$DA$65,0),0))</f>
        <v>0</v>
      </c>
      <c r="CY290" s="497">
        <f t="shared" si="127"/>
        <v>0</v>
      </c>
      <c r="CZ290" s="497">
        <f t="shared" si="140"/>
        <v>1800000</v>
      </c>
      <c r="DA290" s="493"/>
      <c r="DB290" s="493"/>
      <c r="DD290" s="492">
        <v>286</v>
      </c>
      <c r="DE290" s="492">
        <v>24</v>
      </c>
      <c r="DF290" s="497">
        <f>IF(('Comparison Calculator'!$E$11-DE290)&gt;=0,0,IFERROR(-PPMT($DJ$66/12,(DD290-60),($F$1-5)*12,$DJ$65),0))</f>
        <v>0</v>
      </c>
      <c r="DG290" s="497">
        <f>IF(('Comparison Calculator'!$E$11-DE290)&gt;=0,$C$1*$DJ$66/12,IFERROR(-IPMT($DJ$66/12,(DD290-60),($F$1-5)*12,$DJ$65,0),0))</f>
        <v>0</v>
      </c>
      <c r="DH290" s="497">
        <f t="shared" si="128"/>
        <v>0</v>
      </c>
      <c r="DI290" s="497">
        <f t="shared" si="141"/>
        <v>1800000</v>
      </c>
      <c r="DJ290" s="493"/>
      <c r="DK290" s="493"/>
    </row>
    <row r="291" spans="1:115">
      <c r="A291" s="492">
        <v>287</v>
      </c>
      <c r="B291" s="492">
        <v>24</v>
      </c>
      <c r="C291" s="497">
        <f>IF(('Comparison Calculator'!$E$11-B291)&gt;=0,0,IFERROR(-PPMT($G$66/12,(A291-60),($F$1-5)*12,$G$65),0))</f>
        <v>0</v>
      </c>
      <c r="D291" s="497">
        <f>IF(('Comparison Calculator'!$E$11-B291)&gt;=0,$C$1*$G$66/12,IFERROR(-IPMT($G$66/12,(A291-60),($F$1-5)*12,$G$65,0),0))</f>
        <v>0</v>
      </c>
      <c r="E291" s="497">
        <f t="shared" si="116"/>
        <v>0</v>
      </c>
      <c r="F291" s="497">
        <f t="shared" si="129"/>
        <v>1800000</v>
      </c>
      <c r="G291" s="493"/>
      <c r="H291" s="493"/>
      <c r="I291" s="489"/>
      <c r="J291" s="492">
        <v>287</v>
      </c>
      <c r="K291" s="492">
        <v>24</v>
      </c>
      <c r="L291" s="497">
        <f>IF(('Comparison Calculator'!$E$11-K291)&gt;=0,0,IFERROR(-PPMT($P$66/12,(J291-60),($F$1-5)*12,$P$65),0))</f>
        <v>0</v>
      </c>
      <c r="M291" s="497">
        <f>IF(('Comparison Calculator'!$E$11-K291)&gt;=0,$C$1*$P$66/12,IFERROR(-IPMT($P$66/12,(J291-60),($F$1-5)*12,$P$65,0),0))</f>
        <v>0</v>
      </c>
      <c r="N291" s="497">
        <f t="shared" si="117"/>
        <v>0</v>
      </c>
      <c r="O291" s="497">
        <f t="shared" si="130"/>
        <v>1800000</v>
      </c>
      <c r="P291" s="493"/>
      <c r="Q291" s="493"/>
      <c r="S291" s="492">
        <v>287</v>
      </c>
      <c r="T291" s="492">
        <v>24</v>
      </c>
      <c r="U291" s="497">
        <f>IF(('Comparison Calculator'!$E$11-T291)&gt;=0,0,IFERROR(-PPMT($Y$66/12,(S291-60),($F$1-5)*12,$Y$65),0))</f>
        <v>0</v>
      </c>
      <c r="V291" s="497">
        <f>IF(('Comparison Calculator'!$E$11-T291)&gt;=0,$C$1*$Y$66/12,IFERROR(-IPMT($Y$66/12,(S291-60),($F$1-5)*12,$Y$65,0),0))</f>
        <v>0</v>
      </c>
      <c r="W291" s="497">
        <f t="shared" si="118"/>
        <v>0</v>
      </c>
      <c r="X291" s="497">
        <f t="shared" si="131"/>
        <v>1800000</v>
      </c>
      <c r="Y291" s="493"/>
      <c r="Z291" s="493"/>
      <c r="AB291" s="492">
        <v>287</v>
      </c>
      <c r="AC291" s="492">
        <v>24</v>
      </c>
      <c r="AD291" s="497">
        <f>IF(('Comparison Calculator'!$E$11-AC291)&gt;=0,0,IFERROR(-PPMT($AH$66/12,(AB291-60),($F$1-5)*12,$AH$65),0))</f>
        <v>0</v>
      </c>
      <c r="AE291" s="497">
        <f>IF(('Comparison Calculator'!$E$11-AC291)&gt;=0,$C$1*$AH$66/12,IFERROR(-IPMT($AH$66/12,(AB291-60),($F$1-5)*12,$AH$65,0),0))</f>
        <v>0</v>
      </c>
      <c r="AF291" s="497">
        <f t="shared" si="119"/>
        <v>0</v>
      </c>
      <c r="AG291" s="497">
        <f t="shared" si="132"/>
        <v>1800000</v>
      </c>
      <c r="AH291" s="493"/>
      <c r="AI291" s="493"/>
      <c r="AK291" s="492">
        <v>287</v>
      </c>
      <c r="AL291" s="492">
        <v>24</v>
      </c>
      <c r="AM291" s="497">
        <f>IF(('Comparison Calculator'!$E$11-AL291)&gt;=0,0,IFERROR(-PPMT($AQ$66/12,(AK291-60),($F$1-5)*12,$AQ$65),0))</f>
        <v>0</v>
      </c>
      <c r="AN291" s="497">
        <f>IF(('Comparison Calculator'!$E$11-AL291)&gt;=0,$C$1*$AQ$66/12,IFERROR(-IPMT($AQ$66/12,(AK291-60),($F$1-5)*12,$AQ$65,0),0))</f>
        <v>0</v>
      </c>
      <c r="AO291" s="497">
        <f t="shared" si="120"/>
        <v>0</v>
      </c>
      <c r="AP291" s="497">
        <f t="shared" si="133"/>
        <v>1800000</v>
      </c>
      <c r="AQ291" s="493"/>
      <c r="AR291" s="493"/>
      <c r="AT291" s="492">
        <v>287</v>
      </c>
      <c r="AU291" s="492">
        <v>24</v>
      </c>
      <c r="AV291" s="497">
        <f>IF(('Comparison Calculator'!$E$11-AU291)&gt;=0,0,IFERROR(-PPMT($AZ$66/12,(AT291-60),($F$1-5)*12,$AZ$65),0))</f>
        <v>0</v>
      </c>
      <c r="AW291" s="497">
        <f>IF(('Comparison Calculator'!$E$11-AU291)&gt;=0,$C$1*$AZ$66/12,IFERROR(-IPMT($AZ$66/12,(AT291-60),($F$1-5)*12,$AZ$65,0),0))</f>
        <v>0</v>
      </c>
      <c r="AX291" s="497">
        <f t="shared" si="121"/>
        <v>0</v>
      </c>
      <c r="AY291" s="497">
        <f t="shared" si="134"/>
        <v>1800000</v>
      </c>
      <c r="AZ291" s="493"/>
      <c r="BA291" s="493"/>
      <c r="BC291" s="492">
        <v>287</v>
      </c>
      <c r="BD291" s="492">
        <v>24</v>
      </c>
      <c r="BE291" s="497">
        <f>IF(('Comparison Calculator'!$E$11-BD291)&gt;=0,0,IFERROR(-PPMT($BI$66/12,(BC291-60),($F$1-5)*12,$BI$65),0))</f>
        <v>0</v>
      </c>
      <c r="BF291" s="497">
        <f>IF(('Comparison Calculator'!$E$11-BD291)&gt;=0,$C$1*$BI$66/12,IFERROR(-IPMT($BI$66/12,(BC291-60),($F$1-5)*12,$BI$65,0),0))</f>
        <v>0</v>
      </c>
      <c r="BG291" s="497">
        <f t="shared" si="122"/>
        <v>0</v>
      </c>
      <c r="BH291" s="497">
        <f t="shared" si="135"/>
        <v>1800000</v>
      </c>
      <c r="BI291" s="493"/>
      <c r="BJ291" s="493"/>
      <c r="BK291" s="492">
        <v>287</v>
      </c>
      <c r="BL291" s="492">
        <v>24</v>
      </c>
      <c r="BM291" s="497">
        <f>IF(('Comparison Calculator'!$E$11-BL291)&gt;=0,0,IFERROR(-PPMT($BQ$66/12,(BK291-60),($F$1-5)*12,$BQ$65),0))</f>
        <v>0</v>
      </c>
      <c r="BN291" s="497">
        <f>IF(('Comparison Calculator'!$E$11-BL291)&gt;=0,$C$1*$BQ$66/12,IFERROR(-IPMT($BQ$66/12,(BK291-60),($F$1-5)*12,$BQ$65,0),0))</f>
        <v>0</v>
      </c>
      <c r="BO291" s="497">
        <f t="shared" si="123"/>
        <v>0</v>
      </c>
      <c r="BP291" s="497">
        <f t="shared" si="136"/>
        <v>1800000</v>
      </c>
      <c r="BQ291" s="493"/>
      <c r="BR291" s="493"/>
      <c r="BT291" s="492">
        <v>287</v>
      </c>
      <c r="BU291" s="492">
        <v>24</v>
      </c>
      <c r="BV291" s="497">
        <f>IF(('Comparison Calculator'!$E$11-BU291)&gt;=0,0,IFERROR(-PPMT($BZ$66/12,(BT291-60),($F$1-5)*12,$BZ$65),0))</f>
        <v>0</v>
      </c>
      <c r="BW291" s="497">
        <f>IF(('Comparison Calculator'!$E$11-BU291)&gt;=0,$C$1*$BZ$66/12,IFERROR(-IPMT($BZ$66/12,(BT291-60),($F$1-5)*12,$BZ$65,0),0))</f>
        <v>0</v>
      </c>
      <c r="BX291" s="497">
        <f t="shared" si="124"/>
        <v>0</v>
      </c>
      <c r="BY291" s="497">
        <f t="shared" si="137"/>
        <v>1800000</v>
      </c>
      <c r="BZ291" s="493"/>
      <c r="CA291" s="493"/>
      <c r="CC291" s="492">
        <v>287</v>
      </c>
      <c r="CD291" s="492">
        <v>24</v>
      </c>
      <c r="CE291" s="497">
        <f>IF(('Comparison Calculator'!$E$11-CD291)&gt;=0,0,IFERROR(-PPMT($CI$66/12,(CC291-60),($F$1-5)*12,$CI$65),0))</f>
        <v>0</v>
      </c>
      <c r="CF291" s="497">
        <f>IF(('Comparison Calculator'!$E$11-CD291)&gt;=0,$C$1*$CI$66/12,IFERROR(-IPMT($CI$66/12,(CC291-60),($F$1-5)*12,$CI$65,0),0))</f>
        <v>0</v>
      </c>
      <c r="CG291" s="497">
        <f t="shared" si="125"/>
        <v>0</v>
      </c>
      <c r="CH291" s="497">
        <f t="shared" si="138"/>
        <v>1800000</v>
      </c>
      <c r="CI291" s="493"/>
      <c r="CJ291" s="493"/>
      <c r="CL291" s="492">
        <v>287</v>
      </c>
      <c r="CM291" s="492">
        <v>24</v>
      </c>
      <c r="CN291" s="497">
        <f>IF(('Comparison Calculator'!$E$11-CM291)&gt;=0,0,IFERROR(-PPMT($CR$66/12,(CL291-60),($F$1-5)*12,$CR$65),0))</f>
        <v>0</v>
      </c>
      <c r="CO291" s="497">
        <f>IF(('Comparison Calculator'!$E$11-CM291)&gt;=0,$C$1*$CI$66/12,IFERROR(-IPMT($CI$66/12,(CL291-60),($F$1-5)*12,$CI$65,0),0))</f>
        <v>0</v>
      </c>
      <c r="CP291" s="497">
        <f t="shared" si="126"/>
        <v>0</v>
      </c>
      <c r="CQ291" s="497">
        <f t="shared" si="139"/>
        <v>1800000</v>
      </c>
      <c r="CR291" s="493"/>
      <c r="CS291" s="493"/>
      <c r="CU291" s="492">
        <v>287</v>
      </c>
      <c r="CV291" s="492">
        <v>24</v>
      </c>
      <c r="CW291" s="497">
        <f>IF(('Comparison Calculator'!$E$11-CV291)&gt;=0,0,IFERROR(-PPMT($DA$66/12,(CU291-60),($F$1-5)*12,$DA$65),0))</f>
        <v>0</v>
      </c>
      <c r="CX291" s="497">
        <f>IF(('Comparison Calculator'!$E$11-CV291)&gt;=0,$C$1*$DA$66/12,IFERROR(-IPMT($DA$66/12,(CU291-60),($F$1-5)*12,$DA$65,0),0))</f>
        <v>0</v>
      </c>
      <c r="CY291" s="497">
        <f t="shared" si="127"/>
        <v>0</v>
      </c>
      <c r="CZ291" s="497">
        <f t="shared" si="140"/>
        <v>1800000</v>
      </c>
      <c r="DA291" s="493"/>
      <c r="DB291" s="493"/>
      <c r="DD291" s="492">
        <v>287</v>
      </c>
      <c r="DE291" s="492">
        <v>24</v>
      </c>
      <c r="DF291" s="497">
        <f>IF(('Comparison Calculator'!$E$11-DE291)&gt;=0,0,IFERROR(-PPMT($DJ$66/12,(DD291-60),($F$1-5)*12,$DJ$65),0))</f>
        <v>0</v>
      </c>
      <c r="DG291" s="497">
        <f>IF(('Comparison Calculator'!$E$11-DE291)&gt;=0,$C$1*$DJ$66/12,IFERROR(-IPMT($DJ$66/12,(DD291-60),($F$1-5)*12,$DJ$65,0),0))</f>
        <v>0</v>
      </c>
      <c r="DH291" s="497">
        <f t="shared" si="128"/>
        <v>0</v>
      </c>
      <c r="DI291" s="497">
        <f t="shared" si="141"/>
        <v>1800000</v>
      </c>
      <c r="DJ291" s="493"/>
      <c r="DK291" s="493"/>
    </row>
    <row r="292" spans="1:115">
      <c r="A292" s="492">
        <v>288</v>
      </c>
      <c r="B292" s="492">
        <v>24</v>
      </c>
      <c r="C292" s="497">
        <f>IF(('Comparison Calculator'!$E$11-B292)&gt;=0,0,IFERROR(-PPMT($G$66/12,(A292-60),($F$1-5)*12,$G$65),0))</f>
        <v>0</v>
      </c>
      <c r="D292" s="497">
        <f>IF(('Comparison Calculator'!$E$11-B292)&gt;=0,$C$1*$G$66/12,IFERROR(-IPMT($G$66/12,(A292-60),($F$1-5)*12,$G$65,0),0))</f>
        <v>0</v>
      </c>
      <c r="E292" s="497">
        <f t="shared" si="116"/>
        <v>0</v>
      </c>
      <c r="F292" s="497">
        <f t="shared" si="129"/>
        <v>1800000</v>
      </c>
      <c r="G292" s="493"/>
      <c r="H292" s="493"/>
      <c r="I292" s="489"/>
      <c r="J292" s="492">
        <v>288</v>
      </c>
      <c r="K292" s="492">
        <v>24</v>
      </c>
      <c r="L292" s="497">
        <f>IF(('Comparison Calculator'!$E$11-K292)&gt;=0,0,IFERROR(-PPMT($P$66/12,(J292-60),($F$1-5)*12,$P$65),0))</f>
        <v>0</v>
      </c>
      <c r="M292" s="497">
        <f>IF(('Comparison Calculator'!$E$11-K292)&gt;=0,$C$1*$P$66/12,IFERROR(-IPMT($P$66/12,(J292-60),($F$1-5)*12,$P$65,0),0))</f>
        <v>0</v>
      </c>
      <c r="N292" s="497">
        <f t="shared" si="117"/>
        <v>0</v>
      </c>
      <c r="O292" s="497">
        <f t="shared" si="130"/>
        <v>1800000</v>
      </c>
      <c r="P292" s="493"/>
      <c r="Q292" s="493"/>
      <c r="S292" s="492">
        <v>288</v>
      </c>
      <c r="T292" s="492">
        <v>24</v>
      </c>
      <c r="U292" s="497">
        <f>IF(('Comparison Calculator'!$E$11-T292)&gt;=0,0,IFERROR(-PPMT($Y$66/12,(S292-60),($F$1-5)*12,$Y$65),0))</f>
        <v>0</v>
      </c>
      <c r="V292" s="497">
        <f>IF(('Comparison Calculator'!$E$11-T292)&gt;=0,$C$1*$Y$66/12,IFERROR(-IPMT($Y$66/12,(S292-60),($F$1-5)*12,$Y$65,0),0))</f>
        <v>0</v>
      </c>
      <c r="W292" s="497">
        <f t="shared" si="118"/>
        <v>0</v>
      </c>
      <c r="X292" s="497">
        <f t="shared" si="131"/>
        <v>1800000</v>
      </c>
      <c r="Y292" s="493"/>
      <c r="Z292" s="493"/>
      <c r="AB292" s="492">
        <v>288</v>
      </c>
      <c r="AC292" s="492">
        <v>24</v>
      </c>
      <c r="AD292" s="497">
        <f>IF(('Comparison Calculator'!$E$11-AC292)&gt;=0,0,IFERROR(-PPMT($AH$66/12,(AB292-60),($F$1-5)*12,$AH$65),0))</f>
        <v>0</v>
      </c>
      <c r="AE292" s="497">
        <f>IF(('Comparison Calculator'!$E$11-AC292)&gt;=0,$C$1*$AH$66/12,IFERROR(-IPMT($AH$66/12,(AB292-60),($F$1-5)*12,$AH$65,0),0))</f>
        <v>0</v>
      </c>
      <c r="AF292" s="497">
        <f t="shared" si="119"/>
        <v>0</v>
      </c>
      <c r="AG292" s="497">
        <f t="shared" si="132"/>
        <v>1800000</v>
      </c>
      <c r="AH292" s="493"/>
      <c r="AI292" s="493"/>
      <c r="AK292" s="492">
        <v>288</v>
      </c>
      <c r="AL292" s="492">
        <v>24</v>
      </c>
      <c r="AM292" s="497">
        <f>IF(('Comparison Calculator'!$E$11-AL292)&gt;=0,0,IFERROR(-PPMT($AQ$66/12,(AK292-60),($F$1-5)*12,$AQ$65),0))</f>
        <v>0</v>
      </c>
      <c r="AN292" s="497">
        <f>IF(('Comparison Calculator'!$E$11-AL292)&gt;=0,$C$1*$AQ$66/12,IFERROR(-IPMT($AQ$66/12,(AK292-60),($F$1-5)*12,$AQ$65,0),0))</f>
        <v>0</v>
      </c>
      <c r="AO292" s="497">
        <f t="shared" si="120"/>
        <v>0</v>
      </c>
      <c r="AP292" s="497">
        <f t="shared" si="133"/>
        <v>1800000</v>
      </c>
      <c r="AQ292" s="493"/>
      <c r="AR292" s="493"/>
      <c r="AT292" s="492">
        <v>288</v>
      </c>
      <c r="AU292" s="492">
        <v>24</v>
      </c>
      <c r="AV292" s="497">
        <f>IF(('Comparison Calculator'!$E$11-AU292)&gt;=0,0,IFERROR(-PPMT($AZ$66/12,(AT292-60),($F$1-5)*12,$AZ$65),0))</f>
        <v>0</v>
      </c>
      <c r="AW292" s="497">
        <f>IF(('Comparison Calculator'!$E$11-AU292)&gt;=0,$C$1*$AZ$66/12,IFERROR(-IPMT($AZ$66/12,(AT292-60),($F$1-5)*12,$AZ$65,0),0))</f>
        <v>0</v>
      </c>
      <c r="AX292" s="497">
        <f t="shared" si="121"/>
        <v>0</v>
      </c>
      <c r="AY292" s="497">
        <f t="shared" si="134"/>
        <v>1800000</v>
      </c>
      <c r="AZ292" s="493"/>
      <c r="BA292" s="493"/>
      <c r="BC292" s="492">
        <v>288</v>
      </c>
      <c r="BD292" s="492">
        <v>24</v>
      </c>
      <c r="BE292" s="497">
        <f>IF(('Comparison Calculator'!$E$11-BD292)&gt;=0,0,IFERROR(-PPMT($BI$66/12,(BC292-60),($F$1-5)*12,$BI$65),0))</f>
        <v>0</v>
      </c>
      <c r="BF292" s="497">
        <f>IF(('Comparison Calculator'!$E$11-BD292)&gt;=0,$C$1*$BI$66/12,IFERROR(-IPMT($BI$66/12,(BC292-60),($F$1-5)*12,$BI$65,0),0))</f>
        <v>0</v>
      </c>
      <c r="BG292" s="497">
        <f t="shared" si="122"/>
        <v>0</v>
      </c>
      <c r="BH292" s="497">
        <f t="shared" si="135"/>
        <v>1800000</v>
      </c>
      <c r="BI292" s="493"/>
      <c r="BJ292" s="493"/>
      <c r="BK292" s="492">
        <v>288</v>
      </c>
      <c r="BL292" s="492">
        <v>24</v>
      </c>
      <c r="BM292" s="497">
        <f>IF(('Comparison Calculator'!$E$11-BL292)&gt;=0,0,IFERROR(-PPMT($BQ$66/12,(BK292-60),($F$1-5)*12,$BQ$65),0))</f>
        <v>0</v>
      </c>
      <c r="BN292" s="497">
        <f>IF(('Comparison Calculator'!$E$11-BL292)&gt;=0,$C$1*$BQ$66/12,IFERROR(-IPMT($BQ$66/12,(BK292-60),($F$1-5)*12,$BQ$65,0),0))</f>
        <v>0</v>
      </c>
      <c r="BO292" s="497">
        <f t="shared" si="123"/>
        <v>0</v>
      </c>
      <c r="BP292" s="497">
        <f t="shared" si="136"/>
        <v>1800000</v>
      </c>
      <c r="BQ292" s="493"/>
      <c r="BR292" s="493"/>
      <c r="BT292" s="492">
        <v>288</v>
      </c>
      <c r="BU292" s="492">
        <v>24</v>
      </c>
      <c r="BV292" s="497">
        <f>IF(('Comparison Calculator'!$E$11-BU292)&gt;=0,0,IFERROR(-PPMT($BZ$66/12,(BT292-60),($F$1-5)*12,$BZ$65),0))</f>
        <v>0</v>
      </c>
      <c r="BW292" s="497">
        <f>IF(('Comparison Calculator'!$E$11-BU292)&gt;=0,$C$1*$BZ$66/12,IFERROR(-IPMT($BZ$66/12,(BT292-60),($F$1-5)*12,$BZ$65,0),0))</f>
        <v>0</v>
      </c>
      <c r="BX292" s="497">
        <f t="shared" si="124"/>
        <v>0</v>
      </c>
      <c r="BY292" s="497">
        <f t="shared" si="137"/>
        <v>1800000</v>
      </c>
      <c r="BZ292" s="493"/>
      <c r="CA292" s="493"/>
      <c r="CC292" s="492">
        <v>288</v>
      </c>
      <c r="CD292" s="492">
        <v>24</v>
      </c>
      <c r="CE292" s="497">
        <f>IF(('Comparison Calculator'!$E$11-CD292)&gt;=0,0,IFERROR(-PPMT($CI$66/12,(CC292-60),($F$1-5)*12,$CI$65),0))</f>
        <v>0</v>
      </c>
      <c r="CF292" s="497">
        <f>IF(('Comparison Calculator'!$E$11-CD292)&gt;=0,$C$1*$CI$66/12,IFERROR(-IPMT($CI$66/12,(CC292-60),($F$1-5)*12,$CI$65,0),0))</f>
        <v>0</v>
      </c>
      <c r="CG292" s="497">
        <f t="shared" si="125"/>
        <v>0</v>
      </c>
      <c r="CH292" s="497">
        <f t="shared" si="138"/>
        <v>1800000</v>
      </c>
      <c r="CI292" s="493"/>
      <c r="CJ292" s="493"/>
      <c r="CL292" s="492">
        <v>288</v>
      </c>
      <c r="CM292" s="492">
        <v>24</v>
      </c>
      <c r="CN292" s="497">
        <f>IF(('Comparison Calculator'!$E$11-CM292)&gt;=0,0,IFERROR(-PPMT($CR$66/12,(CL292-60),($F$1-5)*12,$CR$65),0))</f>
        <v>0</v>
      </c>
      <c r="CO292" s="497">
        <f>IF(('Comparison Calculator'!$E$11-CM292)&gt;=0,$C$1*$CI$66/12,IFERROR(-IPMT($CI$66/12,(CL292-60),($F$1-5)*12,$CI$65,0),0))</f>
        <v>0</v>
      </c>
      <c r="CP292" s="497">
        <f t="shared" si="126"/>
        <v>0</v>
      </c>
      <c r="CQ292" s="497">
        <f t="shared" si="139"/>
        <v>1800000</v>
      </c>
      <c r="CR292" s="493"/>
      <c r="CS292" s="493"/>
      <c r="CU292" s="492">
        <v>288</v>
      </c>
      <c r="CV292" s="492">
        <v>24</v>
      </c>
      <c r="CW292" s="497">
        <f>IF(('Comparison Calculator'!$E$11-CV292)&gt;=0,0,IFERROR(-PPMT($DA$66/12,(CU292-60),($F$1-5)*12,$DA$65),0))</f>
        <v>0</v>
      </c>
      <c r="CX292" s="497">
        <f>IF(('Comparison Calculator'!$E$11-CV292)&gt;=0,$C$1*$DA$66/12,IFERROR(-IPMT($DA$66/12,(CU292-60),($F$1-5)*12,$DA$65,0),0))</f>
        <v>0</v>
      </c>
      <c r="CY292" s="497">
        <f t="shared" si="127"/>
        <v>0</v>
      </c>
      <c r="CZ292" s="497">
        <f t="shared" si="140"/>
        <v>1800000</v>
      </c>
      <c r="DA292" s="493"/>
      <c r="DB292" s="493"/>
      <c r="DD292" s="492">
        <v>288</v>
      </c>
      <c r="DE292" s="492">
        <v>24</v>
      </c>
      <c r="DF292" s="497">
        <f>IF(('Comparison Calculator'!$E$11-DE292)&gt;=0,0,IFERROR(-PPMT($DJ$66/12,(DD292-60),($F$1-5)*12,$DJ$65),0))</f>
        <v>0</v>
      </c>
      <c r="DG292" s="497">
        <f>IF(('Comparison Calculator'!$E$11-DE292)&gt;=0,$C$1*$DJ$66/12,IFERROR(-IPMT($DJ$66/12,(DD292-60),($F$1-5)*12,$DJ$65,0),0))</f>
        <v>0</v>
      </c>
      <c r="DH292" s="497">
        <f t="shared" si="128"/>
        <v>0</v>
      </c>
      <c r="DI292" s="497">
        <f t="shared" si="141"/>
        <v>1800000</v>
      </c>
      <c r="DJ292" s="493"/>
      <c r="DK292" s="493"/>
    </row>
    <row r="293" spans="1:115">
      <c r="A293" s="492">
        <v>289</v>
      </c>
      <c r="B293" s="492">
        <v>25</v>
      </c>
      <c r="C293" s="497">
        <f>IF(('Comparison Calculator'!$E$11-B293)&gt;=0,0,IFERROR(-PPMT($G$66/12,(A293-60),($F$1-5)*12,$G$65),0))</f>
        <v>0</v>
      </c>
      <c r="D293" s="497">
        <f>IF(('Comparison Calculator'!$E$11-B293)&gt;=0,$C$1*$G$66/12,IFERROR(-IPMT($G$66/12,(A293-60),($F$1-5)*12,$G$65,0),0))</f>
        <v>0</v>
      </c>
      <c r="E293" s="497">
        <f t="shared" si="116"/>
        <v>0</v>
      </c>
      <c r="F293" s="497">
        <f t="shared" si="129"/>
        <v>1800000</v>
      </c>
      <c r="G293" s="493"/>
      <c r="H293" s="493"/>
      <c r="I293" s="489"/>
      <c r="J293" s="492">
        <v>289</v>
      </c>
      <c r="K293" s="492">
        <v>25</v>
      </c>
      <c r="L293" s="497">
        <f>IF(('Comparison Calculator'!$E$11-K293)&gt;=0,0,IFERROR(-PPMT($P$66/12,(J293-60),($F$1-5)*12,$P$65),0))</f>
        <v>0</v>
      </c>
      <c r="M293" s="497">
        <f>IF(('Comparison Calculator'!$E$11-K293)&gt;=0,$C$1*$P$66/12,IFERROR(-IPMT($P$66/12,(J293-60),($F$1-5)*12,$P$65,0),0))</f>
        <v>0</v>
      </c>
      <c r="N293" s="497">
        <f t="shared" si="117"/>
        <v>0</v>
      </c>
      <c r="O293" s="497">
        <f t="shared" si="130"/>
        <v>1800000</v>
      </c>
      <c r="P293" s="493"/>
      <c r="Q293" s="493"/>
      <c r="S293" s="492">
        <v>289</v>
      </c>
      <c r="T293" s="492">
        <v>25</v>
      </c>
      <c r="U293" s="497">
        <f>IF(('Comparison Calculator'!$E$11-T293)&gt;=0,0,IFERROR(-PPMT($Y$66/12,(S293-60),($F$1-5)*12,$Y$65),0))</f>
        <v>0</v>
      </c>
      <c r="V293" s="497">
        <f>IF(('Comparison Calculator'!$E$11-T293)&gt;=0,$C$1*$Y$66/12,IFERROR(-IPMT($Y$66/12,(S293-60),($F$1-5)*12,$Y$65,0),0))</f>
        <v>0</v>
      </c>
      <c r="W293" s="497">
        <f t="shared" si="118"/>
        <v>0</v>
      </c>
      <c r="X293" s="497">
        <f t="shared" si="131"/>
        <v>1800000</v>
      </c>
      <c r="Y293" s="493"/>
      <c r="Z293" s="493"/>
      <c r="AB293" s="492">
        <v>289</v>
      </c>
      <c r="AC293" s="492">
        <v>25</v>
      </c>
      <c r="AD293" s="497">
        <f>IF(('Comparison Calculator'!$E$11-AC293)&gt;=0,0,IFERROR(-PPMT($AH$66/12,(AB293-60),($F$1-5)*12,$AH$65),0))</f>
        <v>0</v>
      </c>
      <c r="AE293" s="497">
        <f>IF(('Comparison Calculator'!$E$11-AC293)&gt;=0,$C$1*$AH$66/12,IFERROR(-IPMT($AH$66/12,(AB293-60),($F$1-5)*12,$AH$65,0),0))</f>
        <v>0</v>
      </c>
      <c r="AF293" s="497">
        <f t="shared" si="119"/>
        <v>0</v>
      </c>
      <c r="AG293" s="497">
        <f t="shared" si="132"/>
        <v>1800000</v>
      </c>
      <c r="AH293" s="493"/>
      <c r="AI293" s="493"/>
      <c r="AK293" s="492">
        <v>289</v>
      </c>
      <c r="AL293" s="492">
        <v>25</v>
      </c>
      <c r="AM293" s="497">
        <f>IF(('Comparison Calculator'!$E$11-AL293)&gt;=0,0,IFERROR(-PPMT($AQ$66/12,(AK293-60),($F$1-5)*12,$AQ$65),0))</f>
        <v>0</v>
      </c>
      <c r="AN293" s="497">
        <f>IF(('Comparison Calculator'!$E$11-AL293)&gt;=0,$C$1*$AQ$66/12,IFERROR(-IPMT($AQ$66/12,(AK293-60),($F$1-5)*12,$AQ$65,0),0))</f>
        <v>0</v>
      </c>
      <c r="AO293" s="497">
        <f t="shared" si="120"/>
        <v>0</v>
      </c>
      <c r="AP293" s="497">
        <f t="shared" si="133"/>
        <v>1800000</v>
      </c>
      <c r="AQ293" s="493"/>
      <c r="AR293" s="493"/>
      <c r="AT293" s="492">
        <v>289</v>
      </c>
      <c r="AU293" s="492">
        <v>25</v>
      </c>
      <c r="AV293" s="497">
        <f>IF(('Comparison Calculator'!$E$11-AU293)&gt;=0,0,IFERROR(-PPMT($AZ$66/12,(AT293-60),($F$1-5)*12,$AZ$65),0))</f>
        <v>0</v>
      </c>
      <c r="AW293" s="497">
        <f>IF(('Comparison Calculator'!$E$11-AU293)&gt;=0,$C$1*$AZ$66/12,IFERROR(-IPMT($AZ$66/12,(AT293-60),($F$1-5)*12,$AZ$65,0),0))</f>
        <v>0</v>
      </c>
      <c r="AX293" s="497">
        <f t="shared" si="121"/>
        <v>0</v>
      </c>
      <c r="AY293" s="497">
        <f t="shared" si="134"/>
        <v>1800000</v>
      </c>
      <c r="AZ293" s="493"/>
      <c r="BA293" s="493"/>
      <c r="BC293" s="492">
        <v>289</v>
      </c>
      <c r="BD293" s="492">
        <v>25</v>
      </c>
      <c r="BE293" s="497">
        <f>IF(('Comparison Calculator'!$E$11-BD293)&gt;=0,0,IFERROR(-PPMT($BI$66/12,(BC293-60),($F$1-5)*12,$BI$65),0))</f>
        <v>0</v>
      </c>
      <c r="BF293" s="497">
        <f>IF(('Comparison Calculator'!$E$11-BD293)&gt;=0,$C$1*$BI$66/12,IFERROR(-IPMT($BI$66/12,(BC293-60),($F$1-5)*12,$BI$65,0),0))</f>
        <v>0</v>
      </c>
      <c r="BG293" s="497">
        <f t="shared" si="122"/>
        <v>0</v>
      </c>
      <c r="BH293" s="497">
        <f t="shared" si="135"/>
        <v>1800000</v>
      </c>
      <c r="BI293" s="493"/>
      <c r="BJ293" s="493"/>
      <c r="BK293" s="492">
        <v>289</v>
      </c>
      <c r="BL293" s="492">
        <v>25</v>
      </c>
      <c r="BM293" s="497">
        <f>IF(('Comparison Calculator'!$E$11-BL293)&gt;=0,0,IFERROR(-PPMT($BQ$66/12,(BK293-60),($F$1-5)*12,$BQ$65),0))</f>
        <v>0</v>
      </c>
      <c r="BN293" s="497">
        <f>IF(('Comparison Calculator'!$E$11-BL293)&gt;=0,$C$1*$BQ$66/12,IFERROR(-IPMT($BQ$66/12,(BK293-60),($F$1-5)*12,$BQ$65,0),0))</f>
        <v>0</v>
      </c>
      <c r="BO293" s="497">
        <f t="shared" si="123"/>
        <v>0</v>
      </c>
      <c r="BP293" s="497">
        <f t="shared" si="136"/>
        <v>1800000</v>
      </c>
      <c r="BQ293" s="493"/>
      <c r="BR293" s="493"/>
      <c r="BT293" s="492">
        <v>289</v>
      </c>
      <c r="BU293" s="492">
        <v>25</v>
      </c>
      <c r="BV293" s="497">
        <f>IF(('Comparison Calculator'!$E$11-BU293)&gt;=0,0,IFERROR(-PPMT($BZ$66/12,(BT293-60),($F$1-5)*12,$BZ$65),0))</f>
        <v>0</v>
      </c>
      <c r="BW293" s="497">
        <f>IF(('Comparison Calculator'!$E$11-BU293)&gt;=0,$C$1*$BZ$66/12,IFERROR(-IPMT($BZ$66/12,(BT293-60),($F$1-5)*12,$BZ$65,0),0))</f>
        <v>0</v>
      </c>
      <c r="BX293" s="497">
        <f t="shared" si="124"/>
        <v>0</v>
      </c>
      <c r="BY293" s="497">
        <f t="shared" si="137"/>
        <v>1800000</v>
      </c>
      <c r="BZ293" s="493"/>
      <c r="CA293" s="493"/>
      <c r="CC293" s="492">
        <v>289</v>
      </c>
      <c r="CD293" s="492">
        <v>25</v>
      </c>
      <c r="CE293" s="497">
        <f>IF(('Comparison Calculator'!$E$11-CD293)&gt;=0,0,IFERROR(-PPMT($CI$66/12,(CC293-60),($F$1-5)*12,$CI$65),0))</f>
        <v>0</v>
      </c>
      <c r="CF293" s="497">
        <f>IF(('Comparison Calculator'!$E$11-CD293)&gt;=0,$C$1*$CI$66/12,IFERROR(-IPMT($CI$66/12,(CC293-60),($F$1-5)*12,$CI$65,0),0))</f>
        <v>0</v>
      </c>
      <c r="CG293" s="497">
        <f t="shared" si="125"/>
        <v>0</v>
      </c>
      <c r="CH293" s="497">
        <f t="shared" si="138"/>
        <v>1800000</v>
      </c>
      <c r="CI293" s="493"/>
      <c r="CJ293" s="493"/>
      <c r="CL293" s="492">
        <v>289</v>
      </c>
      <c r="CM293" s="492">
        <v>25</v>
      </c>
      <c r="CN293" s="497">
        <f>IF(('Comparison Calculator'!$E$11-CM293)&gt;=0,0,IFERROR(-PPMT($CR$66/12,(CL293-60),($F$1-5)*12,$CR$65),0))</f>
        <v>0</v>
      </c>
      <c r="CO293" s="497">
        <f>IF(('Comparison Calculator'!$E$11-CM293)&gt;=0,$C$1*$CI$66/12,IFERROR(-IPMT($CI$66/12,(CL293-60),($F$1-5)*12,$CI$65,0),0))</f>
        <v>0</v>
      </c>
      <c r="CP293" s="497">
        <f t="shared" si="126"/>
        <v>0</v>
      </c>
      <c r="CQ293" s="497">
        <f t="shared" si="139"/>
        <v>1800000</v>
      </c>
      <c r="CR293" s="493"/>
      <c r="CS293" s="493"/>
      <c r="CU293" s="492">
        <v>289</v>
      </c>
      <c r="CV293" s="492">
        <v>25</v>
      </c>
      <c r="CW293" s="497">
        <f>IF(('Comparison Calculator'!$E$11-CV293)&gt;=0,0,IFERROR(-PPMT($DA$66/12,(CU293-60),($F$1-5)*12,$DA$65),0))</f>
        <v>0</v>
      </c>
      <c r="CX293" s="497">
        <f>IF(('Comparison Calculator'!$E$11-CV293)&gt;=0,$C$1*$DA$66/12,IFERROR(-IPMT($DA$66/12,(CU293-60),($F$1-5)*12,$DA$65,0),0))</f>
        <v>0</v>
      </c>
      <c r="CY293" s="497">
        <f t="shared" si="127"/>
        <v>0</v>
      </c>
      <c r="CZ293" s="497">
        <f t="shared" si="140"/>
        <v>1800000</v>
      </c>
      <c r="DA293" s="493"/>
      <c r="DB293" s="493"/>
      <c r="DD293" s="492">
        <v>289</v>
      </c>
      <c r="DE293" s="492">
        <v>25</v>
      </c>
      <c r="DF293" s="497">
        <f>IF(('Comparison Calculator'!$E$11-DE293)&gt;=0,0,IFERROR(-PPMT($DJ$66/12,(DD293-60),($F$1-5)*12,$DJ$65),0))</f>
        <v>0</v>
      </c>
      <c r="DG293" s="497">
        <f>IF(('Comparison Calculator'!$E$11-DE293)&gt;=0,$C$1*$DJ$66/12,IFERROR(-IPMT($DJ$66/12,(DD293-60),($F$1-5)*12,$DJ$65,0),0))</f>
        <v>0</v>
      </c>
      <c r="DH293" s="497">
        <f t="shared" si="128"/>
        <v>0</v>
      </c>
      <c r="DI293" s="497">
        <f t="shared" si="141"/>
        <v>1800000</v>
      </c>
      <c r="DJ293" s="493"/>
      <c r="DK293" s="493"/>
    </row>
    <row r="294" spans="1:115">
      <c r="A294" s="492">
        <v>290</v>
      </c>
      <c r="B294" s="492">
        <v>25</v>
      </c>
      <c r="C294" s="497">
        <f>IF(('Comparison Calculator'!$E$11-B294)&gt;=0,0,IFERROR(-PPMT($G$66/12,(A294-60),($F$1-5)*12,$G$65),0))</f>
        <v>0</v>
      </c>
      <c r="D294" s="497">
        <f>IF(('Comparison Calculator'!$E$11-B294)&gt;=0,$C$1*$G$66/12,IFERROR(-IPMT($G$66/12,(A294-60),($F$1-5)*12,$G$65,0),0))</f>
        <v>0</v>
      </c>
      <c r="E294" s="497">
        <f t="shared" si="116"/>
        <v>0</v>
      </c>
      <c r="F294" s="497">
        <f t="shared" si="129"/>
        <v>1800000</v>
      </c>
      <c r="G294" s="493"/>
      <c r="H294" s="493"/>
      <c r="I294" s="489"/>
      <c r="J294" s="492">
        <v>290</v>
      </c>
      <c r="K294" s="492">
        <v>25</v>
      </c>
      <c r="L294" s="497">
        <f>IF(('Comparison Calculator'!$E$11-K294)&gt;=0,0,IFERROR(-PPMT($P$66/12,(J294-60),($F$1-5)*12,$P$65),0))</f>
        <v>0</v>
      </c>
      <c r="M294" s="497">
        <f>IF(('Comparison Calculator'!$E$11-K294)&gt;=0,$C$1*$P$66/12,IFERROR(-IPMT($P$66/12,(J294-60),($F$1-5)*12,$P$65,0),0))</f>
        <v>0</v>
      </c>
      <c r="N294" s="497">
        <f t="shared" si="117"/>
        <v>0</v>
      </c>
      <c r="O294" s="497">
        <f t="shared" si="130"/>
        <v>1800000</v>
      </c>
      <c r="P294" s="493"/>
      <c r="Q294" s="493"/>
      <c r="S294" s="492">
        <v>290</v>
      </c>
      <c r="T294" s="492">
        <v>25</v>
      </c>
      <c r="U294" s="497">
        <f>IF(('Comparison Calculator'!$E$11-T294)&gt;=0,0,IFERROR(-PPMT($Y$66/12,(S294-60),($F$1-5)*12,$Y$65),0))</f>
        <v>0</v>
      </c>
      <c r="V294" s="497">
        <f>IF(('Comparison Calculator'!$E$11-T294)&gt;=0,$C$1*$Y$66/12,IFERROR(-IPMT($Y$66/12,(S294-60),($F$1-5)*12,$Y$65,0),0))</f>
        <v>0</v>
      </c>
      <c r="W294" s="497">
        <f t="shared" si="118"/>
        <v>0</v>
      </c>
      <c r="X294" s="497">
        <f t="shared" si="131"/>
        <v>1800000</v>
      </c>
      <c r="Y294" s="493"/>
      <c r="Z294" s="493"/>
      <c r="AB294" s="492">
        <v>290</v>
      </c>
      <c r="AC294" s="492">
        <v>25</v>
      </c>
      <c r="AD294" s="497">
        <f>IF(('Comparison Calculator'!$E$11-AC294)&gt;=0,0,IFERROR(-PPMT($AH$66/12,(AB294-60),($F$1-5)*12,$AH$65),0))</f>
        <v>0</v>
      </c>
      <c r="AE294" s="497">
        <f>IF(('Comparison Calculator'!$E$11-AC294)&gt;=0,$C$1*$AH$66/12,IFERROR(-IPMT($AH$66/12,(AB294-60),($F$1-5)*12,$AH$65,0),0))</f>
        <v>0</v>
      </c>
      <c r="AF294" s="497">
        <f t="shared" si="119"/>
        <v>0</v>
      </c>
      <c r="AG294" s="497">
        <f t="shared" si="132"/>
        <v>1800000</v>
      </c>
      <c r="AH294" s="493"/>
      <c r="AI294" s="493"/>
      <c r="AK294" s="492">
        <v>290</v>
      </c>
      <c r="AL294" s="492">
        <v>25</v>
      </c>
      <c r="AM294" s="497">
        <f>IF(('Comparison Calculator'!$E$11-AL294)&gt;=0,0,IFERROR(-PPMT($AQ$66/12,(AK294-60),($F$1-5)*12,$AQ$65),0))</f>
        <v>0</v>
      </c>
      <c r="AN294" s="497">
        <f>IF(('Comparison Calculator'!$E$11-AL294)&gt;=0,$C$1*$AQ$66/12,IFERROR(-IPMT($AQ$66/12,(AK294-60),($F$1-5)*12,$AQ$65,0),0))</f>
        <v>0</v>
      </c>
      <c r="AO294" s="497">
        <f t="shared" si="120"/>
        <v>0</v>
      </c>
      <c r="AP294" s="497">
        <f t="shared" si="133"/>
        <v>1800000</v>
      </c>
      <c r="AQ294" s="493"/>
      <c r="AR294" s="493"/>
      <c r="AT294" s="492">
        <v>290</v>
      </c>
      <c r="AU294" s="492">
        <v>25</v>
      </c>
      <c r="AV294" s="497">
        <f>IF(('Comparison Calculator'!$E$11-AU294)&gt;=0,0,IFERROR(-PPMT($AZ$66/12,(AT294-60),($F$1-5)*12,$AZ$65),0))</f>
        <v>0</v>
      </c>
      <c r="AW294" s="497">
        <f>IF(('Comparison Calculator'!$E$11-AU294)&gt;=0,$C$1*$AZ$66/12,IFERROR(-IPMT($AZ$66/12,(AT294-60),($F$1-5)*12,$AZ$65,0),0))</f>
        <v>0</v>
      </c>
      <c r="AX294" s="497">
        <f t="shared" si="121"/>
        <v>0</v>
      </c>
      <c r="AY294" s="497">
        <f t="shared" si="134"/>
        <v>1800000</v>
      </c>
      <c r="AZ294" s="493"/>
      <c r="BA294" s="493"/>
      <c r="BC294" s="492">
        <v>290</v>
      </c>
      <c r="BD294" s="492">
        <v>25</v>
      </c>
      <c r="BE294" s="497">
        <f>IF(('Comparison Calculator'!$E$11-BD294)&gt;=0,0,IFERROR(-PPMT($BI$66/12,(BC294-60),($F$1-5)*12,$BI$65),0))</f>
        <v>0</v>
      </c>
      <c r="BF294" s="497">
        <f>IF(('Comparison Calculator'!$E$11-BD294)&gt;=0,$C$1*$BI$66/12,IFERROR(-IPMT($BI$66/12,(BC294-60),($F$1-5)*12,$BI$65,0),0))</f>
        <v>0</v>
      </c>
      <c r="BG294" s="497">
        <f t="shared" si="122"/>
        <v>0</v>
      </c>
      <c r="BH294" s="497">
        <f t="shared" si="135"/>
        <v>1800000</v>
      </c>
      <c r="BI294" s="493"/>
      <c r="BJ294" s="493"/>
      <c r="BK294" s="492">
        <v>290</v>
      </c>
      <c r="BL294" s="492">
        <v>25</v>
      </c>
      <c r="BM294" s="497">
        <f>IF(('Comparison Calculator'!$E$11-BL294)&gt;=0,0,IFERROR(-PPMT($BQ$66/12,(BK294-60),($F$1-5)*12,$BQ$65),0))</f>
        <v>0</v>
      </c>
      <c r="BN294" s="497">
        <f>IF(('Comparison Calculator'!$E$11-BL294)&gt;=0,$C$1*$BQ$66/12,IFERROR(-IPMT($BQ$66/12,(BK294-60),($F$1-5)*12,$BQ$65,0),0))</f>
        <v>0</v>
      </c>
      <c r="BO294" s="497">
        <f t="shared" si="123"/>
        <v>0</v>
      </c>
      <c r="BP294" s="497">
        <f t="shared" si="136"/>
        <v>1800000</v>
      </c>
      <c r="BQ294" s="493"/>
      <c r="BR294" s="493"/>
      <c r="BT294" s="492">
        <v>290</v>
      </c>
      <c r="BU294" s="492">
        <v>25</v>
      </c>
      <c r="BV294" s="497">
        <f>IF(('Comparison Calculator'!$E$11-BU294)&gt;=0,0,IFERROR(-PPMT($BZ$66/12,(BT294-60),($F$1-5)*12,$BZ$65),0))</f>
        <v>0</v>
      </c>
      <c r="BW294" s="497">
        <f>IF(('Comparison Calculator'!$E$11-BU294)&gt;=0,$C$1*$BZ$66/12,IFERROR(-IPMT($BZ$66/12,(BT294-60),($F$1-5)*12,$BZ$65,0),0))</f>
        <v>0</v>
      </c>
      <c r="BX294" s="497">
        <f t="shared" si="124"/>
        <v>0</v>
      </c>
      <c r="BY294" s="497">
        <f t="shared" si="137"/>
        <v>1800000</v>
      </c>
      <c r="BZ294" s="493"/>
      <c r="CA294" s="493"/>
      <c r="CC294" s="492">
        <v>290</v>
      </c>
      <c r="CD294" s="492">
        <v>25</v>
      </c>
      <c r="CE294" s="497">
        <f>IF(('Comparison Calculator'!$E$11-CD294)&gt;=0,0,IFERROR(-PPMT($CI$66/12,(CC294-60),($F$1-5)*12,$CI$65),0))</f>
        <v>0</v>
      </c>
      <c r="CF294" s="497">
        <f>IF(('Comparison Calculator'!$E$11-CD294)&gt;=0,$C$1*$CI$66/12,IFERROR(-IPMT($CI$66/12,(CC294-60),($F$1-5)*12,$CI$65,0),0))</f>
        <v>0</v>
      </c>
      <c r="CG294" s="497">
        <f t="shared" si="125"/>
        <v>0</v>
      </c>
      <c r="CH294" s="497">
        <f t="shared" si="138"/>
        <v>1800000</v>
      </c>
      <c r="CI294" s="493"/>
      <c r="CJ294" s="493"/>
      <c r="CL294" s="492">
        <v>290</v>
      </c>
      <c r="CM294" s="492">
        <v>25</v>
      </c>
      <c r="CN294" s="497">
        <f>IF(('Comparison Calculator'!$E$11-CM294)&gt;=0,0,IFERROR(-PPMT($CR$66/12,(CL294-60),($F$1-5)*12,$CR$65),0))</f>
        <v>0</v>
      </c>
      <c r="CO294" s="497">
        <f>IF(('Comparison Calculator'!$E$11-CM294)&gt;=0,$C$1*$CI$66/12,IFERROR(-IPMT($CI$66/12,(CL294-60),($F$1-5)*12,$CI$65,0),0))</f>
        <v>0</v>
      </c>
      <c r="CP294" s="497">
        <f t="shared" si="126"/>
        <v>0</v>
      </c>
      <c r="CQ294" s="497">
        <f t="shared" si="139"/>
        <v>1800000</v>
      </c>
      <c r="CR294" s="493"/>
      <c r="CS294" s="493"/>
      <c r="CU294" s="492">
        <v>290</v>
      </c>
      <c r="CV294" s="492">
        <v>25</v>
      </c>
      <c r="CW294" s="497">
        <f>IF(('Comparison Calculator'!$E$11-CV294)&gt;=0,0,IFERROR(-PPMT($DA$66/12,(CU294-60),($F$1-5)*12,$DA$65),0))</f>
        <v>0</v>
      </c>
      <c r="CX294" s="497">
        <f>IF(('Comparison Calculator'!$E$11-CV294)&gt;=0,$C$1*$DA$66/12,IFERROR(-IPMT($DA$66/12,(CU294-60),($F$1-5)*12,$DA$65,0),0))</f>
        <v>0</v>
      </c>
      <c r="CY294" s="497">
        <f t="shared" si="127"/>
        <v>0</v>
      </c>
      <c r="CZ294" s="497">
        <f t="shared" si="140"/>
        <v>1800000</v>
      </c>
      <c r="DA294" s="493"/>
      <c r="DB294" s="493"/>
      <c r="DD294" s="492">
        <v>290</v>
      </c>
      <c r="DE294" s="492">
        <v>25</v>
      </c>
      <c r="DF294" s="497">
        <f>IF(('Comparison Calculator'!$E$11-DE294)&gt;=0,0,IFERROR(-PPMT($DJ$66/12,(DD294-60),($F$1-5)*12,$DJ$65),0))</f>
        <v>0</v>
      </c>
      <c r="DG294" s="497">
        <f>IF(('Comparison Calculator'!$E$11-DE294)&gt;=0,$C$1*$DJ$66/12,IFERROR(-IPMT($DJ$66/12,(DD294-60),($F$1-5)*12,$DJ$65,0),0))</f>
        <v>0</v>
      </c>
      <c r="DH294" s="497">
        <f t="shared" si="128"/>
        <v>0</v>
      </c>
      <c r="DI294" s="497">
        <f t="shared" si="141"/>
        <v>1800000</v>
      </c>
      <c r="DJ294" s="493"/>
      <c r="DK294" s="493"/>
    </row>
    <row r="295" spans="1:115">
      <c r="A295" s="492">
        <v>291</v>
      </c>
      <c r="B295" s="492">
        <v>25</v>
      </c>
      <c r="C295" s="497">
        <f>IF(('Comparison Calculator'!$E$11-B295)&gt;=0,0,IFERROR(-PPMT($G$66/12,(A295-60),($F$1-5)*12,$G$65),0))</f>
        <v>0</v>
      </c>
      <c r="D295" s="497">
        <f>IF(('Comparison Calculator'!$E$11-B295)&gt;=0,$C$1*$G$66/12,IFERROR(-IPMT($G$66/12,(A295-60),($F$1-5)*12,$G$65,0),0))</f>
        <v>0</v>
      </c>
      <c r="E295" s="497">
        <f t="shared" si="116"/>
        <v>0</v>
      </c>
      <c r="F295" s="497">
        <f t="shared" si="129"/>
        <v>1800000</v>
      </c>
      <c r="G295" s="493"/>
      <c r="H295" s="493"/>
      <c r="I295" s="489"/>
      <c r="J295" s="492">
        <v>291</v>
      </c>
      <c r="K295" s="492">
        <v>25</v>
      </c>
      <c r="L295" s="497">
        <f>IF(('Comparison Calculator'!$E$11-K295)&gt;=0,0,IFERROR(-PPMT($P$66/12,(J295-60),($F$1-5)*12,$P$65),0))</f>
        <v>0</v>
      </c>
      <c r="M295" s="497">
        <f>IF(('Comparison Calculator'!$E$11-K295)&gt;=0,$C$1*$P$66/12,IFERROR(-IPMT($P$66/12,(J295-60),($F$1-5)*12,$P$65,0),0))</f>
        <v>0</v>
      </c>
      <c r="N295" s="497">
        <f t="shared" si="117"/>
        <v>0</v>
      </c>
      <c r="O295" s="497">
        <f t="shared" si="130"/>
        <v>1800000</v>
      </c>
      <c r="P295" s="493"/>
      <c r="Q295" s="493"/>
      <c r="S295" s="492">
        <v>291</v>
      </c>
      <c r="T295" s="492">
        <v>25</v>
      </c>
      <c r="U295" s="497">
        <f>IF(('Comparison Calculator'!$E$11-T295)&gt;=0,0,IFERROR(-PPMT($Y$66/12,(S295-60),($F$1-5)*12,$Y$65),0))</f>
        <v>0</v>
      </c>
      <c r="V295" s="497">
        <f>IF(('Comparison Calculator'!$E$11-T295)&gt;=0,$C$1*$Y$66/12,IFERROR(-IPMT($Y$66/12,(S295-60),($F$1-5)*12,$Y$65,0),0))</f>
        <v>0</v>
      </c>
      <c r="W295" s="497">
        <f t="shared" si="118"/>
        <v>0</v>
      </c>
      <c r="X295" s="497">
        <f t="shared" si="131"/>
        <v>1800000</v>
      </c>
      <c r="Y295" s="493"/>
      <c r="Z295" s="493"/>
      <c r="AB295" s="492">
        <v>291</v>
      </c>
      <c r="AC295" s="492">
        <v>25</v>
      </c>
      <c r="AD295" s="497">
        <f>IF(('Comparison Calculator'!$E$11-AC295)&gt;=0,0,IFERROR(-PPMT($AH$66/12,(AB295-60),($F$1-5)*12,$AH$65),0))</f>
        <v>0</v>
      </c>
      <c r="AE295" s="497">
        <f>IF(('Comparison Calculator'!$E$11-AC295)&gt;=0,$C$1*$AH$66/12,IFERROR(-IPMT($AH$66/12,(AB295-60),($F$1-5)*12,$AH$65,0),0))</f>
        <v>0</v>
      </c>
      <c r="AF295" s="497">
        <f t="shared" si="119"/>
        <v>0</v>
      </c>
      <c r="AG295" s="497">
        <f t="shared" si="132"/>
        <v>1800000</v>
      </c>
      <c r="AH295" s="493"/>
      <c r="AI295" s="493"/>
      <c r="AK295" s="492">
        <v>291</v>
      </c>
      <c r="AL295" s="492">
        <v>25</v>
      </c>
      <c r="AM295" s="497">
        <f>IF(('Comparison Calculator'!$E$11-AL295)&gt;=0,0,IFERROR(-PPMT($AQ$66/12,(AK295-60),($F$1-5)*12,$AQ$65),0))</f>
        <v>0</v>
      </c>
      <c r="AN295" s="497">
        <f>IF(('Comparison Calculator'!$E$11-AL295)&gt;=0,$C$1*$AQ$66/12,IFERROR(-IPMT($AQ$66/12,(AK295-60),($F$1-5)*12,$AQ$65,0),0))</f>
        <v>0</v>
      </c>
      <c r="AO295" s="497">
        <f t="shared" si="120"/>
        <v>0</v>
      </c>
      <c r="AP295" s="497">
        <f t="shared" si="133"/>
        <v>1800000</v>
      </c>
      <c r="AQ295" s="493"/>
      <c r="AR295" s="493"/>
      <c r="AT295" s="492">
        <v>291</v>
      </c>
      <c r="AU295" s="492">
        <v>25</v>
      </c>
      <c r="AV295" s="497">
        <f>IF(('Comparison Calculator'!$E$11-AU295)&gt;=0,0,IFERROR(-PPMT($AZ$66/12,(AT295-60),($F$1-5)*12,$AZ$65),0))</f>
        <v>0</v>
      </c>
      <c r="AW295" s="497">
        <f>IF(('Comparison Calculator'!$E$11-AU295)&gt;=0,$C$1*$AZ$66/12,IFERROR(-IPMT($AZ$66/12,(AT295-60),($F$1-5)*12,$AZ$65,0),0))</f>
        <v>0</v>
      </c>
      <c r="AX295" s="497">
        <f t="shared" si="121"/>
        <v>0</v>
      </c>
      <c r="AY295" s="497">
        <f t="shared" si="134"/>
        <v>1800000</v>
      </c>
      <c r="AZ295" s="493"/>
      <c r="BA295" s="493"/>
      <c r="BC295" s="492">
        <v>291</v>
      </c>
      <c r="BD295" s="492">
        <v>25</v>
      </c>
      <c r="BE295" s="497">
        <f>IF(('Comparison Calculator'!$E$11-BD295)&gt;=0,0,IFERROR(-PPMT($BI$66/12,(BC295-60),($F$1-5)*12,$BI$65),0))</f>
        <v>0</v>
      </c>
      <c r="BF295" s="497">
        <f>IF(('Comparison Calculator'!$E$11-BD295)&gt;=0,$C$1*$BI$66/12,IFERROR(-IPMT($BI$66/12,(BC295-60),($F$1-5)*12,$BI$65,0),0))</f>
        <v>0</v>
      </c>
      <c r="BG295" s="497">
        <f t="shared" si="122"/>
        <v>0</v>
      </c>
      <c r="BH295" s="497">
        <f t="shared" si="135"/>
        <v>1800000</v>
      </c>
      <c r="BI295" s="493"/>
      <c r="BJ295" s="493"/>
      <c r="BK295" s="492">
        <v>291</v>
      </c>
      <c r="BL295" s="492">
        <v>25</v>
      </c>
      <c r="BM295" s="497">
        <f>IF(('Comparison Calculator'!$E$11-BL295)&gt;=0,0,IFERROR(-PPMT($BQ$66/12,(BK295-60),($F$1-5)*12,$BQ$65),0))</f>
        <v>0</v>
      </c>
      <c r="BN295" s="497">
        <f>IF(('Comparison Calculator'!$E$11-BL295)&gt;=0,$C$1*$BQ$66/12,IFERROR(-IPMT($BQ$66/12,(BK295-60),($F$1-5)*12,$BQ$65,0),0))</f>
        <v>0</v>
      </c>
      <c r="BO295" s="497">
        <f t="shared" si="123"/>
        <v>0</v>
      </c>
      <c r="BP295" s="497">
        <f t="shared" si="136"/>
        <v>1800000</v>
      </c>
      <c r="BQ295" s="493"/>
      <c r="BR295" s="493"/>
      <c r="BT295" s="492">
        <v>291</v>
      </c>
      <c r="BU295" s="492">
        <v>25</v>
      </c>
      <c r="BV295" s="497">
        <f>IF(('Comparison Calculator'!$E$11-BU295)&gt;=0,0,IFERROR(-PPMT($BZ$66/12,(BT295-60),($F$1-5)*12,$BZ$65),0))</f>
        <v>0</v>
      </c>
      <c r="BW295" s="497">
        <f>IF(('Comparison Calculator'!$E$11-BU295)&gt;=0,$C$1*$BZ$66/12,IFERROR(-IPMT($BZ$66/12,(BT295-60),($F$1-5)*12,$BZ$65,0),0))</f>
        <v>0</v>
      </c>
      <c r="BX295" s="497">
        <f t="shared" si="124"/>
        <v>0</v>
      </c>
      <c r="BY295" s="497">
        <f t="shared" si="137"/>
        <v>1800000</v>
      </c>
      <c r="BZ295" s="493"/>
      <c r="CA295" s="493"/>
      <c r="CC295" s="492">
        <v>291</v>
      </c>
      <c r="CD295" s="492">
        <v>25</v>
      </c>
      <c r="CE295" s="497">
        <f>IF(('Comparison Calculator'!$E$11-CD295)&gt;=0,0,IFERROR(-PPMT($CI$66/12,(CC295-60),($F$1-5)*12,$CI$65),0))</f>
        <v>0</v>
      </c>
      <c r="CF295" s="497">
        <f>IF(('Comparison Calculator'!$E$11-CD295)&gt;=0,$C$1*$CI$66/12,IFERROR(-IPMT($CI$66/12,(CC295-60),($F$1-5)*12,$CI$65,0),0))</f>
        <v>0</v>
      </c>
      <c r="CG295" s="497">
        <f t="shared" si="125"/>
        <v>0</v>
      </c>
      <c r="CH295" s="497">
        <f t="shared" si="138"/>
        <v>1800000</v>
      </c>
      <c r="CI295" s="493"/>
      <c r="CJ295" s="493"/>
      <c r="CL295" s="492">
        <v>291</v>
      </c>
      <c r="CM295" s="492">
        <v>25</v>
      </c>
      <c r="CN295" s="497">
        <f>IF(('Comparison Calculator'!$E$11-CM295)&gt;=0,0,IFERROR(-PPMT($CR$66/12,(CL295-60),($F$1-5)*12,$CR$65),0))</f>
        <v>0</v>
      </c>
      <c r="CO295" s="497">
        <f>IF(('Comparison Calculator'!$E$11-CM295)&gt;=0,$C$1*$CI$66/12,IFERROR(-IPMT($CI$66/12,(CL295-60),($F$1-5)*12,$CI$65,0),0))</f>
        <v>0</v>
      </c>
      <c r="CP295" s="497">
        <f t="shared" si="126"/>
        <v>0</v>
      </c>
      <c r="CQ295" s="497">
        <f t="shared" si="139"/>
        <v>1800000</v>
      </c>
      <c r="CR295" s="493"/>
      <c r="CS295" s="493"/>
      <c r="CU295" s="492">
        <v>291</v>
      </c>
      <c r="CV295" s="492">
        <v>25</v>
      </c>
      <c r="CW295" s="497">
        <f>IF(('Comparison Calculator'!$E$11-CV295)&gt;=0,0,IFERROR(-PPMT($DA$66/12,(CU295-60),($F$1-5)*12,$DA$65),0))</f>
        <v>0</v>
      </c>
      <c r="CX295" s="497">
        <f>IF(('Comparison Calculator'!$E$11-CV295)&gt;=0,$C$1*$DA$66/12,IFERROR(-IPMT($DA$66/12,(CU295-60),($F$1-5)*12,$DA$65,0),0))</f>
        <v>0</v>
      </c>
      <c r="CY295" s="497">
        <f t="shared" si="127"/>
        <v>0</v>
      </c>
      <c r="CZ295" s="497">
        <f t="shared" si="140"/>
        <v>1800000</v>
      </c>
      <c r="DA295" s="493"/>
      <c r="DB295" s="493"/>
      <c r="DD295" s="492">
        <v>291</v>
      </c>
      <c r="DE295" s="492">
        <v>25</v>
      </c>
      <c r="DF295" s="497">
        <f>IF(('Comparison Calculator'!$E$11-DE295)&gt;=0,0,IFERROR(-PPMT($DJ$66/12,(DD295-60),($F$1-5)*12,$DJ$65),0))</f>
        <v>0</v>
      </c>
      <c r="DG295" s="497">
        <f>IF(('Comparison Calculator'!$E$11-DE295)&gt;=0,$C$1*$DJ$66/12,IFERROR(-IPMT($DJ$66/12,(DD295-60),($F$1-5)*12,$DJ$65,0),0))</f>
        <v>0</v>
      </c>
      <c r="DH295" s="497">
        <f t="shared" si="128"/>
        <v>0</v>
      </c>
      <c r="DI295" s="497">
        <f t="shared" si="141"/>
        <v>1800000</v>
      </c>
      <c r="DJ295" s="493"/>
      <c r="DK295" s="493"/>
    </row>
    <row r="296" spans="1:115">
      <c r="A296" s="492">
        <v>292</v>
      </c>
      <c r="B296" s="492">
        <v>25</v>
      </c>
      <c r="C296" s="497">
        <f>IF(('Comparison Calculator'!$E$11-B296)&gt;=0,0,IFERROR(-PPMT($G$66/12,(A296-60),($F$1-5)*12,$G$65),0))</f>
        <v>0</v>
      </c>
      <c r="D296" s="497">
        <f>IF(('Comparison Calculator'!$E$11-B296)&gt;=0,$C$1*$G$66/12,IFERROR(-IPMT($G$66/12,(A296-60),($F$1-5)*12,$G$65,0),0))</f>
        <v>0</v>
      </c>
      <c r="E296" s="497">
        <f t="shared" si="116"/>
        <v>0</v>
      </c>
      <c r="F296" s="497">
        <f t="shared" si="129"/>
        <v>1800000</v>
      </c>
      <c r="G296" s="493"/>
      <c r="H296" s="493"/>
      <c r="I296" s="489"/>
      <c r="J296" s="492">
        <v>292</v>
      </c>
      <c r="K296" s="492">
        <v>25</v>
      </c>
      <c r="L296" s="497">
        <f>IF(('Comparison Calculator'!$E$11-K296)&gt;=0,0,IFERROR(-PPMT($P$66/12,(J296-60),($F$1-5)*12,$P$65),0))</f>
        <v>0</v>
      </c>
      <c r="M296" s="497">
        <f>IF(('Comparison Calculator'!$E$11-K296)&gt;=0,$C$1*$P$66/12,IFERROR(-IPMT($P$66/12,(J296-60),($F$1-5)*12,$P$65,0),0))</f>
        <v>0</v>
      </c>
      <c r="N296" s="497">
        <f t="shared" si="117"/>
        <v>0</v>
      </c>
      <c r="O296" s="497">
        <f t="shared" si="130"/>
        <v>1800000</v>
      </c>
      <c r="P296" s="493"/>
      <c r="Q296" s="493"/>
      <c r="S296" s="492">
        <v>292</v>
      </c>
      <c r="T296" s="492">
        <v>25</v>
      </c>
      <c r="U296" s="497">
        <f>IF(('Comparison Calculator'!$E$11-T296)&gt;=0,0,IFERROR(-PPMT($Y$66/12,(S296-60),($F$1-5)*12,$Y$65),0))</f>
        <v>0</v>
      </c>
      <c r="V296" s="497">
        <f>IF(('Comparison Calculator'!$E$11-T296)&gt;=0,$C$1*$Y$66/12,IFERROR(-IPMT($Y$66/12,(S296-60),($F$1-5)*12,$Y$65,0),0))</f>
        <v>0</v>
      </c>
      <c r="W296" s="497">
        <f t="shared" si="118"/>
        <v>0</v>
      </c>
      <c r="X296" s="497">
        <f t="shared" si="131"/>
        <v>1800000</v>
      </c>
      <c r="Y296" s="493"/>
      <c r="Z296" s="493"/>
      <c r="AB296" s="492">
        <v>292</v>
      </c>
      <c r="AC296" s="492">
        <v>25</v>
      </c>
      <c r="AD296" s="497">
        <f>IF(('Comparison Calculator'!$E$11-AC296)&gt;=0,0,IFERROR(-PPMT($AH$66/12,(AB296-60),($F$1-5)*12,$AH$65),0))</f>
        <v>0</v>
      </c>
      <c r="AE296" s="497">
        <f>IF(('Comparison Calculator'!$E$11-AC296)&gt;=0,$C$1*$AH$66/12,IFERROR(-IPMT($AH$66/12,(AB296-60),($F$1-5)*12,$AH$65,0),0))</f>
        <v>0</v>
      </c>
      <c r="AF296" s="497">
        <f t="shared" si="119"/>
        <v>0</v>
      </c>
      <c r="AG296" s="497">
        <f t="shared" si="132"/>
        <v>1800000</v>
      </c>
      <c r="AH296" s="493"/>
      <c r="AI296" s="493"/>
      <c r="AK296" s="492">
        <v>292</v>
      </c>
      <c r="AL296" s="492">
        <v>25</v>
      </c>
      <c r="AM296" s="497">
        <f>IF(('Comparison Calculator'!$E$11-AL296)&gt;=0,0,IFERROR(-PPMT($AQ$66/12,(AK296-60),($F$1-5)*12,$AQ$65),0))</f>
        <v>0</v>
      </c>
      <c r="AN296" s="497">
        <f>IF(('Comparison Calculator'!$E$11-AL296)&gt;=0,$C$1*$AQ$66/12,IFERROR(-IPMT($AQ$66/12,(AK296-60),($F$1-5)*12,$AQ$65,0),0))</f>
        <v>0</v>
      </c>
      <c r="AO296" s="497">
        <f t="shared" si="120"/>
        <v>0</v>
      </c>
      <c r="AP296" s="497">
        <f t="shared" si="133"/>
        <v>1800000</v>
      </c>
      <c r="AQ296" s="493"/>
      <c r="AR296" s="493"/>
      <c r="AT296" s="492">
        <v>292</v>
      </c>
      <c r="AU296" s="492">
        <v>25</v>
      </c>
      <c r="AV296" s="497">
        <f>IF(('Comparison Calculator'!$E$11-AU296)&gt;=0,0,IFERROR(-PPMT($AZ$66/12,(AT296-60),($F$1-5)*12,$AZ$65),0))</f>
        <v>0</v>
      </c>
      <c r="AW296" s="497">
        <f>IF(('Comparison Calculator'!$E$11-AU296)&gt;=0,$C$1*$AZ$66/12,IFERROR(-IPMT($AZ$66/12,(AT296-60),($F$1-5)*12,$AZ$65,0),0))</f>
        <v>0</v>
      </c>
      <c r="AX296" s="497">
        <f t="shared" si="121"/>
        <v>0</v>
      </c>
      <c r="AY296" s="497">
        <f t="shared" si="134"/>
        <v>1800000</v>
      </c>
      <c r="AZ296" s="493"/>
      <c r="BA296" s="493"/>
      <c r="BC296" s="492">
        <v>292</v>
      </c>
      <c r="BD296" s="492">
        <v>25</v>
      </c>
      <c r="BE296" s="497">
        <f>IF(('Comparison Calculator'!$E$11-BD296)&gt;=0,0,IFERROR(-PPMT($BI$66/12,(BC296-60),($F$1-5)*12,$BI$65),0))</f>
        <v>0</v>
      </c>
      <c r="BF296" s="497">
        <f>IF(('Comparison Calculator'!$E$11-BD296)&gt;=0,$C$1*$BI$66/12,IFERROR(-IPMT($BI$66/12,(BC296-60),($F$1-5)*12,$BI$65,0),0))</f>
        <v>0</v>
      </c>
      <c r="BG296" s="497">
        <f t="shared" si="122"/>
        <v>0</v>
      </c>
      <c r="BH296" s="497">
        <f t="shared" si="135"/>
        <v>1800000</v>
      </c>
      <c r="BI296" s="493"/>
      <c r="BJ296" s="493"/>
      <c r="BK296" s="492">
        <v>292</v>
      </c>
      <c r="BL296" s="492">
        <v>25</v>
      </c>
      <c r="BM296" s="497">
        <f>IF(('Comparison Calculator'!$E$11-BL296)&gt;=0,0,IFERROR(-PPMT($BQ$66/12,(BK296-60),($F$1-5)*12,$BQ$65),0))</f>
        <v>0</v>
      </c>
      <c r="BN296" s="497">
        <f>IF(('Comparison Calculator'!$E$11-BL296)&gt;=0,$C$1*$BQ$66/12,IFERROR(-IPMT($BQ$66/12,(BK296-60),($F$1-5)*12,$BQ$65,0),0))</f>
        <v>0</v>
      </c>
      <c r="BO296" s="497">
        <f t="shared" si="123"/>
        <v>0</v>
      </c>
      <c r="BP296" s="497">
        <f t="shared" si="136"/>
        <v>1800000</v>
      </c>
      <c r="BQ296" s="493"/>
      <c r="BR296" s="493"/>
      <c r="BT296" s="492">
        <v>292</v>
      </c>
      <c r="BU296" s="492">
        <v>25</v>
      </c>
      <c r="BV296" s="497">
        <f>IF(('Comparison Calculator'!$E$11-BU296)&gt;=0,0,IFERROR(-PPMT($BZ$66/12,(BT296-60),($F$1-5)*12,$BZ$65),0))</f>
        <v>0</v>
      </c>
      <c r="BW296" s="497">
        <f>IF(('Comparison Calculator'!$E$11-BU296)&gt;=0,$C$1*$BZ$66/12,IFERROR(-IPMT($BZ$66/12,(BT296-60),($F$1-5)*12,$BZ$65,0),0))</f>
        <v>0</v>
      </c>
      <c r="BX296" s="497">
        <f t="shared" si="124"/>
        <v>0</v>
      </c>
      <c r="BY296" s="497">
        <f t="shared" si="137"/>
        <v>1800000</v>
      </c>
      <c r="BZ296" s="493"/>
      <c r="CA296" s="493"/>
      <c r="CC296" s="492">
        <v>292</v>
      </c>
      <c r="CD296" s="492">
        <v>25</v>
      </c>
      <c r="CE296" s="497">
        <f>IF(('Comparison Calculator'!$E$11-CD296)&gt;=0,0,IFERROR(-PPMT($CI$66/12,(CC296-60),($F$1-5)*12,$CI$65),0))</f>
        <v>0</v>
      </c>
      <c r="CF296" s="497">
        <f>IF(('Comparison Calculator'!$E$11-CD296)&gt;=0,$C$1*$CI$66/12,IFERROR(-IPMT($CI$66/12,(CC296-60),($F$1-5)*12,$CI$65,0),0))</f>
        <v>0</v>
      </c>
      <c r="CG296" s="497">
        <f t="shared" si="125"/>
        <v>0</v>
      </c>
      <c r="CH296" s="497">
        <f t="shared" si="138"/>
        <v>1800000</v>
      </c>
      <c r="CI296" s="493"/>
      <c r="CJ296" s="493"/>
      <c r="CL296" s="492">
        <v>292</v>
      </c>
      <c r="CM296" s="492">
        <v>25</v>
      </c>
      <c r="CN296" s="497">
        <f>IF(('Comparison Calculator'!$E$11-CM296)&gt;=0,0,IFERROR(-PPMT($CR$66/12,(CL296-60),($F$1-5)*12,$CR$65),0))</f>
        <v>0</v>
      </c>
      <c r="CO296" s="497">
        <f>IF(('Comparison Calculator'!$E$11-CM296)&gt;=0,$C$1*$CI$66/12,IFERROR(-IPMT($CI$66/12,(CL296-60),($F$1-5)*12,$CI$65,0),0))</f>
        <v>0</v>
      </c>
      <c r="CP296" s="497">
        <f t="shared" si="126"/>
        <v>0</v>
      </c>
      <c r="CQ296" s="497">
        <f t="shared" si="139"/>
        <v>1800000</v>
      </c>
      <c r="CR296" s="493"/>
      <c r="CS296" s="493"/>
      <c r="CU296" s="492">
        <v>292</v>
      </c>
      <c r="CV296" s="492">
        <v>25</v>
      </c>
      <c r="CW296" s="497">
        <f>IF(('Comparison Calculator'!$E$11-CV296)&gt;=0,0,IFERROR(-PPMT($DA$66/12,(CU296-60),($F$1-5)*12,$DA$65),0))</f>
        <v>0</v>
      </c>
      <c r="CX296" s="497">
        <f>IF(('Comparison Calculator'!$E$11-CV296)&gt;=0,$C$1*$DA$66/12,IFERROR(-IPMT($DA$66/12,(CU296-60),($F$1-5)*12,$DA$65,0),0))</f>
        <v>0</v>
      </c>
      <c r="CY296" s="497">
        <f t="shared" si="127"/>
        <v>0</v>
      </c>
      <c r="CZ296" s="497">
        <f t="shared" si="140"/>
        <v>1800000</v>
      </c>
      <c r="DA296" s="493"/>
      <c r="DB296" s="493"/>
      <c r="DD296" s="492">
        <v>292</v>
      </c>
      <c r="DE296" s="492">
        <v>25</v>
      </c>
      <c r="DF296" s="497">
        <f>IF(('Comparison Calculator'!$E$11-DE296)&gt;=0,0,IFERROR(-PPMT($DJ$66/12,(DD296-60),($F$1-5)*12,$DJ$65),0))</f>
        <v>0</v>
      </c>
      <c r="DG296" s="497">
        <f>IF(('Comparison Calculator'!$E$11-DE296)&gt;=0,$C$1*$DJ$66/12,IFERROR(-IPMT($DJ$66/12,(DD296-60),($F$1-5)*12,$DJ$65,0),0))</f>
        <v>0</v>
      </c>
      <c r="DH296" s="497">
        <f t="shared" si="128"/>
        <v>0</v>
      </c>
      <c r="DI296" s="497">
        <f t="shared" si="141"/>
        <v>1800000</v>
      </c>
      <c r="DJ296" s="493"/>
      <c r="DK296" s="493"/>
    </row>
    <row r="297" spans="1:115">
      <c r="A297" s="492">
        <v>293</v>
      </c>
      <c r="B297" s="492">
        <v>25</v>
      </c>
      <c r="C297" s="497">
        <f>IF(('Comparison Calculator'!$E$11-B297)&gt;=0,0,IFERROR(-PPMT($G$66/12,(A297-60),($F$1-5)*12,$G$65),0))</f>
        <v>0</v>
      </c>
      <c r="D297" s="497">
        <f>IF(('Comparison Calculator'!$E$11-B297)&gt;=0,$C$1*$G$66/12,IFERROR(-IPMT($G$66/12,(A297-60),($F$1-5)*12,$G$65,0),0))</f>
        <v>0</v>
      </c>
      <c r="E297" s="497">
        <f t="shared" si="116"/>
        <v>0</v>
      </c>
      <c r="F297" s="497">
        <f t="shared" si="129"/>
        <v>1800000</v>
      </c>
      <c r="G297" s="493"/>
      <c r="H297" s="493"/>
      <c r="I297" s="489"/>
      <c r="J297" s="492">
        <v>293</v>
      </c>
      <c r="K297" s="492">
        <v>25</v>
      </c>
      <c r="L297" s="497">
        <f>IF(('Comparison Calculator'!$E$11-K297)&gt;=0,0,IFERROR(-PPMT($P$66/12,(J297-60),($F$1-5)*12,$P$65),0))</f>
        <v>0</v>
      </c>
      <c r="M297" s="497">
        <f>IF(('Comparison Calculator'!$E$11-K297)&gt;=0,$C$1*$P$66/12,IFERROR(-IPMT($P$66/12,(J297-60),($F$1-5)*12,$P$65,0),0))</f>
        <v>0</v>
      </c>
      <c r="N297" s="497">
        <f t="shared" si="117"/>
        <v>0</v>
      </c>
      <c r="O297" s="497">
        <f t="shared" si="130"/>
        <v>1800000</v>
      </c>
      <c r="P297" s="493"/>
      <c r="Q297" s="493"/>
      <c r="S297" s="492">
        <v>293</v>
      </c>
      <c r="T297" s="492">
        <v>25</v>
      </c>
      <c r="U297" s="497">
        <f>IF(('Comparison Calculator'!$E$11-T297)&gt;=0,0,IFERROR(-PPMT($Y$66/12,(S297-60),($F$1-5)*12,$Y$65),0))</f>
        <v>0</v>
      </c>
      <c r="V297" s="497">
        <f>IF(('Comparison Calculator'!$E$11-T297)&gt;=0,$C$1*$Y$66/12,IFERROR(-IPMT($Y$66/12,(S297-60),($F$1-5)*12,$Y$65,0),0))</f>
        <v>0</v>
      </c>
      <c r="W297" s="497">
        <f t="shared" si="118"/>
        <v>0</v>
      </c>
      <c r="X297" s="497">
        <f t="shared" si="131"/>
        <v>1800000</v>
      </c>
      <c r="Y297" s="493"/>
      <c r="Z297" s="493"/>
      <c r="AB297" s="492">
        <v>293</v>
      </c>
      <c r="AC297" s="492">
        <v>25</v>
      </c>
      <c r="AD297" s="497">
        <f>IF(('Comparison Calculator'!$E$11-AC297)&gt;=0,0,IFERROR(-PPMT($AH$66/12,(AB297-60),($F$1-5)*12,$AH$65),0))</f>
        <v>0</v>
      </c>
      <c r="AE297" s="497">
        <f>IF(('Comparison Calculator'!$E$11-AC297)&gt;=0,$C$1*$AH$66/12,IFERROR(-IPMT($AH$66/12,(AB297-60),($F$1-5)*12,$AH$65,0),0))</f>
        <v>0</v>
      </c>
      <c r="AF297" s="497">
        <f t="shared" si="119"/>
        <v>0</v>
      </c>
      <c r="AG297" s="497">
        <f t="shared" si="132"/>
        <v>1800000</v>
      </c>
      <c r="AH297" s="493"/>
      <c r="AI297" s="493"/>
      <c r="AK297" s="492">
        <v>293</v>
      </c>
      <c r="AL297" s="492">
        <v>25</v>
      </c>
      <c r="AM297" s="497">
        <f>IF(('Comparison Calculator'!$E$11-AL297)&gt;=0,0,IFERROR(-PPMT($AQ$66/12,(AK297-60),($F$1-5)*12,$AQ$65),0))</f>
        <v>0</v>
      </c>
      <c r="AN297" s="497">
        <f>IF(('Comparison Calculator'!$E$11-AL297)&gt;=0,$C$1*$AQ$66/12,IFERROR(-IPMT($AQ$66/12,(AK297-60),($F$1-5)*12,$AQ$65,0),0))</f>
        <v>0</v>
      </c>
      <c r="AO297" s="497">
        <f t="shared" si="120"/>
        <v>0</v>
      </c>
      <c r="AP297" s="497">
        <f t="shared" si="133"/>
        <v>1800000</v>
      </c>
      <c r="AQ297" s="493"/>
      <c r="AR297" s="493"/>
      <c r="AT297" s="492">
        <v>293</v>
      </c>
      <c r="AU297" s="492">
        <v>25</v>
      </c>
      <c r="AV297" s="497">
        <f>IF(('Comparison Calculator'!$E$11-AU297)&gt;=0,0,IFERROR(-PPMT($AZ$66/12,(AT297-60),($F$1-5)*12,$AZ$65),0))</f>
        <v>0</v>
      </c>
      <c r="AW297" s="497">
        <f>IF(('Comparison Calculator'!$E$11-AU297)&gt;=0,$C$1*$AZ$66/12,IFERROR(-IPMT($AZ$66/12,(AT297-60),($F$1-5)*12,$AZ$65,0),0))</f>
        <v>0</v>
      </c>
      <c r="AX297" s="497">
        <f t="shared" si="121"/>
        <v>0</v>
      </c>
      <c r="AY297" s="497">
        <f t="shared" si="134"/>
        <v>1800000</v>
      </c>
      <c r="AZ297" s="493"/>
      <c r="BA297" s="493"/>
      <c r="BC297" s="492">
        <v>293</v>
      </c>
      <c r="BD297" s="492">
        <v>25</v>
      </c>
      <c r="BE297" s="497">
        <f>IF(('Comparison Calculator'!$E$11-BD297)&gt;=0,0,IFERROR(-PPMT($BI$66/12,(BC297-60),($F$1-5)*12,$BI$65),0))</f>
        <v>0</v>
      </c>
      <c r="BF297" s="497">
        <f>IF(('Comparison Calculator'!$E$11-BD297)&gt;=0,$C$1*$BI$66/12,IFERROR(-IPMT($BI$66/12,(BC297-60),($F$1-5)*12,$BI$65,0),0))</f>
        <v>0</v>
      </c>
      <c r="BG297" s="497">
        <f t="shared" si="122"/>
        <v>0</v>
      </c>
      <c r="BH297" s="497">
        <f t="shared" si="135"/>
        <v>1800000</v>
      </c>
      <c r="BI297" s="493"/>
      <c r="BJ297" s="493"/>
      <c r="BK297" s="492">
        <v>293</v>
      </c>
      <c r="BL297" s="492">
        <v>25</v>
      </c>
      <c r="BM297" s="497">
        <f>IF(('Comparison Calculator'!$E$11-BL297)&gt;=0,0,IFERROR(-PPMT($BQ$66/12,(BK297-60),($F$1-5)*12,$BQ$65),0))</f>
        <v>0</v>
      </c>
      <c r="BN297" s="497">
        <f>IF(('Comparison Calculator'!$E$11-BL297)&gt;=0,$C$1*$BQ$66/12,IFERROR(-IPMT($BQ$66/12,(BK297-60),($F$1-5)*12,$BQ$65,0),0))</f>
        <v>0</v>
      </c>
      <c r="BO297" s="497">
        <f t="shared" si="123"/>
        <v>0</v>
      </c>
      <c r="BP297" s="497">
        <f t="shared" si="136"/>
        <v>1800000</v>
      </c>
      <c r="BQ297" s="493"/>
      <c r="BR297" s="493"/>
      <c r="BT297" s="492">
        <v>293</v>
      </c>
      <c r="BU297" s="492">
        <v>25</v>
      </c>
      <c r="BV297" s="497">
        <f>IF(('Comparison Calculator'!$E$11-BU297)&gt;=0,0,IFERROR(-PPMT($BZ$66/12,(BT297-60),($F$1-5)*12,$BZ$65),0))</f>
        <v>0</v>
      </c>
      <c r="BW297" s="497">
        <f>IF(('Comparison Calculator'!$E$11-BU297)&gt;=0,$C$1*$BZ$66/12,IFERROR(-IPMT($BZ$66/12,(BT297-60),($F$1-5)*12,$BZ$65,0),0))</f>
        <v>0</v>
      </c>
      <c r="BX297" s="497">
        <f t="shared" si="124"/>
        <v>0</v>
      </c>
      <c r="BY297" s="497">
        <f t="shared" si="137"/>
        <v>1800000</v>
      </c>
      <c r="BZ297" s="493"/>
      <c r="CA297" s="493"/>
      <c r="CC297" s="492">
        <v>293</v>
      </c>
      <c r="CD297" s="492">
        <v>25</v>
      </c>
      <c r="CE297" s="497">
        <f>IF(('Comparison Calculator'!$E$11-CD297)&gt;=0,0,IFERROR(-PPMT($CI$66/12,(CC297-60),($F$1-5)*12,$CI$65),0))</f>
        <v>0</v>
      </c>
      <c r="CF297" s="497">
        <f>IF(('Comparison Calculator'!$E$11-CD297)&gt;=0,$C$1*$CI$66/12,IFERROR(-IPMT($CI$66/12,(CC297-60),($F$1-5)*12,$CI$65,0),0))</f>
        <v>0</v>
      </c>
      <c r="CG297" s="497">
        <f t="shared" si="125"/>
        <v>0</v>
      </c>
      <c r="CH297" s="497">
        <f t="shared" si="138"/>
        <v>1800000</v>
      </c>
      <c r="CI297" s="493"/>
      <c r="CJ297" s="493"/>
      <c r="CL297" s="492">
        <v>293</v>
      </c>
      <c r="CM297" s="492">
        <v>25</v>
      </c>
      <c r="CN297" s="497">
        <f>IF(('Comparison Calculator'!$E$11-CM297)&gt;=0,0,IFERROR(-PPMT($CR$66/12,(CL297-60),($F$1-5)*12,$CR$65),0))</f>
        <v>0</v>
      </c>
      <c r="CO297" s="497">
        <f>IF(('Comparison Calculator'!$E$11-CM297)&gt;=0,$C$1*$CI$66/12,IFERROR(-IPMT($CI$66/12,(CL297-60),($F$1-5)*12,$CI$65,0),0))</f>
        <v>0</v>
      </c>
      <c r="CP297" s="497">
        <f t="shared" si="126"/>
        <v>0</v>
      </c>
      <c r="CQ297" s="497">
        <f t="shared" si="139"/>
        <v>1800000</v>
      </c>
      <c r="CR297" s="493"/>
      <c r="CS297" s="493"/>
      <c r="CU297" s="492">
        <v>293</v>
      </c>
      <c r="CV297" s="492">
        <v>25</v>
      </c>
      <c r="CW297" s="497">
        <f>IF(('Comparison Calculator'!$E$11-CV297)&gt;=0,0,IFERROR(-PPMT($DA$66/12,(CU297-60),($F$1-5)*12,$DA$65),0))</f>
        <v>0</v>
      </c>
      <c r="CX297" s="497">
        <f>IF(('Comparison Calculator'!$E$11-CV297)&gt;=0,$C$1*$DA$66/12,IFERROR(-IPMT($DA$66/12,(CU297-60),($F$1-5)*12,$DA$65,0),0))</f>
        <v>0</v>
      </c>
      <c r="CY297" s="497">
        <f t="shared" si="127"/>
        <v>0</v>
      </c>
      <c r="CZ297" s="497">
        <f t="shared" si="140"/>
        <v>1800000</v>
      </c>
      <c r="DA297" s="493"/>
      <c r="DB297" s="493"/>
      <c r="DD297" s="492">
        <v>293</v>
      </c>
      <c r="DE297" s="492">
        <v>25</v>
      </c>
      <c r="DF297" s="497">
        <f>IF(('Comparison Calculator'!$E$11-DE297)&gt;=0,0,IFERROR(-PPMT($DJ$66/12,(DD297-60),($F$1-5)*12,$DJ$65),0))</f>
        <v>0</v>
      </c>
      <c r="DG297" s="497">
        <f>IF(('Comparison Calculator'!$E$11-DE297)&gt;=0,$C$1*$DJ$66/12,IFERROR(-IPMT($DJ$66/12,(DD297-60),($F$1-5)*12,$DJ$65,0),0))</f>
        <v>0</v>
      </c>
      <c r="DH297" s="497">
        <f t="shared" si="128"/>
        <v>0</v>
      </c>
      <c r="DI297" s="497">
        <f t="shared" si="141"/>
        <v>1800000</v>
      </c>
      <c r="DJ297" s="493"/>
      <c r="DK297" s="493"/>
    </row>
    <row r="298" spans="1:115">
      <c r="A298" s="492">
        <v>294</v>
      </c>
      <c r="B298" s="492">
        <v>25</v>
      </c>
      <c r="C298" s="497">
        <f>IF(('Comparison Calculator'!$E$11-B298)&gt;=0,0,IFERROR(-PPMT($G$66/12,(A298-60),($F$1-5)*12,$G$65),0))</f>
        <v>0</v>
      </c>
      <c r="D298" s="497">
        <f>IF(('Comparison Calculator'!$E$11-B298)&gt;=0,$C$1*$G$66/12,IFERROR(-IPMT($G$66/12,(A298-60),($F$1-5)*12,$G$65,0),0))</f>
        <v>0</v>
      </c>
      <c r="E298" s="497">
        <f t="shared" si="116"/>
        <v>0</v>
      </c>
      <c r="F298" s="497">
        <f t="shared" si="129"/>
        <v>1800000</v>
      </c>
      <c r="G298" s="493"/>
      <c r="H298" s="493"/>
      <c r="I298" s="489"/>
      <c r="J298" s="492">
        <v>294</v>
      </c>
      <c r="K298" s="492">
        <v>25</v>
      </c>
      <c r="L298" s="497">
        <f>IF(('Comparison Calculator'!$E$11-K298)&gt;=0,0,IFERROR(-PPMT($P$66/12,(J298-60),($F$1-5)*12,$P$65),0))</f>
        <v>0</v>
      </c>
      <c r="M298" s="497">
        <f>IF(('Comparison Calculator'!$E$11-K298)&gt;=0,$C$1*$P$66/12,IFERROR(-IPMT($P$66/12,(J298-60),($F$1-5)*12,$P$65,0),0))</f>
        <v>0</v>
      </c>
      <c r="N298" s="497">
        <f t="shared" si="117"/>
        <v>0</v>
      </c>
      <c r="O298" s="497">
        <f t="shared" si="130"/>
        <v>1800000</v>
      </c>
      <c r="P298" s="493"/>
      <c r="Q298" s="493"/>
      <c r="S298" s="492">
        <v>294</v>
      </c>
      <c r="T298" s="492">
        <v>25</v>
      </c>
      <c r="U298" s="497">
        <f>IF(('Comparison Calculator'!$E$11-T298)&gt;=0,0,IFERROR(-PPMT($Y$66/12,(S298-60),($F$1-5)*12,$Y$65),0))</f>
        <v>0</v>
      </c>
      <c r="V298" s="497">
        <f>IF(('Comparison Calculator'!$E$11-T298)&gt;=0,$C$1*$Y$66/12,IFERROR(-IPMT($Y$66/12,(S298-60),($F$1-5)*12,$Y$65,0),0))</f>
        <v>0</v>
      </c>
      <c r="W298" s="497">
        <f t="shared" si="118"/>
        <v>0</v>
      </c>
      <c r="X298" s="497">
        <f t="shared" si="131"/>
        <v>1800000</v>
      </c>
      <c r="Y298" s="493"/>
      <c r="Z298" s="493"/>
      <c r="AB298" s="492">
        <v>294</v>
      </c>
      <c r="AC298" s="492">
        <v>25</v>
      </c>
      <c r="AD298" s="497">
        <f>IF(('Comparison Calculator'!$E$11-AC298)&gt;=0,0,IFERROR(-PPMT($AH$66/12,(AB298-60),($F$1-5)*12,$AH$65),0))</f>
        <v>0</v>
      </c>
      <c r="AE298" s="497">
        <f>IF(('Comparison Calculator'!$E$11-AC298)&gt;=0,$C$1*$AH$66/12,IFERROR(-IPMT($AH$66/12,(AB298-60),($F$1-5)*12,$AH$65,0),0))</f>
        <v>0</v>
      </c>
      <c r="AF298" s="497">
        <f t="shared" si="119"/>
        <v>0</v>
      </c>
      <c r="AG298" s="497">
        <f t="shared" si="132"/>
        <v>1800000</v>
      </c>
      <c r="AH298" s="493"/>
      <c r="AI298" s="493"/>
      <c r="AK298" s="492">
        <v>294</v>
      </c>
      <c r="AL298" s="492">
        <v>25</v>
      </c>
      <c r="AM298" s="497">
        <f>IF(('Comparison Calculator'!$E$11-AL298)&gt;=0,0,IFERROR(-PPMT($AQ$66/12,(AK298-60),($F$1-5)*12,$AQ$65),0))</f>
        <v>0</v>
      </c>
      <c r="AN298" s="497">
        <f>IF(('Comparison Calculator'!$E$11-AL298)&gt;=0,$C$1*$AQ$66/12,IFERROR(-IPMT($AQ$66/12,(AK298-60),($F$1-5)*12,$AQ$65,0),0))</f>
        <v>0</v>
      </c>
      <c r="AO298" s="497">
        <f t="shared" si="120"/>
        <v>0</v>
      </c>
      <c r="AP298" s="497">
        <f t="shared" si="133"/>
        <v>1800000</v>
      </c>
      <c r="AQ298" s="493"/>
      <c r="AR298" s="493"/>
      <c r="AT298" s="492">
        <v>294</v>
      </c>
      <c r="AU298" s="492">
        <v>25</v>
      </c>
      <c r="AV298" s="497">
        <f>IF(('Comparison Calculator'!$E$11-AU298)&gt;=0,0,IFERROR(-PPMT($AZ$66/12,(AT298-60),($F$1-5)*12,$AZ$65),0))</f>
        <v>0</v>
      </c>
      <c r="AW298" s="497">
        <f>IF(('Comparison Calculator'!$E$11-AU298)&gt;=0,$C$1*$AZ$66/12,IFERROR(-IPMT($AZ$66/12,(AT298-60),($F$1-5)*12,$AZ$65,0),0))</f>
        <v>0</v>
      </c>
      <c r="AX298" s="497">
        <f t="shared" si="121"/>
        <v>0</v>
      </c>
      <c r="AY298" s="497">
        <f t="shared" si="134"/>
        <v>1800000</v>
      </c>
      <c r="AZ298" s="493"/>
      <c r="BA298" s="493"/>
      <c r="BC298" s="492">
        <v>294</v>
      </c>
      <c r="BD298" s="492">
        <v>25</v>
      </c>
      <c r="BE298" s="497">
        <f>IF(('Comparison Calculator'!$E$11-BD298)&gt;=0,0,IFERROR(-PPMT($BI$66/12,(BC298-60),($F$1-5)*12,$BI$65),0))</f>
        <v>0</v>
      </c>
      <c r="BF298" s="497">
        <f>IF(('Comparison Calculator'!$E$11-BD298)&gt;=0,$C$1*$BI$66/12,IFERROR(-IPMT($BI$66/12,(BC298-60),($F$1-5)*12,$BI$65,0),0))</f>
        <v>0</v>
      </c>
      <c r="BG298" s="497">
        <f t="shared" si="122"/>
        <v>0</v>
      </c>
      <c r="BH298" s="497">
        <f t="shared" si="135"/>
        <v>1800000</v>
      </c>
      <c r="BI298" s="493"/>
      <c r="BJ298" s="493"/>
      <c r="BK298" s="492">
        <v>294</v>
      </c>
      <c r="BL298" s="492">
        <v>25</v>
      </c>
      <c r="BM298" s="497">
        <f>IF(('Comparison Calculator'!$E$11-BL298)&gt;=0,0,IFERROR(-PPMT($BQ$66/12,(BK298-60),($F$1-5)*12,$BQ$65),0))</f>
        <v>0</v>
      </c>
      <c r="BN298" s="497">
        <f>IF(('Comparison Calculator'!$E$11-BL298)&gt;=0,$C$1*$BQ$66/12,IFERROR(-IPMT($BQ$66/12,(BK298-60),($F$1-5)*12,$BQ$65,0),0))</f>
        <v>0</v>
      </c>
      <c r="BO298" s="497">
        <f t="shared" si="123"/>
        <v>0</v>
      </c>
      <c r="BP298" s="497">
        <f t="shared" si="136"/>
        <v>1800000</v>
      </c>
      <c r="BQ298" s="493"/>
      <c r="BR298" s="493"/>
      <c r="BT298" s="492">
        <v>294</v>
      </c>
      <c r="BU298" s="492">
        <v>25</v>
      </c>
      <c r="BV298" s="497">
        <f>IF(('Comparison Calculator'!$E$11-BU298)&gt;=0,0,IFERROR(-PPMT($BZ$66/12,(BT298-60),($F$1-5)*12,$BZ$65),0))</f>
        <v>0</v>
      </c>
      <c r="BW298" s="497">
        <f>IF(('Comparison Calculator'!$E$11-BU298)&gt;=0,$C$1*$BZ$66/12,IFERROR(-IPMT($BZ$66/12,(BT298-60),($F$1-5)*12,$BZ$65,0),0))</f>
        <v>0</v>
      </c>
      <c r="BX298" s="497">
        <f t="shared" si="124"/>
        <v>0</v>
      </c>
      <c r="BY298" s="497">
        <f t="shared" si="137"/>
        <v>1800000</v>
      </c>
      <c r="BZ298" s="493"/>
      <c r="CA298" s="493"/>
      <c r="CC298" s="492">
        <v>294</v>
      </c>
      <c r="CD298" s="492">
        <v>25</v>
      </c>
      <c r="CE298" s="497">
        <f>IF(('Comparison Calculator'!$E$11-CD298)&gt;=0,0,IFERROR(-PPMT($CI$66/12,(CC298-60),($F$1-5)*12,$CI$65),0))</f>
        <v>0</v>
      </c>
      <c r="CF298" s="497">
        <f>IF(('Comparison Calculator'!$E$11-CD298)&gt;=0,$C$1*$CI$66/12,IFERROR(-IPMT($CI$66/12,(CC298-60),($F$1-5)*12,$CI$65,0),0))</f>
        <v>0</v>
      </c>
      <c r="CG298" s="497">
        <f t="shared" si="125"/>
        <v>0</v>
      </c>
      <c r="CH298" s="497">
        <f t="shared" si="138"/>
        <v>1800000</v>
      </c>
      <c r="CI298" s="493"/>
      <c r="CJ298" s="493"/>
      <c r="CL298" s="492">
        <v>294</v>
      </c>
      <c r="CM298" s="492">
        <v>25</v>
      </c>
      <c r="CN298" s="497">
        <f>IF(('Comparison Calculator'!$E$11-CM298)&gt;=0,0,IFERROR(-PPMT($CR$66/12,(CL298-60),($F$1-5)*12,$CR$65),0))</f>
        <v>0</v>
      </c>
      <c r="CO298" s="497">
        <f>IF(('Comparison Calculator'!$E$11-CM298)&gt;=0,$C$1*$CI$66/12,IFERROR(-IPMT($CI$66/12,(CL298-60),($F$1-5)*12,$CI$65,0),0))</f>
        <v>0</v>
      </c>
      <c r="CP298" s="497">
        <f t="shared" si="126"/>
        <v>0</v>
      </c>
      <c r="CQ298" s="497">
        <f t="shared" si="139"/>
        <v>1800000</v>
      </c>
      <c r="CR298" s="493"/>
      <c r="CS298" s="493"/>
      <c r="CU298" s="492">
        <v>294</v>
      </c>
      <c r="CV298" s="492">
        <v>25</v>
      </c>
      <c r="CW298" s="497">
        <f>IF(('Comparison Calculator'!$E$11-CV298)&gt;=0,0,IFERROR(-PPMT($DA$66/12,(CU298-60),($F$1-5)*12,$DA$65),0))</f>
        <v>0</v>
      </c>
      <c r="CX298" s="497">
        <f>IF(('Comparison Calculator'!$E$11-CV298)&gt;=0,$C$1*$DA$66/12,IFERROR(-IPMT($DA$66/12,(CU298-60),($F$1-5)*12,$DA$65,0),0))</f>
        <v>0</v>
      </c>
      <c r="CY298" s="497">
        <f t="shared" si="127"/>
        <v>0</v>
      </c>
      <c r="CZ298" s="497">
        <f t="shared" si="140"/>
        <v>1800000</v>
      </c>
      <c r="DA298" s="493"/>
      <c r="DB298" s="493"/>
      <c r="DD298" s="492">
        <v>294</v>
      </c>
      <c r="DE298" s="492">
        <v>25</v>
      </c>
      <c r="DF298" s="497">
        <f>IF(('Comparison Calculator'!$E$11-DE298)&gt;=0,0,IFERROR(-PPMT($DJ$66/12,(DD298-60),($F$1-5)*12,$DJ$65),0))</f>
        <v>0</v>
      </c>
      <c r="DG298" s="497">
        <f>IF(('Comparison Calculator'!$E$11-DE298)&gt;=0,$C$1*$DJ$66/12,IFERROR(-IPMT($DJ$66/12,(DD298-60),($F$1-5)*12,$DJ$65,0),0))</f>
        <v>0</v>
      </c>
      <c r="DH298" s="497">
        <f t="shared" si="128"/>
        <v>0</v>
      </c>
      <c r="DI298" s="497">
        <f t="shared" si="141"/>
        <v>1800000</v>
      </c>
      <c r="DJ298" s="493"/>
      <c r="DK298" s="493"/>
    </row>
    <row r="299" spans="1:115">
      <c r="A299" s="492">
        <v>295</v>
      </c>
      <c r="B299" s="492">
        <v>25</v>
      </c>
      <c r="C299" s="497">
        <f>IF(('Comparison Calculator'!$E$11-B299)&gt;=0,0,IFERROR(-PPMT($G$66/12,(A299-60),($F$1-5)*12,$G$65),0))</f>
        <v>0</v>
      </c>
      <c r="D299" s="497">
        <f>IF(('Comparison Calculator'!$E$11-B299)&gt;=0,$C$1*$G$66/12,IFERROR(-IPMT($G$66/12,(A299-60),($F$1-5)*12,$G$65,0),0))</f>
        <v>0</v>
      </c>
      <c r="E299" s="497">
        <f t="shared" si="116"/>
        <v>0</v>
      </c>
      <c r="F299" s="497">
        <f t="shared" si="129"/>
        <v>1800000</v>
      </c>
      <c r="G299" s="493"/>
      <c r="H299" s="493"/>
      <c r="I299" s="489"/>
      <c r="J299" s="492">
        <v>295</v>
      </c>
      <c r="K299" s="492">
        <v>25</v>
      </c>
      <c r="L299" s="497">
        <f>IF(('Comparison Calculator'!$E$11-K299)&gt;=0,0,IFERROR(-PPMT($P$66/12,(J299-60),($F$1-5)*12,$P$65),0))</f>
        <v>0</v>
      </c>
      <c r="M299" s="497">
        <f>IF(('Comparison Calculator'!$E$11-K299)&gt;=0,$C$1*$P$66/12,IFERROR(-IPMT($P$66/12,(J299-60),($F$1-5)*12,$P$65,0),0))</f>
        <v>0</v>
      </c>
      <c r="N299" s="497">
        <f t="shared" si="117"/>
        <v>0</v>
      </c>
      <c r="O299" s="497">
        <f t="shared" si="130"/>
        <v>1800000</v>
      </c>
      <c r="P299" s="493"/>
      <c r="Q299" s="493"/>
      <c r="S299" s="492">
        <v>295</v>
      </c>
      <c r="T299" s="492">
        <v>25</v>
      </c>
      <c r="U299" s="497">
        <f>IF(('Comparison Calculator'!$E$11-T299)&gt;=0,0,IFERROR(-PPMT($Y$66/12,(S299-60),($F$1-5)*12,$Y$65),0))</f>
        <v>0</v>
      </c>
      <c r="V299" s="497">
        <f>IF(('Comparison Calculator'!$E$11-T299)&gt;=0,$C$1*$Y$66/12,IFERROR(-IPMT($Y$66/12,(S299-60),($F$1-5)*12,$Y$65,0),0))</f>
        <v>0</v>
      </c>
      <c r="W299" s="497">
        <f t="shared" si="118"/>
        <v>0</v>
      </c>
      <c r="X299" s="497">
        <f t="shared" si="131"/>
        <v>1800000</v>
      </c>
      <c r="Y299" s="493"/>
      <c r="Z299" s="493"/>
      <c r="AB299" s="492">
        <v>295</v>
      </c>
      <c r="AC299" s="492">
        <v>25</v>
      </c>
      <c r="AD299" s="497">
        <f>IF(('Comparison Calculator'!$E$11-AC299)&gt;=0,0,IFERROR(-PPMT($AH$66/12,(AB299-60),($F$1-5)*12,$AH$65),0))</f>
        <v>0</v>
      </c>
      <c r="AE299" s="497">
        <f>IF(('Comparison Calculator'!$E$11-AC299)&gt;=0,$C$1*$AH$66/12,IFERROR(-IPMT($AH$66/12,(AB299-60),($F$1-5)*12,$AH$65,0),0))</f>
        <v>0</v>
      </c>
      <c r="AF299" s="497">
        <f t="shared" si="119"/>
        <v>0</v>
      </c>
      <c r="AG299" s="497">
        <f t="shared" si="132"/>
        <v>1800000</v>
      </c>
      <c r="AH299" s="493"/>
      <c r="AI299" s="493"/>
      <c r="AK299" s="492">
        <v>295</v>
      </c>
      <c r="AL299" s="492">
        <v>25</v>
      </c>
      <c r="AM299" s="497">
        <f>IF(('Comparison Calculator'!$E$11-AL299)&gt;=0,0,IFERROR(-PPMT($AQ$66/12,(AK299-60),($F$1-5)*12,$AQ$65),0))</f>
        <v>0</v>
      </c>
      <c r="AN299" s="497">
        <f>IF(('Comparison Calculator'!$E$11-AL299)&gt;=0,$C$1*$AQ$66/12,IFERROR(-IPMT($AQ$66/12,(AK299-60),($F$1-5)*12,$AQ$65,0),0))</f>
        <v>0</v>
      </c>
      <c r="AO299" s="497">
        <f t="shared" si="120"/>
        <v>0</v>
      </c>
      <c r="AP299" s="497">
        <f t="shared" si="133"/>
        <v>1800000</v>
      </c>
      <c r="AQ299" s="493"/>
      <c r="AR299" s="493"/>
      <c r="AT299" s="492">
        <v>295</v>
      </c>
      <c r="AU299" s="492">
        <v>25</v>
      </c>
      <c r="AV299" s="497">
        <f>IF(('Comparison Calculator'!$E$11-AU299)&gt;=0,0,IFERROR(-PPMT($AZ$66/12,(AT299-60),($F$1-5)*12,$AZ$65),0))</f>
        <v>0</v>
      </c>
      <c r="AW299" s="497">
        <f>IF(('Comparison Calculator'!$E$11-AU299)&gt;=0,$C$1*$AZ$66/12,IFERROR(-IPMT($AZ$66/12,(AT299-60),($F$1-5)*12,$AZ$65,0),0))</f>
        <v>0</v>
      </c>
      <c r="AX299" s="497">
        <f t="shared" si="121"/>
        <v>0</v>
      </c>
      <c r="AY299" s="497">
        <f t="shared" si="134"/>
        <v>1800000</v>
      </c>
      <c r="AZ299" s="493"/>
      <c r="BA299" s="493"/>
      <c r="BC299" s="492">
        <v>295</v>
      </c>
      <c r="BD299" s="492">
        <v>25</v>
      </c>
      <c r="BE299" s="497">
        <f>IF(('Comparison Calculator'!$E$11-BD299)&gt;=0,0,IFERROR(-PPMT($BI$66/12,(BC299-60),($F$1-5)*12,$BI$65),0))</f>
        <v>0</v>
      </c>
      <c r="BF299" s="497">
        <f>IF(('Comparison Calculator'!$E$11-BD299)&gt;=0,$C$1*$BI$66/12,IFERROR(-IPMT($BI$66/12,(BC299-60),($F$1-5)*12,$BI$65,0),0))</f>
        <v>0</v>
      </c>
      <c r="BG299" s="497">
        <f t="shared" si="122"/>
        <v>0</v>
      </c>
      <c r="BH299" s="497">
        <f t="shared" si="135"/>
        <v>1800000</v>
      </c>
      <c r="BI299" s="493"/>
      <c r="BJ299" s="493"/>
      <c r="BK299" s="492">
        <v>295</v>
      </c>
      <c r="BL299" s="492">
        <v>25</v>
      </c>
      <c r="BM299" s="497">
        <f>IF(('Comparison Calculator'!$E$11-BL299)&gt;=0,0,IFERROR(-PPMT($BQ$66/12,(BK299-60),($F$1-5)*12,$BQ$65),0))</f>
        <v>0</v>
      </c>
      <c r="BN299" s="497">
        <f>IF(('Comparison Calculator'!$E$11-BL299)&gt;=0,$C$1*$BQ$66/12,IFERROR(-IPMT($BQ$66/12,(BK299-60),($F$1-5)*12,$BQ$65,0),0))</f>
        <v>0</v>
      </c>
      <c r="BO299" s="497">
        <f t="shared" si="123"/>
        <v>0</v>
      </c>
      <c r="BP299" s="497">
        <f t="shared" si="136"/>
        <v>1800000</v>
      </c>
      <c r="BQ299" s="493"/>
      <c r="BR299" s="493"/>
      <c r="BT299" s="492">
        <v>295</v>
      </c>
      <c r="BU299" s="492">
        <v>25</v>
      </c>
      <c r="BV299" s="497">
        <f>IF(('Comparison Calculator'!$E$11-BU299)&gt;=0,0,IFERROR(-PPMT($BZ$66/12,(BT299-60),($F$1-5)*12,$BZ$65),0))</f>
        <v>0</v>
      </c>
      <c r="BW299" s="497">
        <f>IF(('Comparison Calculator'!$E$11-BU299)&gt;=0,$C$1*$BZ$66/12,IFERROR(-IPMT($BZ$66/12,(BT299-60),($F$1-5)*12,$BZ$65,0),0))</f>
        <v>0</v>
      </c>
      <c r="BX299" s="497">
        <f t="shared" si="124"/>
        <v>0</v>
      </c>
      <c r="BY299" s="497">
        <f t="shared" si="137"/>
        <v>1800000</v>
      </c>
      <c r="BZ299" s="493"/>
      <c r="CA299" s="493"/>
      <c r="CC299" s="492">
        <v>295</v>
      </c>
      <c r="CD299" s="492">
        <v>25</v>
      </c>
      <c r="CE299" s="497">
        <f>IF(('Comparison Calculator'!$E$11-CD299)&gt;=0,0,IFERROR(-PPMT($CI$66/12,(CC299-60),($F$1-5)*12,$CI$65),0))</f>
        <v>0</v>
      </c>
      <c r="CF299" s="497">
        <f>IF(('Comparison Calculator'!$E$11-CD299)&gt;=0,$C$1*$CI$66/12,IFERROR(-IPMT($CI$66/12,(CC299-60),($F$1-5)*12,$CI$65,0),0))</f>
        <v>0</v>
      </c>
      <c r="CG299" s="497">
        <f t="shared" si="125"/>
        <v>0</v>
      </c>
      <c r="CH299" s="497">
        <f t="shared" si="138"/>
        <v>1800000</v>
      </c>
      <c r="CI299" s="493"/>
      <c r="CJ299" s="493"/>
      <c r="CL299" s="492">
        <v>295</v>
      </c>
      <c r="CM299" s="492">
        <v>25</v>
      </c>
      <c r="CN299" s="497">
        <f>IF(('Comparison Calculator'!$E$11-CM299)&gt;=0,0,IFERROR(-PPMT($CR$66/12,(CL299-60),($F$1-5)*12,$CR$65),0))</f>
        <v>0</v>
      </c>
      <c r="CO299" s="497">
        <f>IF(('Comparison Calculator'!$E$11-CM299)&gt;=0,$C$1*$CI$66/12,IFERROR(-IPMT($CI$66/12,(CL299-60),($F$1-5)*12,$CI$65,0),0))</f>
        <v>0</v>
      </c>
      <c r="CP299" s="497">
        <f t="shared" si="126"/>
        <v>0</v>
      </c>
      <c r="CQ299" s="497">
        <f t="shared" si="139"/>
        <v>1800000</v>
      </c>
      <c r="CR299" s="493"/>
      <c r="CS299" s="493"/>
      <c r="CU299" s="492">
        <v>295</v>
      </c>
      <c r="CV299" s="492">
        <v>25</v>
      </c>
      <c r="CW299" s="497">
        <f>IF(('Comparison Calculator'!$E$11-CV299)&gt;=0,0,IFERROR(-PPMT($DA$66/12,(CU299-60),($F$1-5)*12,$DA$65),0))</f>
        <v>0</v>
      </c>
      <c r="CX299" s="497">
        <f>IF(('Comparison Calculator'!$E$11-CV299)&gt;=0,$C$1*$DA$66/12,IFERROR(-IPMT($DA$66/12,(CU299-60),($F$1-5)*12,$DA$65,0),0))</f>
        <v>0</v>
      </c>
      <c r="CY299" s="497">
        <f t="shared" si="127"/>
        <v>0</v>
      </c>
      <c r="CZ299" s="497">
        <f t="shared" si="140"/>
        <v>1800000</v>
      </c>
      <c r="DA299" s="493"/>
      <c r="DB299" s="493"/>
      <c r="DD299" s="492">
        <v>295</v>
      </c>
      <c r="DE299" s="492">
        <v>25</v>
      </c>
      <c r="DF299" s="497">
        <f>IF(('Comparison Calculator'!$E$11-DE299)&gt;=0,0,IFERROR(-PPMT($DJ$66/12,(DD299-60),($F$1-5)*12,$DJ$65),0))</f>
        <v>0</v>
      </c>
      <c r="DG299" s="497">
        <f>IF(('Comparison Calculator'!$E$11-DE299)&gt;=0,$C$1*$DJ$66/12,IFERROR(-IPMT($DJ$66/12,(DD299-60),($F$1-5)*12,$DJ$65,0),0))</f>
        <v>0</v>
      </c>
      <c r="DH299" s="497">
        <f t="shared" si="128"/>
        <v>0</v>
      </c>
      <c r="DI299" s="497">
        <f t="shared" si="141"/>
        <v>1800000</v>
      </c>
      <c r="DJ299" s="493"/>
      <c r="DK299" s="493"/>
    </row>
    <row r="300" spans="1:115">
      <c r="A300" s="492">
        <v>296</v>
      </c>
      <c r="B300" s="492">
        <v>25</v>
      </c>
      <c r="C300" s="497">
        <f>IF(('Comparison Calculator'!$E$11-B300)&gt;=0,0,IFERROR(-PPMT($G$66/12,(A300-60),($F$1-5)*12,$G$65),0))</f>
        <v>0</v>
      </c>
      <c r="D300" s="497">
        <f>IF(('Comparison Calculator'!$E$11-B300)&gt;=0,$C$1*$G$66/12,IFERROR(-IPMT($G$66/12,(A300-60),($F$1-5)*12,$G$65,0),0))</f>
        <v>0</v>
      </c>
      <c r="E300" s="497">
        <f t="shared" si="116"/>
        <v>0</v>
      </c>
      <c r="F300" s="497">
        <f t="shared" si="129"/>
        <v>1800000</v>
      </c>
      <c r="G300" s="493"/>
      <c r="H300" s="493"/>
      <c r="I300" s="489"/>
      <c r="J300" s="492">
        <v>296</v>
      </c>
      <c r="K300" s="492">
        <v>25</v>
      </c>
      <c r="L300" s="497">
        <f>IF(('Comparison Calculator'!$E$11-K300)&gt;=0,0,IFERROR(-PPMT($P$66/12,(J300-60),($F$1-5)*12,$P$65),0))</f>
        <v>0</v>
      </c>
      <c r="M300" s="497">
        <f>IF(('Comparison Calculator'!$E$11-K300)&gt;=0,$C$1*$P$66/12,IFERROR(-IPMT($P$66/12,(J300-60),($F$1-5)*12,$P$65,0),0))</f>
        <v>0</v>
      </c>
      <c r="N300" s="497">
        <f t="shared" si="117"/>
        <v>0</v>
      </c>
      <c r="O300" s="497">
        <f t="shared" si="130"/>
        <v>1800000</v>
      </c>
      <c r="P300" s="493"/>
      <c r="Q300" s="493"/>
      <c r="S300" s="492">
        <v>296</v>
      </c>
      <c r="T300" s="492">
        <v>25</v>
      </c>
      <c r="U300" s="497">
        <f>IF(('Comparison Calculator'!$E$11-T300)&gt;=0,0,IFERROR(-PPMT($Y$66/12,(S300-60),($F$1-5)*12,$Y$65),0))</f>
        <v>0</v>
      </c>
      <c r="V300" s="497">
        <f>IF(('Comparison Calculator'!$E$11-T300)&gt;=0,$C$1*$Y$66/12,IFERROR(-IPMT($Y$66/12,(S300-60),($F$1-5)*12,$Y$65,0),0))</f>
        <v>0</v>
      </c>
      <c r="W300" s="497">
        <f t="shared" si="118"/>
        <v>0</v>
      </c>
      <c r="X300" s="497">
        <f t="shared" si="131"/>
        <v>1800000</v>
      </c>
      <c r="Y300" s="493"/>
      <c r="Z300" s="493"/>
      <c r="AB300" s="492">
        <v>296</v>
      </c>
      <c r="AC300" s="492">
        <v>25</v>
      </c>
      <c r="AD300" s="497">
        <f>IF(('Comparison Calculator'!$E$11-AC300)&gt;=0,0,IFERROR(-PPMT($AH$66/12,(AB300-60),($F$1-5)*12,$AH$65),0))</f>
        <v>0</v>
      </c>
      <c r="AE300" s="497">
        <f>IF(('Comparison Calculator'!$E$11-AC300)&gt;=0,$C$1*$AH$66/12,IFERROR(-IPMT($AH$66/12,(AB300-60),($F$1-5)*12,$AH$65,0),0))</f>
        <v>0</v>
      </c>
      <c r="AF300" s="497">
        <f t="shared" si="119"/>
        <v>0</v>
      </c>
      <c r="AG300" s="497">
        <f t="shared" si="132"/>
        <v>1800000</v>
      </c>
      <c r="AH300" s="493"/>
      <c r="AI300" s="493"/>
      <c r="AK300" s="492">
        <v>296</v>
      </c>
      <c r="AL300" s="492">
        <v>25</v>
      </c>
      <c r="AM300" s="497">
        <f>IF(('Comparison Calculator'!$E$11-AL300)&gt;=0,0,IFERROR(-PPMT($AQ$66/12,(AK300-60),($F$1-5)*12,$AQ$65),0))</f>
        <v>0</v>
      </c>
      <c r="AN300" s="497">
        <f>IF(('Comparison Calculator'!$E$11-AL300)&gt;=0,$C$1*$AQ$66/12,IFERROR(-IPMT($AQ$66/12,(AK300-60),($F$1-5)*12,$AQ$65,0),0))</f>
        <v>0</v>
      </c>
      <c r="AO300" s="497">
        <f t="shared" si="120"/>
        <v>0</v>
      </c>
      <c r="AP300" s="497">
        <f t="shared" si="133"/>
        <v>1800000</v>
      </c>
      <c r="AQ300" s="493"/>
      <c r="AR300" s="493"/>
      <c r="AT300" s="492">
        <v>296</v>
      </c>
      <c r="AU300" s="492">
        <v>25</v>
      </c>
      <c r="AV300" s="497">
        <f>IF(('Comparison Calculator'!$E$11-AU300)&gt;=0,0,IFERROR(-PPMT($AZ$66/12,(AT300-60),($F$1-5)*12,$AZ$65),0))</f>
        <v>0</v>
      </c>
      <c r="AW300" s="497">
        <f>IF(('Comparison Calculator'!$E$11-AU300)&gt;=0,$C$1*$AZ$66/12,IFERROR(-IPMT($AZ$66/12,(AT300-60),($F$1-5)*12,$AZ$65,0),0))</f>
        <v>0</v>
      </c>
      <c r="AX300" s="497">
        <f t="shared" si="121"/>
        <v>0</v>
      </c>
      <c r="AY300" s="497">
        <f t="shared" si="134"/>
        <v>1800000</v>
      </c>
      <c r="AZ300" s="493"/>
      <c r="BA300" s="493"/>
      <c r="BC300" s="492">
        <v>296</v>
      </c>
      <c r="BD300" s="492">
        <v>25</v>
      </c>
      <c r="BE300" s="497">
        <f>IF(('Comparison Calculator'!$E$11-BD300)&gt;=0,0,IFERROR(-PPMT($BI$66/12,(BC300-60),($F$1-5)*12,$BI$65),0))</f>
        <v>0</v>
      </c>
      <c r="BF300" s="497">
        <f>IF(('Comparison Calculator'!$E$11-BD300)&gt;=0,$C$1*$BI$66/12,IFERROR(-IPMT($BI$66/12,(BC300-60),($F$1-5)*12,$BI$65,0),0))</f>
        <v>0</v>
      </c>
      <c r="BG300" s="497">
        <f t="shared" si="122"/>
        <v>0</v>
      </c>
      <c r="BH300" s="497">
        <f t="shared" si="135"/>
        <v>1800000</v>
      </c>
      <c r="BI300" s="493"/>
      <c r="BJ300" s="493"/>
      <c r="BK300" s="492">
        <v>296</v>
      </c>
      <c r="BL300" s="492">
        <v>25</v>
      </c>
      <c r="BM300" s="497">
        <f>IF(('Comparison Calculator'!$E$11-BL300)&gt;=0,0,IFERROR(-PPMT($BQ$66/12,(BK300-60),($F$1-5)*12,$BQ$65),0))</f>
        <v>0</v>
      </c>
      <c r="BN300" s="497">
        <f>IF(('Comparison Calculator'!$E$11-BL300)&gt;=0,$C$1*$BQ$66/12,IFERROR(-IPMT($BQ$66/12,(BK300-60),($F$1-5)*12,$BQ$65,0),0))</f>
        <v>0</v>
      </c>
      <c r="BO300" s="497">
        <f t="shared" si="123"/>
        <v>0</v>
      </c>
      <c r="BP300" s="497">
        <f t="shared" si="136"/>
        <v>1800000</v>
      </c>
      <c r="BQ300" s="493"/>
      <c r="BR300" s="493"/>
      <c r="BT300" s="492">
        <v>296</v>
      </c>
      <c r="BU300" s="492">
        <v>25</v>
      </c>
      <c r="BV300" s="497">
        <f>IF(('Comparison Calculator'!$E$11-BU300)&gt;=0,0,IFERROR(-PPMT($BZ$66/12,(BT300-60),($F$1-5)*12,$BZ$65),0))</f>
        <v>0</v>
      </c>
      <c r="BW300" s="497">
        <f>IF(('Comparison Calculator'!$E$11-BU300)&gt;=0,$C$1*$BZ$66/12,IFERROR(-IPMT($BZ$66/12,(BT300-60),($F$1-5)*12,$BZ$65,0),0))</f>
        <v>0</v>
      </c>
      <c r="BX300" s="497">
        <f t="shared" si="124"/>
        <v>0</v>
      </c>
      <c r="BY300" s="497">
        <f t="shared" si="137"/>
        <v>1800000</v>
      </c>
      <c r="BZ300" s="493"/>
      <c r="CA300" s="493"/>
      <c r="CC300" s="492">
        <v>296</v>
      </c>
      <c r="CD300" s="492">
        <v>25</v>
      </c>
      <c r="CE300" s="497">
        <f>IF(('Comparison Calculator'!$E$11-CD300)&gt;=0,0,IFERROR(-PPMT($CI$66/12,(CC300-60),($F$1-5)*12,$CI$65),0))</f>
        <v>0</v>
      </c>
      <c r="CF300" s="497">
        <f>IF(('Comparison Calculator'!$E$11-CD300)&gt;=0,$C$1*$CI$66/12,IFERROR(-IPMT($CI$66/12,(CC300-60),($F$1-5)*12,$CI$65,0),0))</f>
        <v>0</v>
      </c>
      <c r="CG300" s="497">
        <f t="shared" si="125"/>
        <v>0</v>
      </c>
      <c r="CH300" s="497">
        <f t="shared" si="138"/>
        <v>1800000</v>
      </c>
      <c r="CI300" s="493"/>
      <c r="CJ300" s="493"/>
      <c r="CL300" s="492">
        <v>296</v>
      </c>
      <c r="CM300" s="492">
        <v>25</v>
      </c>
      <c r="CN300" s="497">
        <f>IF(('Comparison Calculator'!$E$11-CM300)&gt;=0,0,IFERROR(-PPMT($CR$66/12,(CL300-60),($F$1-5)*12,$CR$65),0))</f>
        <v>0</v>
      </c>
      <c r="CO300" s="497">
        <f>IF(('Comparison Calculator'!$E$11-CM300)&gt;=0,$C$1*$CI$66/12,IFERROR(-IPMT($CI$66/12,(CL300-60),($F$1-5)*12,$CI$65,0),0))</f>
        <v>0</v>
      </c>
      <c r="CP300" s="497">
        <f t="shared" si="126"/>
        <v>0</v>
      </c>
      <c r="CQ300" s="497">
        <f t="shared" si="139"/>
        <v>1800000</v>
      </c>
      <c r="CR300" s="493"/>
      <c r="CS300" s="493"/>
      <c r="CU300" s="492">
        <v>296</v>
      </c>
      <c r="CV300" s="492">
        <v>25</v>
      </c>
      <c r="CW300" s="497">
        <f>IF(('Comparison Calculator'!$E$11-CV300)&gt;=0,0,IFERROR(-PPMT($DA$66/12,(CU300-60),($F$1-5)*12,$DA$65),0))</f>
        <v>0</v>
      </c>
      <c r="CX300" s="497">
        <f>IF(('Comparison Calculator'!$E$11-CV300)&gt;=0,$C$1*$DA$66/12,IFERROR(-IPMT($DA$66/12,(CU300-60),($F$1-5)*12,$DA$65,0),0))</f>
        <v>0</v>
      </c>
      <c r="CY300" s="497">
        <f t="shared" si="127"/>
        <v>0</v>
      </c>
      <c r="CZ300" s="497">
        <f t="shared" si="140"/>
        <v>1800000</v>
      </c>
      <c r="DA300" s="493"/>
      <c r="DB300" s="493"/>
      <c r="DD300" s="492">
        <v>296</v>
      </c>
      <c r="DE300" s="492">
        <v>25</v>
      </c>
      <c r="DF300" s="497">
        <f>IF(('Comparison Calculator'!$E$11-DE300)&gt;=0,0,IFERROR(-PPMT($DJ$66/12,(DD300-60),($F$1-5)*12,$DJ$65),0))</f>
        <v>0</v>
      </c>
      <c r="DG300" s="497">
        <f>IF(('Comparison Calculator'!$E$11-DE300)&gt;=0,$C$1*$DJ$66/12,IFERROR(-IPMT($DJ$66/12,(DD300-60),($F$1-5)*12,$DJ$65,0),0))</f>
        <v>0</v>
      </c>
      <c r="DH300" s="497">
        <f t="shared" si="128"/>
        <v>0</v>
      </c>
      <c r="DI300" s="497">
        <f t="shared" si="141"/>
        <v>1800000</v>
      </c>
      <c r="DJ300" s="493"/>
      <c r="DK300" s="493"/>
    </row>
    <row r="301" spans="1:115">
      <c r="A301" s="492">
        <v>297</v>
      </c>
      <c r="B301" s="492">
        <v>25</v>
      </c>
      <c r="C301" s="497">
        <f>IF(('Comparison Calculator'!$E$11-B301)&gt;=0,0,IFERROR(-PPMT($G$66/12,(A301-60),($F$1-5)*12,$G$65),0))</f>
        <v>0</v>
      </c>
      <c r="D301" s="497">
        <f>IF(('Comparison Calculator'!$E$11-B301)&gt;=0,$C$1*$G$66/12,IFERROR(-IPMT($G$66/12,(A301-60),($F$1-5)*12,$G$65,0),0))</f>
        <v>0</v>
      </c>
      <c r="E301" s="497">
        <f t="shared" si="116"/>
        <v>0</v>
      </c>
      <c r="F301" s="497">
        <f t="shared" si="129"/>
        <v>1800000</v>
      </c>
      <c r="G301" s="493"/>
      <c r="H301" s="493"/>
      <c r="I301" s="489"/>
      <c r="J301" s="492">
        <v>297</v>
      </c>
      <c r="K301" s="492">
        <v>25</v>
      </c>
      <c r="L301" s="497">
        <f>IF(('Comparison Calculator'!$E$11-K301)&gt;=0,0,IFERROR(-PPMT($P$66/12,(J301-60),($F$1-5)*12,$P$65),0))</f>
        <v>0</v>
      </c>
      <c r="M301" s="497">
        <f>IF(('Comparison Calculator'!$E$11-K301)&gt;=0,$C$1*$P$66/12,IFERROR(-IPMT($P$66/12,(J301-60),($F$1-5)*12,$P$65,0),0))</f>
        <v>0</v>
      </c>
      <c r="N301" s="497">
        <f t="shared" si="117"/>
        <v>0</v>
      </c>
      <c r="O301" s="497">
        <f t="shared" si="130"/>
        <v>1800000</v>
      </c>
      <c r="P301" s="493"/>
      <c r="Q301" s="493"/>
      <c r="S301" s="492">
        <v>297</v>
      </c>
      <c r="T301" s="492">
        <v>25</v>
      </c>
      <c r="U301" s="497">
        <f>IF(('Comparison Calculator'!$E$11-T301)&gt;=0,0,IFERROR(-PPMT($Y$66/12,(S301-60),($F$1-5)*12,$Y$65),0))</f>
        <v>0</v>
      </c>
      <c r="V301" s="497">
        <f>IF(('Comparison Calculator'!$E$11-T301)&gt;=0,$C$1*$Y$66/12,IFERROR(-IPMT($Y$66/12,(S301-60),($F$1-5)*12,$Y$65,0),0))</f>
        <v>0</v>
      </c>
      <c r="W301" s="497">
        <f t="shared" si="118"/>
        <v>0</v>
      </c>
      <c r="X301" s="497">
        <f t="shared" si="131"/>
        <v>1800000</v>
      </c>
      <c r="Y301" s="493"/>
      <c r="Z301" s="493"/>
      <c r="AB301" s="492">
        <v>297</v>
      </c>
      <c r="AC301" s="492">
        <v>25</v>
      </c>
      <c r="AD301" s="497">
        <f>IF(('Comparison Calculator'!$E$11-AC301)&gt;=0,0,IFERROR(-PPMT($AH$66/12,(AB301-60),($F$1-5)*12,$AH$65),0))</f>
        <v>0</v>
      </c>
      <c r="AE301" s="497">
        <f>IF(('Comparison Calculator'!$E$11-AC301)&gt;=0,$C$1*$AH$66/12,IFERROR(-IPMT($AH$66/12,(AB301-60),($F$1-5)*12,$AH$65,0),0))</f>
        <v>0</v>
      </c>
      <c r="AF301" s="497">
        <f t="shared" si="119"/>
        <v>0</v>
      </c>
      <c r="AG301" s="497">
        <f t="shared" si="132"/>
        <v>1800000</v>
      </c>
      <c r="AH301" s="493"/>
      <c r="AI301" s="493"/>
      <c r="AK301" s="492">
        <v>297</v>
      </c>
      <c r="AL301" s="492">
        <v>25</v>
      </c>
      <c r="AM301" s="497">
        <f>IF(('Comparison Calculator'!$E$11-AL301)&gt;=0,0,IFERROR(-PPMT($AQ$66/12,(AK301-60),($F$1-5)*12,$AQ$65),0))</f>
        <v>0</v>
      </c>
      <c r="AN301" s="497">
        <f>IF(('Comparison Calculator'!$E$11-AL301)&gt;=0,$C$1*$AQ$66/12,IFERROR(-IPMT($AQ$66/12,(AK301-60),($F$1-5)*12,$AQ$65,0),0))</f>
        <v>0</v>
      </c>
      <c r="AO301" s="497">
        <f t="shared" si="120"/>
        <v>0</v>
      </c>
      <c r="AP301" s="497">
        <f t="shared" si="133"/>
        <v>1800000</v>
      </c>
      <c r="AQ301" s="493"/>
      <c r="AR301" s="493"/>
      <c r="AT301" s="492">
        <v>297</v>
      </c>
      <c r="AU301" s="492">
        <v>25</v>
      </c>
      <c r="AV301" s="497">
        <f>IF(('Comparison Calculator'!$E$11-AU301)&gt;=0,0,IFERROR(-PPMT($AZ$66/12,(AT301-60),($F$1-5)*12,$AZ$65),0))</f>
        <v>0</v>
      </c>
      <c r="AW301" s="497">
        <f>IF(('Comparison Calculator'!$E$11-AU301)&gt;=0,$C$1*$AZ$66/12,IFERROR(-IPMT($AZ$66/12,(AT301-60),($F$1-5)*12,$AZ$65,0),0))</f>
        <v>0</v>
      </c>
      <c r="AX301" s="497">
        <f t="shared" si="121"/>
        <v>0</v>
      </c>
      <c r="AY301" s="497">
        <f t="shared" si="134"/>
        <v>1800000</v>
      </c>
      <c r="AZ301" s="493"/>
      <c r="BA301" s="493"/>
      <c r="BC301" s="492">
        <v>297</v>
      </c>
      <c r="BD301" s="492">
        <v>25</v>
      </c>
      <c r="BE301" s="497">
        <f>IF(('Comparison Calculator'!$E$11-BD301)&gt;=0,0,IFERROR(-PPMT($BI$66/12,(BC301-60),($F$1-5)*12,$BI$65),0))</f>
        <v>0</v>
      </c>
      <c r="BF301" s="497">
        <f>IF(('Comparison Calculator'!$E$11-BD301)&gt;=0,$C$1*$BI$66/12,IFERROR(-IPMT($BI$66/12,(BC301-60),($F$1-5)*12,$BI$65,0),0))</f>
        <v>0</v>
      </c>
      <c r="BG301" s="497">
        <f t="shared" si="122"/>
        <v>0</v>
      </c>
      <c r="BH301" s="497">
        <f t="shared" si="135"/>
        <v>1800000</v>
      </c>
      <c r="BI301" s="493"/>
      <c r="BJ301" s="493"/>
      <c r="BK301" s="492">
        <v>297</v>
      </c>
      <c r="BL301" s="492">
        <v>25</v>
      </c>
      <c r="BM301" s="497">
        <f>IF(('Comparison Calculator'!$E$11-BL301)&gt;=0,0,IFERROR(-PPMT($BQ$66/12,(BK301-60),($F$1-5)*12,$BQ$65),0))</f>
        <v>0</v>
      </c>
      <c r="BN301" s="497">
        <f>IF(('Comparison Calculator'!$E$11-BL301)&gt;=0,$C$1*$BQ$66/12,IFERROR(-IPMT($BQ$66/12,(BK301-60),($F$1-5)*12,$BQ$65,0),0))</f>
        <v>0</v>
      </c>
      <c r="BO301" s="497">
        <f t="shared" si="123"/>
        <v>0</v>
      </c>
      <c r="BP301" s="497">
        <f t="shared" si="136"/>
        <v>1800000</v>
      </c>
      <c r="BQ301" s="493"/>
      <c r="BR301" s="493"/>
      <c r="BT301" s="492">
        <v>297</v>
      </c>
      <c r="BU301" s="492">
        <v>25</v>
      </c>
      <c r="BV301" s="497">
        <f>IF(('Comparison Calculator'!$E$11-BU301)&gt;=0,0,IFERROR(-PPMT($BZ$66/12,(BT301-60),($F$1-5)*12,$BZ$65),0))</f>
        <v>0</v>
      </c>
      <c r="BW301" s="497">
        <f>IF(('Comparison Calculator'!$E$11-BU301)&gt;=0,$C$1*$BZ$66/12,IFERROR(-IPMT($BZ$66/12,(BT301-60),($F$1-5)*12,$BZ$65,0),0))</f>
        <v>0</v>
      </c>
      <c r="BX301" s="497">
        <f t="shared" si="124"/>
        <v>0</v>
      </c>
      <c r="BY301" s="497">
        <f t="shared" si="137"/>
        <v>1800000</v>
      </c>
      <c r="BZ301" s="493"/>
      <c r="CA301" s="493"/>
      <c r="CC301" s="492">
        <v>297</v>
      </c>
      <c r="CD301" s="492">
        <v>25</v>
      </c>
      <c r="CE301" s="497">
        <f>IF(('Comparison Calculator'!$E$11-CD301)&gt;=0,0,IFERROR(-PPMT($CI$66/12,(CC301-60),($F$1-5)*12,$CI$65),0))</f>
        <v>0</v>
      </c>
      <c r="CF301" s="497">
        <f>IF(('Comparison Calculator'!$E$11-CD301)&gt;=0,$C$1*$CI$66/12,IFERROR(-IPMT($CI$66/12,(CC301-60),($F$1-5)*12,$CI$65,0),0))</f>
        <v>0</v>
      </c>
      <c r="CG301" s="497">
        <f t="shared" si="125"/>
        <v>0</v>
      </c>
      <c r="CH301" s="497">
        <f t="shared" si="138"/>
        <v>1800000</v>
      </c>
      <c r="CI301" s="493"/>
      <c r="CJ301" s="493"/>
      <c r="CL301" s="492">
        <v>297</v>
      </c>
      <c r="CM301" s="492">
        <v>25</v>
      </c>
      <c r="CN301" s="497">
        <f>IF(('Comparison Calculator'!$E$11-CM301)&gt;=0,0,IFERROR(-PPMT($CR$66/12,(CL301-60),($F$1-5)*12,$CR$65),0))</f>
        <v>0</v>
      </c>
      <c r="CO301" s="497">
        <f>IF(('Comparison Calculator'!$E$11-CM301)&gt;=0,$C$1*$CI$66/12,IFERROR(-IPMT($CI$66/12,(CL301-60),($F$1-5)*12,$CI$65,0),0))</f>
        <v>0</v>
      </c>
      <c r="CP301" s="497">
        <f t="shared" si="126"/>
        <v>0</v>
      </c>
      <c r="CQ301" s="497">
        <f t="shared" si="139"/>
        <v>1800000</v>
      </c>
      <c r="CR301" s="493"/>
      <c r="CS301" s="493"/>
      <c r="CU301" s="492">
        <v>297</v>
      </c>
      <c r="CV301" s="492">
        <v>25</v>
      </c>
      <c r="CW301" s="497">
        <f>IF(('Comparison Calculator'!$E$11-CV301)&gt;=0,0,IFERROR(-PPMT($DA$66/12,(CU301-60),($F$1-5)*12,$DA$65),0))</f>
        <v>0</v>
      </c>
      <c r="CX301" s="497">
        <f>IF(('Comparison Calculator'!$E$11-CV301)&gt;=0,$C$1*$DA$66/12,IFERROR(-IPMT($DA$66/12,(CU301-60),($F$1-5)*12,$DA$65,0),0))</f>
        <v>0</v>
      </c>
      <c r="CY301" s="497">
        <f t="shared" si="127"/>
        <v>0</v>
      </c>
      <c r="CZ301" s="497">
        <f t="shared" si="140"/>
        <v>1800000</v>
      </c>
      <c r="DA301" s="493"/>
      <c r="DB301" s="493"/>
      <c r="DD301" s="492">
        <v>297</v>
      </c>
      <c r="DE301" s="492">
        <v>25</v>
      </c>
      <c r="DF301" s="497">
        <f>IF(('Comparison Calculator'!$E$11-DE301)&gt;=0,0,IFERROR(-PPMT($DJ$66/12,(DD301-60),($F$1-5)*12,$DJ$65),0))</f>
        <v>0</v>
      </c>
      <c r="DG301" s="497">
        <f>IF(('Comparison Calculator'!$E$11-DE301)&gt;=0,$C$1*$DJ$66/12,IFERROR(-IPMT($DJ$66/12,(DD301-60),($F$1-5)*12,$DJ$65,0),0))</f>
        <v>0</v>
      </c>
      <c r="DH301" s="497">
        <f t="shared" si="128"/>
        <v>0</v>
      </c>
      <c r="DI301" s="497">
        <f t="shared" si="141"/>
        <v>1800000</v>
      </c>
      <c r="DJ301" s="493"/>
      <c r="DK301" s="493"/>
    </row>
    <row r="302" spans="1:115">
      <c r="A302" s="492">
        <v>298</v>
      </c>
      <c r="B302" s="492">
        <v>25</v>
      </c>
      <c r="C302" s="497">
        <f>IF(('Comparison Calculator'!$E$11-B302)&gt;=0,0,IFERROR(-PPMT($G$66/12,(A302-60),($F$1-5)*12,$G$65),0))</f>
        <v>0</v>
      </c>
      <c r="D302" s="497">
        <f>IF(('Comparison Calculator'!$E$11-B302)&gt;=0,$C$1*$G$66/12,IFERROR(-IPMT($G$66/12,(A302-60),($F$1-5)*12,$G$65,0),0))</f>
        <v>0</v>
      </c>
      <c r="E302" s="497">
        <f t="shared" si="116"/>
        <v>0</v>
      </c>
      <c r="F302" s="497">
        <f t="shared" si="129"/>
        <v>1800000</v>
      </c>
      <c r="G302" s="493"/>
      <c r="H302" s="493"/>
      <c r="I302" s="489"/>
      <c r="J302" s="492">
        <v>298</v>
      </c>
      <c r="K302" s="492">
        <v>25</v>
      </c>
      <c r="L302" s="497">
        <f>IF(('Comparison Calculator'!$E$11-K302)&gt;=0,0,IFERROR(-PPMT($P$66/12,(J302-60),($F$1-5)*12,$P$65),0))</f>
        <v>0</v>
      </c>
      <c r="M302" s="497">
        <f>IF(('Comparison Calculator'!$E$11-K302)&gt;=0,$C$1*$P$66/12,IFERROR(-IPMT($P$66/12,(J302-60),($F$1-5)*12,$P$65,0),0))</f>
        <v>0</v>
      </c>
      <c r="N302" s="497">
        <f t="shared" si="117"/>
        <v>0</v>
      </c>
      <c r="O302" s="497">
        <f t="shared" si="130"/>
        <v>1800000</v>
      </c>
      <c r="P302" s="493"/>
      <c r="Q302" s="493"/>
      <c r="S302" s="492">
        <v>298</v>
      </c>
      <c r="T302" s="492">
        <v>25</v>
      </c>
      <c r="U302" s="497">
        <f>IF(('Comparison Calculator'!$E$11-T302)&gt;=0,0,IFERROR(-PPMT($Y$66/12,(S302-60),($F$1-5)*12,$Y$65),0))</f>
        <v>0</v>
      </c>
      <c r="V302" s="497">
        <f>IF(('Comparison Calculator'!$E$11-T302)&gt;=0,$C$1*$Y$66/12,IFERROR(-IPMT($Y$66/12,(S302-60),($F$1-5)*12,$Y$65,0),0))</f>
        <v>0</v>
      </c>
      <c r="W302" s="497">
        <f t="shared" si="118"/>
        <v>0</v>
      </c>
      <c r="X302" s="497">
        <f t="shared" si="131"/>
        <v>1800000</v>
      </c>
      <c r="Y302" s="493"/>
      <c r="Z302" s="493"/>
      <c r="AB302" s="492">
        <v>298</v>
      </c>
      <c r="AC302" s="492">
        <v>25</v>
      </c>
      <c r="AD302" s="497">
        <f>IF(('Comparison Calculator'!$E$11-AC302)&gt;=0,0,IFERROR(-PPMT($AH$66/12,(AB302-60),($F$1-5)*12,$AH$65),0))</f>
        <v>0</v>
      </c>
      <c r="AE302" s="497">
        <f>IF(('Comparison Calculator'!$E$11-AC302)&gt;=0,$C$1*$AH$66/12,IFERROR(-IPMT($AH$66/12,(AB302-60),($F$1-5)*12,$AH$65,0),0))</f>
        <v>0</v>
      </c>
      <c r="AF302" s="497">
        <f t="shared" si="119"/>
        <v>0</v>
      </c>
      <c r="AG302" s="497">
        <f t="shared" si="132"/>
        <v>1800000</v>
      </c>
      <c r="AH302" s="493"/>
      <c r="AI302" s="493"/>
      <c r="AK302" s="492">
        <v>298</v>
      </c>
      <c r="AL302" s="492">
        <v>25</v>
      </c>
      <c r="AM302" s="497">
        <f>IF(('Comparison Calculator'!$E$11-AL302)&gt;=0,0,IFERROR(-PPMT($AQ$66/12,(AK302-60),($F$1-5)*12,$AQ$65),0))</f>
        <v>0</v>
      </c>
      <c r="AN302" s="497">
        <f>IF(('Comparison Calculator'!$E$11-AL302)&gt;=0,$C$1*$AQ$66/12,IFERROR(-IPMT($AQ$66/12,(AK302-60),($F$1-5)*12,$AQ$65,0),0))</f>
        <v>0</v>
      </c>
      <c r="AO302" s="497">
        <f t="shared" si="120"/>
        <v>0</v>
      </c>
      <c r="AP302" s="497">
        <f t="shared" si="133"/>
        <v>1800000</v>
      </c>
      <c r="AQ302" s="493"/>
      <c r="AR302" s="493"/>
      <c r="AT302" s="492">
        <v>298</v>
      </c>
      <c r="AU302" s="492">
        <v>25</v>
      </c>
      <c r="AV302" s="497">
        <f>IF(('Comparison Calculator'!$E$11-AU302)&gt;=0,0,IFERROR(-PPMT($AZ$66/12,(AT302-60),($F$1-5)*12,$AZ$65),0))</f>
        <v>0</v>
      </c>
      <c r="AW302" s="497">
        <f>IF(('Comparison Calculator'!$E$11-AU302)&gt;=0,$C$1*$AZ$66/12,IFERROR(-IPMT($AZ$66/12,(AT302-60),($F$1-5)*12,$AZ$65,0),0))</f>
        <v>0</v>
      </c>
      <c r="AX302" s="497">
        <f t="shared" si="121"/>
        <v>0</v>
      </c>
      <c r="AY302" s="497">
        <f t="shared" si="134"/>
        <v>1800000</v>
      </c>
      <c r="AZ302" s="493"/>
      <c r="BA302" s="493"/>
      <c r="BC302" s="492">
        <v>298</v>
      </c>
      <c r="BD302" s="492">
        <v>25</v>
      </c>
      <c r="BE302" s="497">
        <f>IF(('Comparison Calculator'!$E$11-BD302)&gt;=0,0,IFERROR(-PPMT($BI$66/12,(BC302-60),($F$1-5)*12,$BI$65),0))</f>
        <v>0</v>
      </c>
      <c r="BF302" s="497">
        <f>IF(('Comparison Calculator'!$E$11-BD302)&gt;=0,$C$1*$BI$66/12,IFERROR(-IPMT($BI$66/12,(BC302-60),($F$1-5)*12,$BI$65,0),0))</f>
        <v>0</v>
      </c>
      <c r="BG302" s="497">
        <f t="shared" si="122"/>
        <v>0</v>
      </c>
      <c r="BH302" s="497">
        <f t="shared" si="135"/>
        <v>1800000</v>
      </c>
      <c r="BI302" s="493"/>
      <c r="BJ302" s="493"/>
      <c r="BK302" s="492">
        <v>298</v>
      </c>
      <c r="BL302" s="492">
        <v>25</v>
      </c>
      <c r="BM302" s="497">
        <f>IF(('Comparison Calculator'!$E$11-BL302)&gt;=0,0,IFERROR(-PPMT($BQ$66/12,(BK302-60),($F$1-5)*12,$BQ$65),0))</f>
        <v>0</v>
      </c>
      <c r="BN302" s="497">
        <f>IF(('Comparison Calculator'!$E$11-BL302)&gt;=0,$C$1*$BQ$66/12,IFERROR(-IPMT($BQ$66/12,(BK302-60),($F$1-5)*12,$BQ$65,0),0))</f>
        <v>0</v>
      </c>
      <c r="BO302" s="497">
        <f t="shared" si="123"/>
        <v>0</v>
      </c>
      <c r="BP302" s="497">
        <f t="shared" si="136"/>
        <v>1800000</v>
      </c>
      <c r="BQ302" s="493"/>
      <c r="BR302" s="493"/>
      <c r="BT302" s="492">
        <v>298</v>
      </c>
      <c r="BU302" s="492">
        <v>25</v>
      </c>
      <c r="BV302" s="497">
        <f>IF(('Comparison Calculator'!$E$11-BU302)&gt;=0,0,IFERROR(-PPMT($BZ$66/12,(BT302-60),($F$1-5)*12,$BZ$65),0))</f>
        <v>0</v>
      </c>
      <c r="BW302" s="497">
        <f>IF(('Comparison Calculator'!$E$11-BU302)&gt;=0,$C$1*$BZ$66/12,IFERROR(-IPMT($BZ$66/12,(BT302-60),($F$1-5)*12,$BZ$65,0),0))</f>
        <v>0</v>
      </c>
      <c r="BX302" s="497">
        <f t="shared" si="124"/>
        <v>0</v>
      </c>
      <c r="BY302" s="497">
        <f t="shared" si="137"/>
        <v>1800000</v>
      </c>
      <c r="BZ302" s="493"/>
      <c r="CA302" s="493"/>
      <c r="CC302" s="492">
        <v>298</v>
      </c>
      <c r="CD302" s="492">
        <v>25</v>
      </c>
      <c r="CE302" s="497">
        <f>IF(('Comparison Calculator'!$E$11-CD302)&gt;=0,0,IFERROR(-PPMT($CI$66/12,(CC302-60),($F$1-5)*12,$CI$65),0))</f>
        <v>0</v>
      </c>
      <c r="CF302" s="497">
        <f>IF(('Comparison Calculator'!$E$11-CD302)&gt;=0,$C$1*$CI$66/12,IFERROR(-IPMT($CI$66/12,(CC302-60),($F$1-5)*12,$CI$65,0),0))</f>
        <v>0</v>
      </c>
      <c r="CG302" s="497">
        <f t="shared" si="125"/>
        <v>0</v>
      </c>
      <c r="CH302" s="497">
        <f t="shared" si="138"/>
        <v>1800000</v>
      </c>
      <c r="CI302" s="493"/>
      <c r="CJ302" s="493"/>
      <c r="CL302" s="492">
        <v>298</v>
      </c>
      <c r="CM302" s="492">
        <v>25</v>
      </c>
      <c r="CN302" s="497">
        <f>IF(('Comparison Calculator'!$E$11-CM302)&gt;=0,0,IFERROR(-PPMT($CR$66/12,(CL302-60),($F$1-5)*12,$CR$65),0))</f>
        <v>0</v>
      </c>
      <c r="CO302" s="497">
        <f>IF(('Comparison Calculator'!$E$11-CM302)&gt;=0,$C$1*$CI$66/12,IFERROR(-IPMT($CI$66/12,(CL302-60),($F$1-5)*12,$CI$65,0),0))</f>
        <v>0</v>
      </c>
      <c r="CP302" s="497">
        <f t="shared" si="126"/>
        <v>0</v>
      </c>
      <c r="CQ302" s="497">
        <f t="shared" si="139"/>
        <v>1800000</v>
      </c>
      <c r="CR302" s="493"/>
      <c r="CS302" s="493"/>
      <c r="CU302" s="492">
        <v>298</v>
      </c>
      <c r="CV302" s="492">
        <v>25</v>
      </c>
      <c r="CW302" s="497">
        <f>IF(('Comparison Calculator'!$E$11-CV302)&gt;=0,0,IFERROR(-PPMT($DA$66/12,(CU302-60),($F$1-5)*12,$DA$65),0))</f>
        <v>0</v>
      </c>
      <c r="CX302" s="497">
        <f>IF(('Comparison Calculator'!$E$11-CV302)&gt;=0,$C$1*$DA$66/12,IFERROR(-IPMT($DA$66/12,(CU302-60),($F$1-5)*12,$DA$65,0),0))</f>
        <v>0</v>
      </c>
      <c r="CY302" s="497">
        <f t="shared" si="127"/>
        <v>0</v>
      </c>
      <c r="CZ302" s="497">
        <f t="shared" si="140"/>
        <v>1800000</v>
      </c>
      <c r="DA302" s="493"/>
      <c r="DB302" s="493"/>
      <c r="DD302" s="492">
        <v>298</v>
      </c>
      <c r="DE302" s="492">
        <v>25</v>
      </c>
      <c r="DF302" s="497">
        <f>IF(('Comparison Calculator'!$E$11-DE302)&gt;=0,0,IFERROR(-PPMT($DJ$66/12,(DD302-60),($F$1-5)*12,$DJ$65),0))</f>
        <v>0</v>
      </c>
      <c r="DG302" s="497">
        <f>IF(('Comparison Calculator'!$E$11-DE302)&gt;=0,$C$1*$DJ$66/12,IFERROR(-IPMT($DJ$66/12,(DD302-60),($F$1-5)*12,$DJ$65,0),0))</f>
        <v>0</v>
      </c>
      <c r="DH302" s="497">
        <f t="shared" si="128"/>
        <v>0</v>
      </c>
      <c r="DI302" s="497">
        <f t="shared" si="141"/>
        <v>1800000</v>
      </c>
      <c r="DJ302" s="493"/>
      <c r="DK302" s="493"/>
    </row>
    <row r="303" spans="1:115">
      <c r="A303" s="492">
        <v>299</v>
      </c>
      <c r="B303" s="492">
        <v>25</v>
      </c>
      <c r="C303" s="497">
        <f>IF(('Comparison Calculator'!$E$11-B303)&gt;=0,0,IFERROR(-PPMT($G$66/12,(A303-60),($F$1-5)*12,$G$65),0))</f>
        <v>0</v>
      </c>
      <c r="D303" s="497">
        <f>IF(('Comparison Calculator'!$E$11-B303)&gt;=0,$C$1*$G$66/12,IFERROR(-IPMT($G$66/12,(A303-60),($F$1-5)*12,$G$65,0),0))</f>
        <v>0</v>
      </c>
      <c r="E303" s="497">
        <f t="shared" si="116"/>
        <v>0</v>
      </c>
      <c r="F303" s="497">
        <f t="shared" si="129"/>
        <v>1800000</v>
      </c>
      <c r="G303" s="493"/>
      <c r="H303" s="493"/>
      <c r="I303" s="489"/>
      <c r="J303" s="492">
        <v>299</v>
      </c>
      <c r="K303" s="492">
        <v>25</v>
      </c>
      <c r="L303" s="497">
        <f>IF(('Comparison Calculator'!$E$11-K303)&gt;=0,0,IFERROR(-PPMT($P$66/12,(J303-60),($F$1-5)*12,$P$65),0))</f>
        <v>0</v>
      </c>
      <c r="M303" s="497">
        <f>IF(('Comparison Calculator'!$E$11-K303)&gt;=0,$C$1*$P$66/12,IFERROR(-IPMT($P$66/12,(J303-60),($F$1-5)*12,$P$65,0),0))</f>
        <v>0</v>
      </c>
      <c r="N303" s="497">
        <f t="shared" si="117"/>
        <v>0</v>
      </c>
      <c r="O303" s="497">
        <f t="shared" si="130"/>
        <v>1800000</v>
      </c>
      <c r="P303" s="493"/>
      <c r="Q303" s="493"/>
      <c r="S303" s="492">
        <v>299</v>
      </c>
      <c r="T303" s="492">
        <v>25</v>
      </c>
      <c r="U303" s="497">
        <f>IF(('Comparison Calculator'!$E$11-T303)&gt;=0,0,IFERROR(-PPMT($Y$66/12,(S303-60),($F$1-5)*12,$Y$65),0))</f>
        <v>0</v>
      </c>
      <c r="V303" s="497">
        <f>IF(('Comparison Calculator'!$E$11-T303)&gt;=0,$C$1*$Y$66/12,IFERROR(-IPMT($Y$66/12,(S303-60),($F$1-5)*12,$Y$65,0),0))</f>
        <v>0</v>
      </c>
      <c r="W303" s="497">
        <f t="shared" si="118"/>
        <v>0</v>
      </c>
      <c r="X303" s="497">
        <f t="shared" si="131"/>
        <v>1800000</v>
      </c>
      <c r="Y303" s="493"/>
      <c r="Z303" s="493"/>
      <c r="AB303" s="492">
        <v>299</v>
      </c>
      <c r="AC303" s="492">
        <v>25</v>
      </c>
      <c r="AD303" s="497">
        <f>IF(('Comparison Calculator'!$E$11-AC303)&gt;=0,0,IFERROR(-PPMT($AH$66/12,(AB303-60),($F$1-5)*12,$AH$65),0))</f>
        <v>0</v>
      </c>
      <c r="AE303" s="497">
        <f>IF(('Comparison Calculator'!$E$11-AC303)&gt;=0,$C$1*$AH$66/12,IFERROR(-IPMT($AH$66/12,(AB303-60),($F$1-5)*12,$AH$65,0),0))</f>
        <v>0</v>
      </c>
      <c r="AF303" s="497">
        <f t="shared" si="119"/>
        <v>0</v>
      </c>
      <c r="AG303" s="497">
        <f t="shared" si="132"/>
        <v>1800000</v>
      </c>
      <c r="AH303" s="493"/>
      <c r="AI303" s="493"/>
      <c r="AK303" s="492">
        <v>299</v>
      </c>
      <c r="AL303" s="492">
        <v>25</v>
      </c>
      <c r="AM303" s="497">
        <f>IF(('Comparison Calculator'!$E$11-AL303)&gt;=0,0,IFERROR(-PPMT($AQ$66/12,(AK303-60),($F$1-5)*12,$AQ$65),0))</f>
        <v>0</v>
      </c>
      <c r="AN303" s="497">
        <f>IF(('Comparison Calculator'!$E$11-AL303)&gt;=0,$C$1*$AQ$66/12,IFERROR(-IPMT($AQ$66/12,(AK303-60),($F$1-5)*12,$AQ$65,0),0))</f>
        <v>0</v>
      </c>
      <c r="AO303" s="497">
        <f t="shared" si="120"/>
        <v>0</v>
      </c>
      <c r="AP303" s="497">
        <f t="shared" si="133"/>
        <v>1800000</v>
      </c>
      <c r="AQ303" s="493"/>
      <c r="AR303" s="493"/>
      <c r="AT303" s="492">
        <v>299</v>
      </c>
      <c r="AU303" s="492">
        <v>25</v>
      </c>
      <c r="AV303" s="497">
        <f>IF(('Comparison Calculator'!$E$11-AU303)&gt;=0,0,IFERROR(-PPMT($AZ$66/12,(AT303-60),($F$1-5)*12,$AZ$65),0))</f>
        <v>0</v>
      </c>
      <c r="AW303" s="497">
        <f>IF(('Comparison Calculator'!$E$11-AU303)&gt;=0,$C$1*$AZ$66/12,IFERROR(-IPMT($AZ$66/12,(AT303-60),($F$1-5)*12,$AZ$65,0),0))</f>
        <v>0</v>
      </c>
      <c r="AX303" s="497">
        <f t="shared" si="121"/>
        <v>0</v>
      </c>
      <c r="AY303" s="497">
        <f t="shared" si="134"/>
        <v>1800000</v>
      </c>
      <c r="AZ303" s="493"/>
      <c r="BA303" s="493"/>
      <c r="BC303" s="492">
        <v>299</v>
      </c>
      <c r="BD303" s="492">
        <v>25</v>
      </c>
      <c r="BE303" s="497">
        <f>IF(('Comparison Calculator'!$E$11-BD303)&gt;=0,0,IFERROR(-PPMT($BI$66/12,(BC303-60),($F$1-5)*12,$BI$65),0))</f>
        <v>0</v>
      </c>
      <c r="BF303" s="497">
        <f>IF(('Comparison Calculator'!$E$11-BD303)&gt;=0,$C$1*$BI$66/12,IFERROR(-IPMT($BI$66/12,(BC303-60),($F$1-5)*12,$BI$65,0),0))</f>
        <v>0</v>
      </c>
      <c r="BG303" s="497">
        <f t="shared" si="122"/>
        <v>0</v>
      </c>
      <c r="BH303" s="497">
        <f t="shared" si="135"/>
        <v>1800000</v>
      </c>
      <c r="BI303" s="493"/>
      <c r="BJ303" s="493"/>
      <c r="BK303" s="492">
        <v>299</v>
      </c>
      <c r="BL303" s="492">
        <v>25</v>
      </c>
      <c r="BM303" s="497">
        <f>IF(('Comparison Calculator'!$E$11-BL303)&gt;=0,0,IFERROR(-PPMT($BQ$66/12,(BK303-60),($F$1-5)*12,$BQ$65),0))</f>
        <v>0</v>
      </c>
      <c r="BN303" s="497">
        <f>IF(('Comparison Calculator'!$E$11-BL303)&gt;=0,$C$1*$BQ$66/12,IFERROR(-IPMT($BQ$66/12,(BK303-60),($F$1-5)*12,$BQ$65,0),0))</f>
        <v>0</v>
      </c>
      <c r="BO303" s="497">
        <f t="shared" si="123"/>
        <v>0</v>
      </c>
      <c r="BP303" s="497">
        <f t="shared" si="136"/>
        <v>1800000</v>
      </c>
      <c r="BQ303" s="493"/>
      <c r="BR303" s="493"/>
      <c r="BT303" s="492">
        <v>299</v>
      </c>
      <c r="BU303" s="492">
        <v>25</v>
      </c>
      <c r="BV303" s="497">
        <f>IF(('Comparison Calculator'!$E$11-BU303)&gt;=0,0,IFERROR(-PPMT($BZ$66/12,(BT303-60),($F$1-5)*12,$BZ$65),0))</f>
        <v>0</v>
      </c>
      <c r="BW303" s="497">
        <f>IF(('Comparison Calculator'!$E$11-BU303)&gt;=0,$C$1*$BZ$66/12,IFERROR(-IPMT($BZ$66/12,(BT303-60),($F$1-5)*12,$BZ$65,0),0))</f>
        <v>0</v>
      </c>
      <c r="BX303" s="497">
        <f t="shared" si="124"/>
        <v>0</v>
      </c>
      <c r="BY303" s="497">
        <f t="shared" si="137"/>
        <v>1800000</v>
      </c>
      <c r="BZ303" s="493"/>
      <c r="CA303" s="493"/>
      <c r="CC303" s="492">
        <v>299</v>
      </c>
      <c r="CD303" s="492">
        <v>25</v>
      </c>
      <c r="CE303" s="497">
        <f>IF(('Comparison Calculator'!$E$11-CD303)&gt;=0,0,IFERROR(-PPMT($CI$66/12,(CC303-60),($F$1-5)*12,$CI$65),0))</f>
        <v>0</v>
      </c>
      <c r="CF303" s="497">
        <f>IF(('Comparison Calculator'!$E$11-CD303)&gt;=0,$C$1*$CI$66/12,IFERROR(-IPMT($CI$66/12,(CC303-60),($F$1-5)*12,$CI$65,0),0))</f>
        <v>0</v>
      </c>
      <c r="CG303" s="497">
        <f t="shared" si="125"/>
        <v>0</v>
      </c>
      <c r="CH303" s="497">
        <f t="shared" si="138"/>
        <v>1800000</v>
      </c>
      <c r="CI303" s="493"/>
      <c r="CJ303" s="493"/>
      <c r="CL303" s="492">
        <v>299</v>
      </c>
      <c r="CM303" s="492">
        <v>25</v>
      </c>
      <c r="CN303" s="497">
        <f>IF(('Comparison Calculator'!$E$11-CM303)&gt;=0,0,IFERROR(-PPMT($CR$66/12,(CL303-60),($F$1-5)*12,$CR$65),0))</f>
        <v>0</v>
      </c>
      <c r="CO303" s="497">
        <f>IF(('Comparison Calculator'!$E$11-CM303)&gt;=0,$C$1*$CI$66/12,IFERROR(-IPMT($CI$66/12,(CL303-60),($F$1-5)*12,$CI$65,0),0))</f>
        <v>0</v>
      </c>
      <c r="CP303" s="497">
        <f t="shared" si="126"/>
        <v>0</v>
      </c>
      <c r="CQ303" s="497">
        <f t="shared" si="139"/>
        <v>1800000</v>
      </c>
      <c r="CR303" s="493"/>
      <c r="CS303" s="493"/>
      <c r="CU303" s="492">
        <v>299</v>
      </c>
      <c r="CV303" s="492">
        <v>25</v>
      </c>
      <c r="CW303" s="497">
        <f>IF(('Comparison Calculator'!$E$11-CV303)&gt;=0,0,IFERROR(-PPMT($DA$66/12,(CU303-60),($F$1-5)*12,$DA$65),0))</f>
        <v>0</v>
      </c>
      <c r="CX303" s="497">
        <f>IF(('Comparison Calculator'!$E$11-CV303)&gt;=0,$C$1*$DA$66/12,IFERROR(-IPMT($DA$66/12,(CU303-60),($F$1-5)*12,$DA$65,0),0))</f>
        <v>0</v>
      </c>
      <c r="CY303" s="497">
        <f t="shared" si="127"/>
        <v>0</v>
      </c>
      <c r="CZ303" s="497">
        <f t="shared" si="140"/>
        <v>1800000</v>
      </c>
      <c r="DA303" s="493"/>
      <c r="DB303" s="493"/>
      <c r="DD303" s="492">
        <v>299</v>
      </c>
      <c r="DE303" s="492">
        <v>25</v>
      </c>
      <c r="DF303" s="497">
        <f>IF(('Comparison Calculator'!$E$11-DE303)&gt;=0,0,IFERROR(-PPMT($DJ$66/12,(DD303-60),($F$1-5)*12,$DJ$65),0))</f>
        <v>0</v>
      </c>
      <c r="DG303" s="497">
        <f>IF(('Comparison Calculator'!$E$11-DE303)&gt;=0,$C$1*$DJ$66/12,IFERROR(-IPMT($DJ$66/12,(DD303-60),($F$1-5)*12,$DJ$65,0),0))</f>
        <v>0</v>
      </c>
      <c r="DH303" s="497">
        <f t="shared" si="128"/>
        <v>0</v>
      </c>
      <c r="DI303" s="497">
        <f t="shared" si="141"/>
        <v>1800000</v>
      </c>
      <c r="DJ303" s="493"/>
      <c r="DK303" s="493"/>
    </row>
    <row r="304" spans="1:115">
      <c r="A304" s="492">
        <v>300</v>
      </c>
      <c r="B304" s="492">
        <v>25</v>
      </c>
      <c r="C304" s="497">
        <f>IF(('Comparison Calculator'!$E$11-B304)&gt;=0,0,IFERROR(-PPMT($G$66/12,(A304-60),($F$1-5)*12,$G$65),0))</f>
        <v>0</v>
      </c>
      <c r="D304" s="497">
        <f>IF(('Comparison Calculator'!$E$11-B304)&gt;=0,$C$1*$G$66/12,IFERROR(-IPMT($G$66/12,(A304-60),($F$1-5)*12,$G$65,0),0))</f>
        <v>0</v>
      </c>
      <c r="E304" s="497">
        <f t="shared" si="116"/>
        <v>0</v>
      </c>
      <c r="F304" s="497">
        <f t="shared" si="129"/>
        <v>1800000</v>
      </c>
      <c r="G304" s="493"/>
      <c r="H304" s="493"/>
      <c r="I304" s="489"/>
      <c r="J304" s="492">
        <v>300</v>
      </c>
      <c r="K304" s="492">
        <v>25</v>
      </c>
      <c r="L304" s="497">
        <f>IF(('Comparison Calculator'!$E$11-K304)&gt;=0,0,IFERROR(-PPMT($P$66/12,(J304-60),($F$1-5)*12,$P$65),0))</f>
        <v>0</v>
      </c>
      <c r="M304" s="497">
        <f>IF(('Comparison Calculator'!$E$11-K304)&gt;=0,$C$1*$P$66/12,IFERROR(-IPMT($P$66/12,(J304-60),($F$1-5)*12,$P$65,0),0))</f>
        <v>0</v>
      </c>
      <c r="N304" s="497">
        <f t="shared" si="117"/>
        <v>0</v>
      </c>
      <c r="O304" s="497">
        <f t="shared" si="130"/>
        <v>1800000</v>
      </c>
      <c r="P304" s="493"/>
      <c r="Q304" s="493"/>
      <c r="S304" s="492">
        <v>300</v>
      </c>
      <c r="T304" s="492">
        <v>25</v>
      </c>
      <c r="U304" s="497">
        <f>IF(('Comparison Calculator'!$E$11-T304)&gt;=0,0,IFERROR(-PPMT($Y$66/12,(S304-60),($F$1-5)*12,$Y$65),0))</f>
        <v>0</v>
      </c>
      <c r="V304" s="497">
        <f>IF(('Comparison Calculator'!$E$11-T304)&gt;=0,$C$1*$Y$66/12,IFERROR(-IPMT($Y$66/12,(S304-60),($F$1-5)*12,$Y$65,0),0))</f>
        <v>0</v>
      </c>
      <c r="W304" s="497">
        <f t="shared" si="118"/>
        <v>0</v>
      </c>
      <c r="X304" s="497">
        <f t="shared" si="131"/>
        <v>1800000</v>
      </c>
      <c r="Y304" s="493"/>
      <c r="Z304" s="493"/>
      <c r="AB304" s="492">
        <v>300</v>
      </c>
      <c r="AC304" s="492">
        <v>25</v>
      </c>
      <c r="AD304" s="497">
        <f>IF(('Comparison Calculator'!$E$11-AC304)&gt;=0,0,IFERROR(-PPMT($AH$66/12,(AB304-60),($F$1-5)*12,$AH$65),0))</f>
        <v>0</v>
      </c>
      <c r="AE304" s="497">
        <f>IF(('Comparison Calculator'!$E$11-AC304)&gt;=0,$C$1*$AH$66/12,IFERROR(-IPMT($AH$66/12,(AB304-60),($F$1-5)*12,$AH$65,0),0))</f>
        <v>0</v>
      </c>
      <c r="AF304" s="497">
        <f t="shared" si="119"/>
        <v>0</v>
      </c>
      <c r="AG304" s="497">
        <f t="shared" si="132"/>
        <v>1800000</v>
      </c>
      <c r="AH304" s="493"/>
      <c r="AI304" s="493"/>
      <c r="AK304" s="492">
        <v>300</v>
      </c>
      <c r="AL304" s="492">
        <v>25</v>
      </c>
      <c r="AM304" s="497">
        <f>IF(('Comparison Calculator'!$E$11-AL304)&gt;=0,0,IFERROR(-PPMT($AQ$66/12,(AK304-60),($F$1-5)*12,$AQ$65),0))</f>
        <v>0</v>
      </c>
      <c r="AN304" s="497">
        <f>IF(('Comparison Calculator'!$E$11-AL304)&gt;=0,$C$1*$AQ$66/12,IFERROR(-IPMT($AQ$66/12,(AK304-60),($F$1-5)*12,$AQ$65,0),0))</f>
        <v>0</v>
      </c>
      <c r="AO304" s="497">
        <f t="shared" si="120"/>
        <v>0</v>
      </c>
      <c r="AP304" s="497">
        <f t="shared" si="133"/>
        <v>1800000</v>
      </c>
      <c r="AQ304" s="493"/>
      <c r="AR304" s="493"/>
      <c r="AT304" s="492">
        <v>300</v>
      </c>
      <c r="AU304" s="492">
        <v>25</v>
      </c>
      <c r="AV304" s="497">
        <f>IF(('Comparison Calculator'!$E$11-AU304)&gt;=0,0,IFERROR(-PPMT($AZ$66/12,(AT304-60),($F$1-5)*12,$AZ$65),0))</f>
        <v>0</v>
      </c>
      <c r="AW304" s="497">
        <f>IF(('Comparison Calculator'!$E$11-AU304)&gt;=0,$C$1*$AZ$66/12,IFERROR(-IPMT($AZ$66/12,(AT304-60),($F$1-5)*12,$AZ$65,0),0))</f>
        <v>0</v>
      </c>
      <c r="AX304" s="497">
        <f t="shared" si="121"/>
        <v>0</v>
      </c>
      <c r="AY304" s="497">
        <f t="shared" si="134"/>
        <v>1800000</v>
      </c>
      <c r="AZ304" s="493"/>
      <c r="BA304" s="493"/>
      <c r="BC304" s="492">
        <v>300</v>
      </c>
      <c r="BD304" s="492">
        <v>25</v>
      </c>
      <c r="BE304" s="497">
        <f>IF(('Comparison Calculator'!$E$11-BD304)&gt;=0,0,IFERROR(-PPMT($BI$66/12,(BC304-60),($F$1-5)*12,$BI$65),0))</f>
        <v>0</v>
      </c>
      <c r="BF304" s="497">
        <f>IF(('Comparison Calculator'!$E$11-BD304)&gt;=0,$C$1*$BI$66/12,IFERROR(-IPMT($BI$66/12,(BC304-60),($F$1-5)*12,$BI$65,0),0))</f>
        <v>0</v>
      </c>
      <c r="BG304" s="497">
        <f t="shared" si="122"/>
        <v>0</v>
      </c>
      <c r="BH304" s="497">
        <f t="shared" si="135"/>
        <v>1800000</v>
      </c>
      <c r="BI304" s="493"/>
      <c r="BJ304" s="493"/>
      <c r="BK304" s="492">
        <v>300</v>
      </c>
      <c r="BL304" s="492">
        <v>25</v>
      </c>
      <c r="BM304" s="497">
        <f>IF(('Comparison Calculator'!$E$11-BL304)&gt;=0,0,IFERROR(-PPMT($BQ$66/12,(BK304-60),($F$1-5)*12,$BQ$65),0))</f>
        <v>0</v>
      </c>
      <c r="BN304" s="497">
        <f>IF(('Comparison Calculator'!$E$11-BL304)&gt;=0,$C$1*$BQ$66/12,IFERROR(-IPMT($BQ$66/12,(BK304-60),($F$1-5)*12,$BQ$65,0),0))</f>
        <v>0</v>
      </c>
      <c r="BO304" s="497">
        <f t="shared" si="123"/>
        <v>0</v>
      </c>
      <c r="BP304" s="497">
        <f t="shared" si="136"/>
        <v>1800000</v>
      </c>
      <c r="BQ304" s="493"/>
      <c r="BR304" s="493"/>
      <c r="BT304" s="492">
        <v>300</v>
      </c>
      <c r="BU304" s="492">
        <v>25</v>
      </c>
      <c r="BV304" s="497">
        <f>IF(('Comparison Calculator'!$E$11-BU304)&gt;=0,0,IFERROR(-PPMT($BZ$66/12,(BT304-60),($F$1-5)*12,$BZ$65),0))</f>
        <v>0</v>
      </c>
      <c r="BW304" s="497">
        <f>IF(('Comparison Calculator'!$E$11-BU304)&gt;=0,$C$1*$BZ$66/12,IFERROR(-IPMT($BZ$66/12,(BT304-60),($F$1-5)*12,$BZ$65,0),0))</f>
        <v>0</v>
      </c>
      <c r="BX304" s="497">
        <f t="shared" si="124"/>
        <v>0</v>
      </c>
      <c r="BY304" s="497">
        <f t="shared" si="137"/>
        <v>1800000</v>
      </c>
      <c r="BZ304" s="493"/>
      <c r="CA304" s="493"/>
      <c r="CC304" s="492">
        <v>300</v>
      </c>
      <c r="CD304" s="492">
        <v>25</v>
      </c>
      <c r="CE304" s="497">
        <f>IF(('Comparison Calculator'!$E$11-CD304)&gt;=0,0,IFERROR(-PPMT($CI$66/12,(CC304-60),($F$1-5)*12,$CI$65),0))</f>
        <v>0</v>
      </c>
      <c r="CF304" s="497">
        <f>IF(('Comparison Calculator'!$E$11-CD304)&gt;=0,$C$1*$CI$66/12,IFERROR(-IPMT($CI$66/12,(CC304-60),($F$1-5)*12,$CI$65,0),0))</f>
        <v>0</v>
      </c>
      <c r="CG304" s="497">
        <f t="shared" si="125"/>
        <v>0</v>
      </c>
      <c r="CH304" s="497">
        <f t="shared" si="138"/>
        <v>1800000</v>
      </c>
      <c r="CI304" s="493"/>
      <c r="CJ304" s="493"/>
      <c r="CL304" s="492">
        <v>300</v>
      </c>
      <c r="CM304" s="492">
        <v>25</v>
      </c>
      <c r="CN304" s="497">
        <f>IF(('Comparison Calculator'!$E$11-CM304)&gt;=0,0,IFERROR(-PPMT($CR$66/12,(CL304-60),($F$1-5)*12,$CR$65),0))</f>
        <v>0</v>
      </c>
      <c r="CO304" s="497">
        <f>IF(('Comparison Calculator'!$E$11-CM304)&gt;=0,$C$1*$CI$66/12,IFERROR(-IPMT($CI$66/12,(CL304-60),($F$1-5)*12,$CI$65,0),0))</f>
        <v>0</v>
      </c>
      <c r="CP304" s="497">
        <f t="shared" si="126"/>
        <v>0</v>
      </c>
      <c r="CQ304" s="497">
        <f t="shared" si="139"/>
        <v>1800000</v>
      </c>
      <c r="CR304" s="493"/>
      <c r="CS304" s="493"/>
      <c r="CU304" s="492">
        <v>300</v>
      </c>
      <c r="CV304" s="492">
        <v>25</v>
      </c>
      <c r="CW304" s="497">
        <f>IF(('Comparison Calculator'!$E$11-CV304)&gt;=0,0,IFERROR(-PPMT($DA$66/12,(CU304-60),($F$1-5)*12,$DA$65),0))</f>
        <v>0</v>
      </c>
      <c r="CX304" s="497">
        <f>IF(('Comparison Calculator'!$E$11-CV304)&gt;=0,$C$1*$DA$66/12,IFERROR(-IPMT($DA$66/12,(CU304-60),($F$1-5)*12,$DA$65,0),0))</f>
        <v>0</v>
      </c>
      <c r="CY304" s="497">
        <f t="shared" si="127"/>
        <v>0</v>
      </c>
      <c r="CZ304" s="497">
        <f t="shared" si="140"/>
        <v>1800000</v>
      </c>
      <c r="DA304" s="493"/>
      <c r="DB304" s="493"/>
      <c r="DD304" s="492">
        <v>300</v>
      </c>
      <c r="DE304" s="492">
        <v>25</v>
      </c>
      <c r="DF304" s="497">
        <f>IF(('Comparison Calculator'!$E$11-DE304)&gt;=0,0,IFERROR(-PPMT($DJ$66/12,(DD304-60),($F$1-5)*12,$DJ$65),0))</f>
        <v>0</v>
      </c>
      <c r="DG304" s="497">
        <f>IF(('Comparison Calculator'!$E$11-DE304)&gt;=0,$C$1*$DJ$66/12,IFERROR(-IPMT($DJ$66/12,(DD304-60),($F$1-5)*12,$DJ$65,0),0))</f>
        <v>0</v>
      </c>
      <c r="DH304" s="497">
        <f t="shared" si="128"/>
        <v>0</v>
      </c>
      <c r="DI304" s="497">
        <f t="shared" si="141"/>
        <v>1800000</v>
      </c>
      <c r="DJ304" s="493"/>
      <c r="DK304" s="493"/>
    </row>
    <row r="305" spans="1:115">
      <c r="A305" s="492">
        <v>301</v>
      </c>
      <c r="B305" s="492">
        <v>26</v>
      </c>
      <c r="C305" s="497">
        <f>IF(('Comparison Calculator'!$E$11-B305)&gt;=0,0,IFERROR(-PPMT($G$66/12,(A305-60),($F$1-5)*12,$G$65),0))</f>
        <v>0</v>
      </c>
      <c r="D305" s="497">
        <f>IF(('Comparison Calculator'!$E$11-B305)&gt;=0,$C$1*$G$66/12,IFERROR(-IPMT($G$66/12,(A305-60),($F$1-5)*12,$G$65,0),0))</f>
        <v>0</v>
      </c>
      <c r="E305" s="497">
        <f t="shared" si="116"/>
        <v>0</v>
      </c>
      <c r="F305" s="497">
        <f t="shared" si="129"/>
        <v>1800000</v>
      </c>
      <c r="G305" s="493"/>
      <c r="H305" s="493"/>
      <c r="I305" s="489"/>
      <c r="J305" s="492">
        <v>301</v>
      </c>
      <c r="K305" s="492">
        <v>26</v>
      </c>
      <c r="L305" s="497">
        <f>IF(('Comparison Calculator'!$E$11-K305)&gt;=0,0,IFERROR(-PPMT($P$66/12,(J305-60),($F$1-5)*12,$P$65),0))</f>
        <v>0</v>
      </c>
      <c r="M305" s="497">
        <f>IF(('Comparison Calculator'!$E$11-K305)&gt;=0,$C$1*$P$66/12,IFERROR(-IPMT($P$66/12,(J305-60),($F$1-5)*12,$P$65,0),0))</f>
        <v>0</v>
      </c>
      <c r="N305" s="497">
        <f t="shared" si="117"/>
        <v>0</v>
      </c>
      <c r="O305" s="497">
        <f t="shared" si="130"/>
        <v>1800000</v>
      </c>
      <c r="P305" s="493"/>
      <c r="Q305" s="493"/>
      <c r="S305" s="492">
        <v>301</v>
      </c>
      <c r="T305" s="492">
        <v>26</v>
      </c>
      <c r="U305" s="497">
        <f>IF(('Comparison Calculator'!$E$11-T305)&gt;=0,0,IFERROR(-PPMT($Y$66/12,(S305-60),($F$1-5)*12,$Y$65),0))</f>
        <v>0</v>
      </c>
      <c r="V305" s="497">
        <f>IF(('Comparison Calculator'!$E$11-T305)&gt;=0,$C$1*$Y$66/12,IFERROR(-IPMT($Y$66/12,(S305-60),($F$1-5)*12,$Y$65,0),0))</f>
        <v>0</v>
      </c>
      <c r="W305" s="497">
        <f t="shared" si="118"/>
        <v>0</v>
      </c>
      <c r="X305" s="497">
        <f t="shared" si="131"/>
        <v>1800000</v>
      </c>
      <c r="Y305" s="493"/>
      <c r="Z305" s="493"/>
      <c r="AB305" s="492">
        <v>301</v>
      </c>
      <c r="AC305" s="492">
        <v>26</v>
      </c>
      <c r="AD305" s="497">
        <f>IF(('Comparison Calculator'!$E$11-AC305)&gt;=0,0,IFERROR(-PPMT($AH$66/12,(AB305-60),($F$1-5)*12,$AH$65),0))</f>
        <v>0</v>
      </c>
      <c r="AE305" s="497">
        <f>IF(('Comparison Calculator'!$E$11-AC305)&gt;=0,$C$1*$AH$66/12,IFERROR(-IPMT($AH$66/12,(AB305-60),($F$1-5)*12,$AH$65,0),0))</f>
        <v>0</v>
      </c>
      <c r="AF305" s="497">
        <f t="shared" si="119"/>
        <v>0</v>
      </c>
      <c r="AG305" s="497">
        <f t="shared" si="132"/>
        <v>1800000</v>
      </c>
      <c r="AH305" s="493"/>
      <c r="AI305" s="493"/>
      <c r="AK305" s="492">
        <v>301</v>
      </c>
      <c r="AL305" s="492">
        <v>26</v>
      </c>
      <c r="AM305" s="497">
        <f>IF(('Comparison Calculator'!$E$11-AL305)&gt;=0,0,IFERROR(-PPMT($AQ$66/12,(AK305-60),($F$1-5)*12,$AQ$65),0))</f>
        <v>0</v>
      </c>
      <c r="AN305" s="497">
        <f>IF(('Comparison Calculator'!$E$11-AL305)&gt;=0,$C$1*$AQ$66/12,IFERROR(-IPMT($AQ$66/12,(AK305-60),($F$1-5)*12,$AQ$65,0),0))</f>
        <v>0</v>
      </c>
      <c r="AO305" s="497">
        <f t="shared" si="120"/>
        <v>0</v>
      </c>
      <c r="AP305" s="497">
        <f t="shared" si="133"/>
        <v>1800000</v>
      </c>
      <c r="AQ305" s="493"/>
      <c r="AR305" s="493"/>
      <c r="AT305" s="492">
        <v>301</v>
      </c>
      <c r="AU305" s="492">
        <v>26</v>
      </c>
      <c r="AV305" s="497">
        <f>IF(('Comparison Calculator'!$E$11-AU305)&gt;=0,0,IFERROR(-PPMT($AZ$66/12,(AT305-60),($F$1-5)*12,$AZ$65),0))</f>
        <v>0</v>
      </c>
      <c r="AW305" s="497">
        <f>IF(('Comparison Calculator'!$E$11-AU305)&gt;=0,$C$1*$AZ$66/12,IFERROR(-IPMT($AZ$66/12,(AT305-60),($F$1-5)*12,$AZ$65,0),0))</f>
        <v>0</v>
      </c>
      <c r="AX305" s="497">
        <f t="shared" si="121"/>
        <v>0</v>
      </c>
      <c r="AY305" s="497">
        <f t="shared" si="134"/>
        <v>1800000</v>
      </c>
      <c r="AZ305" s="493"/>
      <c r="BA305" s="493"/>
      <c r="BC305" s="492">
        <v>301</v>
      </c>
      <c r="BD305" s="492">
        <v>26</v>
      </c>
      <c r="BE305" s="497">
        <f>IF(('Comparison Calculator'!$E$11-BD305)&gt;=0,0,IFERROR(-PPMT($BI$66/12,(BC305-60),($F$1-5)*12,$BI$65),0))</f>
        <v>0</v>
      </c>
      <c r="BF305" s="497">
        <f>IF(('Comparison Calculator'!$E$11-BD305)&gt;=0,$C$1*$BI$66/12,IFERROR(-IPMT($BI$66/12,(BC305-60),($F$1-5)*12,$BI$65,0),0))</f>
        <v>0</v>
      </c>
      <c r="BG305" s="497">
        <f t="shared" si="122"/>
        <v>0</v>
      </c>
      <c r="BH305" s="497">
        <f t="shared" si="135"/>
        <v>1800000</v>
      </c>
      <c r="BI305" s="493"/>
      <c r="BJ305" s="493"/>
      <c r="BK305" s="492">
        <v>301</v>
      </c>
      <c r="BL305" s="492">
        <v>26</v>
      </c>
      <c r="BM305" s="497">
        <f>IF(('Comparison Calculator'!$E$11-BL305)&gt;=0,0,IFERROR(-PPMT($BQ$66/12,(BK305-60),($F$1-5)*12,$BQ$65),0))</f>
        <v>0</v>
      </c>
      <c r="BN305" s="497">
        <f>IF(('Comparison Calculator'!$E$11-BL305)&gt;=0,$C$1*$BQ$66/12,IFERROR(-IPMT($BQ$66/12,(BK305-60),($F$1-5)*12,$BQ$65,0),0))</f>
        <v>0</v>
      </c>
      <c r="BO305" s="497">
        <f t="shared" si="123"/>
        <v>0</v>
      </c>
      <c r="BP305" s="497">
        <f t="shared" si="136"/>
        <v>1800000</v>
      </c>
      <c r="BQ305" s="493"/>
      <c r="BR305" s="493"/>
      <c r="BT305" s="492">
        <v>301</v>
      </c>
      <c r="BU305" s="492">
        <v>26</v>
      </c>
      <c r="BV305" s="497">
        <f>IF(('Comparison Calculator'!$E$11-BU305)&gt;=0,0,IFERROR(-PPMT($BZ$66/12,(BT305-60),($F$1-5)*12,$BZ$65),0))</f>
        <v>0</v>
      </c>
      <c r="BW305" s="497">
        <f>IF(('Comparison Calculator'!$E$11-BU305)&gt;=0,$C$1*$BZ$66/12,IFERROR(-IPMT($BZ$66/12,(BT305-60),($F$1-5)*12,$BZ$65,0),0))</f>
        <v>0</v>
      </c>
      <c r="BX305" s="497">
        <f t="shared" si="124"/>
        <v>0</v>
      </c>
      <c r="BY305" s="497">
        <f t="shared" si="137"/>
        <v>1800000</v>
      </c>
      <c r="BZ305" s="493"/>
      <c r="CA305" s="493"/>
      <c r="CC305" s="492">
        <v>301</v>
      </c>
      <c r="CD305" s="492">
        <v>26</v>
      </c>
      <c r="CE305" s="497">
        <f>IF(('Comparison Calculator'!$E$11-CD305)&gt;=0,0,IFERROR(-PPMT($CI$66/12,(CC305-60),($F$1-5)*12,$CI$65),0))</f>
        <v>0</v>
      </c>
      <c r="CF305" s="497">
        <f>IF(('Comparison Calculator'!$E$11-CD305)&gt;=0,$C$1*$CI$66/12,IFERROR(-IPMT($CI$66/12,(CC305-60),($F$1-5)*12,$CI$65,0),0))</f>
        <v>0</v>
      </c>
      <c r="CG305" s="497">
        <f t="shared" si="125"/>
        <v>0</v>
      </c>
      <c r="CH305" s="497">
        <f t="shared" si="138"/>
        <v>1800000</v>
      </c>
      <c r="CI305" s="493"/>
      <c r="CJ305" s="493"/>
      <c r="CL305" s="492">
        <v>301</v>
      </c>
      <c r="CM305" s="492">
        <v>26</v>
      </c>
      <c r="CN305" s="497">
        <f>IF(('Comparison Calculator'!$E$11-CM305)&gt;=0,0,IFERROR(-PPMT($CR$66/12,(CL305-60),($F$1-5)*12,$CR$65),0))</f>
        <v>0</v>
      </c>
      <c r="CO305" s="497">
        <f>IF(('Comparison Calculator'!$E$11-CM305)&gt;=0,$C$1*$CI$66/12,IFERROR(-IPMT($CI$66/12,(CL305-60),($F$1-5)*12,$CI$65,0),0))</f>
        <v>0</v>
      </c>
      <c r="CP305" s="497">
        <f t="shared" si="126"/>
        <v>0</v>
      </c>
      <c r="CQ305" s="497">
        <f t="shared" si="139"/>
        <v>1800000</v>
      </c>
      <c r="CR305" s="493"/>
      <c r="CS305" s="493"/>
      <c r="CU305" s="492">
        <v>301</v>
      </c>
      <c r="CV305" s="492">
        <v>26</v>
      </c>
      <c r="CW305" s="497">
        <f>IF(('Comparison Calculator'!$E$11-CV305)&gt;=0,0,IFERROR(-PPMT($DA$66/12,(CU305-60),($F$1-5)*12,$DA$65),0))</f>
        <v>0</v>
      </c>
      <c r="CX305" s="497">
        <f>IF(('Comparison Calculator'!$E$11-CV305)&gt;=0,$C$1*$DA$66/12,IFERROR(-IPMT($DA$66/12,(CU305-60),($F$1-5)*12,$DA$65,0),0))</f>
        <v>0</v>
      </c>
      <c r="CY305" s="497">
        <f t="shared" si="127"/>
        <v>0</v>
      </c>
      <c r="CZ305" s="497">
        <f t="shared" si="140"/>
        <v>1800000</v>
      </c>
      <c r="DA305" s="493"/>
      <c r="DB305" s="493"/>
      <c r="DD305" s="492">
        <v>301</v>
      </c>
      <c r="DE305" s="492">
        <v>26</v>
      </c>
      <c r="DF305" s="497">
        <f>IF(('Comparison Calculator'!$E$11-DE305)&gt;=0,0,IFERROR(-PPMT($DJ$66/12,(DD305-60),($F$1-5)*12,$DJ$65),0))</f>
        <v>0</v>
      </c>
      <c r="DG305" s="497">
        <f>IF(('Comparison Calculator'!$E$11-DE305)&gt;=0,$C$1*$DJ$66/12,IFERROR(-IPMT($DJ$66/12,(DD305-60),($F$1-5)*12,$DJ$65,0),0))</f>
        <v>0</v>
      </c>
      <c r="DH305" s="497">
        <f t="shared" si="128"/>
        <v>0</v>
      </c>
      <c r="DI305" s="497">
        <f t="shared" si="141"/>
        <v>1800000</v>
      </c>
      <c r="DJ305" s="493"/>
      <c r="DK305" s="493"/>
    </row>
    <row r="306" spans="1:115">
      <c r="A306" s="492">
        <v>302</v>
      </c>
      <c r="B306" s="492">
        <v>26</v>
      </c>
      <c r="C306" s="497">
        <f>IF(('Comparison Calculator'!$E$11-B306)&gt;=0,0,IFERROR(-PPMT($G$66/12,(A306-60),($F$1-5)*12,$G$65),0))</f>
        <v>0</v>
      </c>
      <c r="D306" s="497">
        <f>IF(('Comparison Calculator'!$E$11-B306)&gt;=0,$C$1*$G$66/12,IFERROR(-IPMT($G$66/12,(A306-60),($F$1-5)*12,$G$65,0),0))</f>
        <v>0</v>
      </c>
      <c r="E306" s="497">
        <f t="shared" si="116"/>
        <v>0</v>
      </c>
      <c r="F306" s="497">
        <f t="shared" si="129"/>
        <v>1800000</v>
      </c>
      <c r="G306" s="493"/>
      <c r="H306" s="493"/>
      <c r="I306" s="489"/>
      <c r="J306" s="492">
        <v>302</v>
      </c>
      <c r="K306" s="492">
        <v>26</v>
      </c>
      <c r="L306" s="497">
        <f>IF(('Comparison Calculator'!$E$11-K306)&gt;=0,0,IFERROR(-PPMT($P$66/12,(J306-60),($F$1-5)*12,$P$65),0))</f>
        <v>0</v>
      </c>
      <c r="M306" s="497">
        <f>IF(('Comparison Calculator'!$E$11-K306)&gt;=0,$C$1*$P$66/12,IFERROR(-IPMT($P$66/12,(J306-60),($F$1-5)*12,$P$65,0),0))</f>
        <v>0</v>
      </c>
      <c r="N306" s="497">
        <f t="shared" si="117"/>
        <v>0</v>
      </c>
      <c r="O306" s="497">
        <f t="shared" si="130"/>
        <v>1800000</v>
      </c>
      <c r="P306" s="493"/>
      <c r="Q306" s="493"/>
      <c r="S306" s="492">
        <v>302</v>
      </c>
      <c r="T306" s="492">
        <v>26</v>
      </c>
      <c r="U306" s="497">
        <f>IF(('Comparison Calculator'!$E$11-T306)&gt;=0,0,IFERROR(-PPMT($Y$66/12,(S306-60),($F$1-5)*12,$Y$65),0))</f>
        <v>0</v>
      </c>
      <c r="V306" s="497">
        <f>IF(('Comparison Calculator'!$E$11-T306)&gt;=0,$C$1*$Y$66/12,IFERROR(-IPMT($Y$66/12,(S306-60),($F$1-5)*12,$Y$65,0),0))</f>
        <v>0</v>
      </c>
      <c r="W306" s="497">
        <f t="shared" si="118"/>
        <v>0</v>
      </c>
      <c r="X306" s="497">
        <f t="shared" si="131"/>
        <v>1800000</v>
      </c>
      <c r="Y306" s="493"/>
      <c r="Z306" s="493"/>
      <c r="AB306" s="492">
        <v>302</v>
      </c>
      <c r="AC306" s="492">
        <v>26</v>
      </c>
      <c r="AD306" s="497">
        <f>IF(('Comparison Calculator'!$E$11-AC306)&gt;=0,0,IFERROR(-PPMT($AH$66/12,(AB306-60),($F$1-5)*12,$AH$65),0))</f>
        <v>0</v>
      </c>
      <c r="AE306" s="497">
        <f>IF(('Comparison Calculator'!$E$11-AC306)&gt;=0,$C$1*$AH$66/12,IFERROR(-IPMT($AH$66/12,(AB306-60),($F$1-5)*12,$AH$65,0),0))</f>
        <v>0</v>
      </c>
      <c r="AF306" s="497">
        <f t="shared" si="119"/>
        <v>0</v>
      </c>
      <c r="AG306" s="497">
        <f t="shared" si="132"/>
        <v>1800000</v>
      </c>
      <c r="AH306" s="493"/>
      <c r="AI306" s="493"/>
      <c r="AK306" s="492">
        <v>302</v>
      </c>
      <c r="AL306" s="492">
        <v>26</v>
      </c>
      <c r="AM306" s="497">
        <f>IF(('Comparison Calculator'!$E$11-AL306)&gt;=0,0,IFERROR(-PPMT($AQ$66/12,(AK306-60),($F$1-5)*12,$AQ$65),0))</f>
        <v>0</v>
      </c>
      <c r="AN306" s="497">
        <f>IF(('Comparison Calculator'!$E$11-AL306)&gt;=0,$C$1*$AQ$66/12,IFERROR(-IPMT($AQ$66/12,(AK306-60),($F$1-5)*12,$AQ$65,0),0))</f>
        <v>0</v>
      </c>
      <c r="AO306" s="497">
        <f t="shared" si="120"/>
        <v>0</v>
      </c>
      <c r="AP306" s="497">
        <f t="shared" si="133"/>
        <v>1800000</v>
      </c>
      <c r="AQ306" s="493"/>
      <c r="AR306" s="493"/>
      <c r="AT306" s="492">
        <v>302</v>
      </c>
      <c r="AU306" s="492">
        <v>26</v>
      </c>
      <c r="AV306" s="497">
        <f>IF(('Comparison Calculator'!$E$11-AU306)&gt;=0,0,IFERROR(-PPMT($AZ$66/12,(AT306-60),($F$1-5)*12,$AZ$65),0))</f>
        <v>0</v>
      </c>
      <c r="AW306" s="497">
        <f>IF(('Comparison Calculator'!$E$11-AU306)&gt;=0,$C$1*$AZ$66/12,IFERROR(-IPMT($AZ$66/12,(AT306-60),($F$1-5)*12,$AZ$65,0),0))</f>
        <v>0</v>
      </c>
      <c r="AX306" s="497">
        <f t="shared" si="121"/>
        <v>0</v>
      </c>
      <c r="AY306" s="497">
        <f t="shared" si="134"/>
        <v>1800000</v>
      </c>
      <c r="AZ306" s="493"/>
      <c r="BA306" s="493"/>
      <c r="BC306" s="492">
        <v>302</v>
      </c>
      <c r="BD306" s="492">
        <v>26</v>
      </c>
      <c r="BE306" s="497">
        <f>IF(('Comparison Calculator'!$E$11-BD306)&gt;=0,0,IFERROR(-PPMT($BI$66/12,(BC306-60),($F$1-5)*12,$BI$65),0))</f>
        <v>0</v>
      </c>
      <c r="BF306" s="497">
        <f>IF(('Comparison Calculator'!$E$11-BD306)&gt;=0,$C$1*$BI$66/12,IFERROR(-IPMT($BI$66/12,(BC306-60),($F$1-5)*12,$BI$65,0),0))</f>
        <v>0</v>
      </c>
      <c r="BG306" s="497">
        <f t="shared" si="122"/>
        <v>0</v>
      </c>
      <c r="BH306" s="497">
        <f t="shared" si="135"/>
        <v>1800000</v>
      </c>
      <c r="BI306" s="493"/>
      <c r="BJ306" s="493"/>
      <c r="BK306" s="492">
        <v>302</v>
      </c>
      <c r="BL306" s="492">
        <v>26</v>
      </c>
      <c r="BM306" s="497">
        <f>IF(('Comparison Calculator'!$E$11-BL306)&gt;=0,0,IFERROR(-PPMT($BQ$66/12,(BK306-60),($F$1-5)*12,$BQ$65),0))</f>
        <v>0</v>
      </c>
      <c r="BN306" s="497">
        <f>IF(('Comparison Calculator'!$E$11-BL306)&gt;=0,$C$1*$BQ$66/12,IFERROR(-IPMT($BQ$66/12,(BK306-60),($F$1-5)*12,$BQ$65,0),0))</f>
        <v>0</v>
      </c>
      <c r="BO306" s="497">
        <f t="shared" si="123"/>
        <v>0</v>
      </c>
      <c r="BP306" s="497">
        <f t="shared" si="136"/>
        <v>1800000</v>
      </c>
      <c r="BQ306" s="493"/>
      <c r="BR306" s="493"/>
      <c r="BT306" s="492">
        <v>302</v>
      </c>
      <c r="BU306" s="492">
        <v>26</v>
      </c>
      <c r="BV306" s="497">
        <f>IF(('Comparison Calculator'!$E$11-BU306)&gt;=0,0,IFERROR(-PPMT($BZ$66/12,(BT306-60),($F$1-5)*12,$BZ$65),0))</f>
        <v>0</v>
      </c>
      <c r="BW306" s="497">
        <f>IF(('Comparison Calculator'!$E$11-BU306)&gt;=0,$C$1*$BZ$66/12,IFERROR(-IPMT($BZ$66/12,(BT306-60),($F$1-5)*12,$BZ$65,0),0))</f>
        <v>0</v>
      </c>
      <c r="BX306" s="497">
        <f t="shared" si="124"/>
        <v>0</v>
      </c>
      <c r="BY306" s="497">
        <f t="shared" si="137"/>
        <v>1800000</v>
      </c>
      <c r="BZ306" s="493"/>
      <c r="CA306" s="493"/>
      <c r="CC306" s="492">
        <v>302</v>
      </c>
      <c r="CD306" s="492">
        <v>26</v>
      </c>
      <c r="CE306" s="497">
        <f>IF(('Comparison Calculator'!$E$11-CD306)&gt;=0,0,IFERROR(-PPMT($CI$66/12,(CC306-60),($F$1-5)*12,$CI$65),0))</f>
        <v>0</v>
      </c>
      <c r="CF306" s="497">
        <f>IF(('Comparison Calculator'!$E$11-CD306)&gt;=0,$C$1*$CI$66/12,IFERROR(-IPMT($CI$66/12,(CC306-60),($F$1-5)*12,$CI$65,0),0))</f>
        <v>0</v>
      </c>
      <c r="CG306" s="497">
        <f t="shared" si="125"/>
        <v>0</v>
      </c>
      <c r="CH306" s="497">
        <f t="shared" si="138"/>
        <v>1800000</v>
      </c>
      <c r="CI306" s="493"/>
      <c r="CJ306" s="493"/>
      <c r="CL306" s="492">
        <v>302</v>
      </c>
      <c r="CM306" s="492">
        <v>26</v>
      </c>
      <c r="CN306" s="497">
        <f>IF(('Comparison Calculator'!$E$11-CM306)&gt;=0,0,IFERROR(-PPMT($CR$66/12,(CL306-60),($F$1-5)*12,$CR$65),0))</f>
        <v>0</v>
      </c>
      <c r="CO306" s="497">
        <f>IF(('Comparison Calculator'!$E$11-CM306)&gt;=0,$C$1*$CI$66/12,IFERROR(-IPMT($CI$66/12,(CL306-60),($F$1-5)*12,$CI$65,0),0))</f>
        <v>0</v>
      </c>
      <c r="CP306" s="497">
        <f t="shared" si="126"/>
        <v>0</v>
      </c>
      <c r="CQ306" s="497">
        <f t="shared" si="139"/>
        <v>1800000</v>
      </c>
      <c r="CR306" s="493"/>
      <c r="CS306" s="493"/>
      <c r="CU306" s="492">
        <v>302</v>
      </c>
      <c r="CV306" s="492">
        <v>26</v>
      </c>
      <c r="CW306" s="497">
        <f>IF(('Comparison Calculator'!$E$11-CV306)&gt;=0,0,IFERROR(-PPMT($DA$66/12,(CU306-60),($F$1-5)*12,$DA$65),0))</f>
        <v>0</v>
      </c>
      <c r="CX306" s="497">
        <f>IF(('Comparison Calculator'!$E$11-CV306)&gt;=0,$C$1*$DA$66/12,IFERROR(-IPMT($DA$66/12,(CU306-60),($F$1-5)*12,$DA$65,0),0))</f>
        <v>0</v>
      </c>
      <c r="CY306" s="497">
        <f t="shared" si="127"/>
        <v>0</v>
      </c>
      <c r="CZ306" s="497">
        <f t="shared" si="140"/>
        <v>1800000</v>
      </c>
      <c r="DA306" s="493"/>
      <c r="DB306" s="493"/>
      <c r="DD306" s="492">
        <v>302</v>
      </c>
      <c r="DE306" s="492">
        <v>26</v>
      </c>
      <c r="DF306" s="497">
        <f>IF(('Comparison Calculator'!$E$11-DE306)&gt;=0,0,IFERROR(-PPMT($DJ$66/12,(DD306-60),($F$1-5)*12,$DJ$65),0))</f>
        <v>0</v>
      </c>
      <c r="DG306" s="497">
        <f>IF(('Comparison Calculator'!$E$11-DE306)&gt;=0,$C$1*$DJ$66/12,IFERROR(-IPMT($DJ$66/12,(DD306-60),($F$1-5)*12,$DJ$65,0),0))</f>
        <v>0</v>
      </c>
      <c r="DH306" s="497">
        <f t="shared" si="128"/>
        <v>0</v>
      </c>
      <c r="DI306" s="497">
        <f t="shared" si="141"/>
        <v>1800000</v>
      </c>
      <c r="DJ306" s="493"/>
      <c r="DK306" s="493"/>
    </row>
    <row r="307" spans="1:115">
      <c r="A307" s="492">
        <v>303</v>
      </c>
      <c r="B307" s="492">
        <v>26</v>
      </c>
      <c r="C307" s="497">
        <f>IF(('Comparison Calculator'!$E$11-B307)&gt;=0,0,IFERROR(-PPMT($G$66/12,(A307-60),($F$1-5)*12,$G$65),0))</f>
        <v>0</v>
      </c>
      <c r="D307" s="497">
        <f>IF(('Comparison Calculator'!$E$11-B307)&gt;=0,$C$1*$G$66/12,IFERROR(-IPMT($G$66/12,(A307-60),($F$1-5)*12,$G$65,0),0))</f>
        <v>0</v>
      </c>
      <c r="E307" s="497">
        <f t="shared" si="116"/>
        <v>0</v>
      </c>
      <c r="F307" s="497">
        <f t="shared" si="129"/>
        <v>1800000</v>
      </c>
      <c r="G307" s="493"/>
      <c r="H307" s="493"/>
      <c r="I307" s="489"/>
      <c r="J307" s="492">
        <v>303</v>
      </c>
      <c r="K307" s="492">
        <v>26</v>
      </c>
      <c r="L307" s="497">
        <f>IF(('Comparison Calculator'!$E$11-K307)&gt;=0,0,IFERROR(-PPMT($P$66/12,(J307-60),($F$1-5)*12,$P$65),0))</f>
        <v>0</v>
      </c>
      <c r="M307" s="497">
        <f>IF(('Comparison Calculator'!$E$11-K307)&gt;=0,$C$1*$P$66/12,IFERROR(-IPMT($P$66/12,(J307-60),($F$1-5)*12,$P$65,0),0))</f>
        <v>0</v>
      </c>
      <c r="N307" s="497">
        <f t="shared" si="117"/>
        <v>0</v>
      </c>
      <c r="O307" s="497">
        <f t="shared" si="130"/>
        <v>1800000</v>
      </c>
      <c r="P307" s="493"/>
      <c r="Q307" s="493"/>
      <c r="S307" s="492">
        <v>303</v>
      </c>
      <c r="T307" s="492">
        <v>26</v>
      </c>
      <c r="U307" s="497">
        <f>IF(('Comparison Calculator'!$E$11-T307)&gt;=0,0,IFERROR(-PPMT($Y$66/12,(S307-60),($F$1-5)*12,$Y$65),0))</f>
        <v>0</v>
      </c>
      <c r="V307" s="497">
        <f>IF(('Comparison Calculator'!$E$11-T307)&gt;=0,$C$1*$Y$66/12,IFERROR(-IPMT($Y$66/12,(S307-60),($F$1-5)*12,$Y$65,0),0))</f>
        <v>0</v>
      </c>
      <c r="W307" s="497">
        <f t="shared" si="118"/>
        <v>0</v>
      </c>
      <c r="X307" s="497">
        <f t="shared" si="131"/>
        <v>1800000</v>
      </c>
      <c r="Y307" s="493"/>
      <c r="Z307" s="493"/>
      <c r="AB307" s="492">
        <v>303</v>
      </c>
      <c r="AC307" s="492">
        <v>26</v>
      </c>
      <c r="AD307" s="497">
        <f>IF(('Comparison Calculator'!$E$11-AC307)&gt;=0,0,IFERROR(-PPMT($AH$66/12,(AB307-60),($F$1-5)*12,$AH$65),0))</f>
        <v>0</v>
      </c>
      <c r="AE307" s="497">
        <f>IF(('Comparison Calculator'!$E$11-AC307)&gt;=0,$C$1*$AH$66/12,IFERROR(-IPMT($AH$66/12,(AB307-60),($F$1-5)*12,$AH$65,0),0))</f>
        <v>0</v>
      </c>
      <c r="AF307" s="497">
        <f t="shared" si="119"/>
        <v>0</v>
      </c>
      <c r="AG307" s="497">
        <f t="shared" si="132"/>
        <v>1800000</v>
      </c>
      <c r="AH307" s="493"/>
      <c r="AI307" s="493"/>
      <c r="AK307" s="492">
        <v>303</v>
      </c>
      <c r="AL307" s="492">
        <v>26</v>
      </c>
      <c r="AM307" s="497">
        <f>IF(('Comparison Calculator'!$E$11-AL307)&gt;=0,0,IFERROR(-PPMT($AQ$66/12,(AK307-60),($F$1-5)*12,$AQ$65),0))</f>
        <v>0</v>
      </c>
      <c r="AN307" s="497">
        <f>IF(('Comparison Calculator'!$E$11-AL307)&gt;=0,$C$1*$AQ$66/12,IFERROR(-IPMT($AQ$66/12,(AK307-60),($F$1-5)*12,$AQ$65,0),0))</f>
        <v>0</v>
      </c>
      <c r="AO307" s="497">
        <f t="shared" si="120"/>
        <v>0</v>
      </c>
      <c r="AP307" s="497">
        <f t="shared" si="133"/>
        <v>1800000</v>
      </c>
      <c r="AQ307" s="493"/>
      <c r="AR307" s="493"/>
      <c r="AT307" s="492">
        <v>303</v>
      </c>
      <c r="AU307" s="492">
        <v>26</v>
      </c>
      <c r="AV307" s="497">
        <f>IF(('Comparison Calculator'!$E$11-AU307)&gt;=0,0,IFERROR(-PPMT($AZ$66/12,(AT307-60),($F$1-5)*12,$AZ$65),0))</f>
        <v>0</v>
      </c>
      <c r="AW307" s="497">
        <f>IF(('Comparison Calculator'!$E$11-AU307)&gt;=0,$C$1*$AZ$66/12,IFERROR(-IPMT($AZ$66/12,(AT307-60),($F$1-5)*12,$AZ$65,0),0))</f>
        <v>0</v>
      </c>
      <c r="AX307" s="497">
        <f t="shared" si="121"/>
        <v>0</v>
      </c>
      <c r="AY307" s="497">
        <f t="shared" si="134"/>
        <v>1800000</v>
      </c>
      <c r="AZ307" s="493"/>
      <c r="BA307" s="493"/>
      <c r="BC307" s="492">
        <v>303</v>
      </c>
      <c r="BD307" s="492">
        <v>26</v>
      </c>
      <c r="BE307" s="497">
        <f>IF(('Comparison Calculator'!$E$11-BD307)&gt;=0,0,IFERROR(-PPMT($BI$66/12,(BC307-60),($F$1-5)*12,$BI$65),0))</f>
        <v>0</v>
      </c>
      <c r="BF307" s="497">
        <f>IF(('Comparison Calculator'!$E$11-BD307)&gt;=0,$C$1*$BI$66/12,IFERROR(-IPMT($BI$66/12,(BC307-60),($F$1-5)*12,$BI$65,0),0))</f>
        <v>0</v>
      </c>
      <c r="BG307" s="497">
        <f t="shared" si="122"/>
        <v>0</v>
      </c>
      <c r="BH307" s="497">
        <f t="shared" si="135"/>
        <v>1800000</v>
      </c>
      <c r="BI307" s="493"/>
      <c r="BJ307" s="493"/>
      <c r="BK307" s="492">
        <v>303</v>
      </c>
      <c r="BL307" s="492">
        <v>26</v>
      </c>
      <c r="BM307" s="497">
        <f>IF(('Comparison Calculator'!$E$11-BL307)&gt;=0,0,IFERROR(-PPMT($BQ$66/12,(BK307-60),($F$1-5)*12,$BQ$65),0))</f>
        <v>0</v>
      </c>
      <c r="BN307" s="497">
        <f>IF(('Comparison Calculator'!$E$11-BL307)&gt;=0,$C$1*$BQ$66/12,IFERROR(-IPMT($BQ$66/12,(BK307-60),($F$1-5)*12,$BQ$65,0),0))</f>
        <v>0</v>
      </c>
      <c r="BO307" s="497">
        <f t="shared" si="123"/>
        <v>0</v>
      </c>
      <c r="BP307" s="497">
        <f t="shared" si="136"/>
        <v>1800000</v>
      </c>
      <c r="BQ307" s="493"/>
      <c r="BR307" s="493"/>
      <c r="BT307" s="492">
        <v>303</v>
      </c>
      <c r="BU307" s="492">
        <v>26</v>
      </c>
      <c r="BV307" s="497">
        <f>IF(('Comparison Calculator'!$E$11-BU307)&gt;=0,0,IFERROR(-PPMT($BZ$66/12,(BT307-60),($F$1-5)*12,$BZ$65),0))</f>
        <v>0</v>
      </c>
      <c r="BW307" s="497">
        <f>IF(('Comparison Calculator'!$E$11-BU307)&gt;=0,$C$1*$BZ$66/12,IFERROR(-IPMT($BZ$66/12,(BT307-60),($F$1-5)*12,$BZ$65,0),0))</f>
        <v>0</v>
      </c>
      <c r="BX307" s="497">
        <f t="shared" si="124"/>
        <v>0</v>
      </c>
      <c r="BY307" s="497">
        <f t="shared" si="137"/>
        <v>1800000</v>
      </c>
      <c r="BZ307" s="493"/>
      <c r="CA307" s="493"/>
      <c r="CC307" s="492">
        <v>303</v>
      </c>
      <c r="CD307" s="492">
        <v>26</v>
      </c>
      <c r="CE307" s="497">
        <f>IF(('Comparison Calculator'!$E$11-CD307)&gt;=0,0,IFERROR(-PPMT($CI$66/12,(CC307-60),($F$1-5)*12,$CI$65),0))</f>
        <v>0</v>
      </c>
      <c r="CF307" s="497">
        <f>IF(('Comparison Calculator'!$E$11-CD307)&gt;=0,$C$1*$CI$66/12,IFERROR(-IPMT($CI$66/12,(CC307-60),($F$1-5)*12,$CI$65,0),0))</f>
        <v>0</v>
      </c>
      <c r="CG307" s="497">
        <f t="shared" si="125"/>
        <v>0</v>
      </c>
      <c r="CH307" s="497">
        <f t="shared" si="138"/>
        <v>1800000</v>
      </c>
      <c r="CI307" s="493"/>
      <c r="CJ307" s="493"/>
      <c r="CL307" s="492">
        <v>303</v>
      </c>
      <c r="CM307" s="492">
        <v>26</v>
      </c>
      <c r="CN307" s="497">
        <f>IF(('Comparison Calculator'!$E$11-CM307)&gt;=0,0,IFERROR(-PPMT($CR$66/12,(CL307-60),($F$1-5)*12,$CR$65),0))</f>
        <v>0</v>
      </c>
      <c r="CO307" s="497">
        <f>IF(('Comparison Calculator'!$E$11-CM307)&gt;=0,$C$1*$CI$66/12,IFERROR(-IPMT($CI$66/12,(CL307-60),($F$1-5)*12,$CI$65,0),0))</f>
        <v>0</v>
      </c>
      <c r="CP307" s="497">
        <f t="shared" si="126"/>
        <v>0</v>
      </c>
      <c r="CQ307" s="497">
        <f t="shared" si="139"/>
        <v>1800000</v>
      </c>
      <c r="CR307" s="493"/>
      <c r="CS307" s="493"/>
      <c r="CU307" s="492">
        <v>303</v>
      </c>
      <c r="CV307" s="492">
        <v>26</v>
      </c>
      <c r="CW307" s="497">
        <f>IF(('Comparison Calculator'!$E$11-CV307)&gt;=0,0,IFERROR(-PPMT($DA$66/12,(CU307-60),($F$1-5)*12,$DA$65),0))</f>
        <v>0</v>
      </c>
      <c r="CX307" s="497">
        <f>IF(('Comparison Calculator'!$E$11-CV307)&gt;=0,$C$1*$DA$66/12,IFERROR(-IPMT($DA$66/12,(CU307-60),($F$1-5)*12,$DA$65,0),0))</f>
        <v>0</v>
      </c>
      <c r="CY307" s="497">
        <f t="shared" si="127"/>
        <v>0</v>
      </c>
      <c r="CZ307" s="497">
        <f t="shared" si="140"/>
        <v>1800000</v>
      </c>
      <c r="DA307" s="493"/>
      <c r="DB307" s="493"/>
      <c r="DD307" s="492">
        <v>303</v>
      </c>
      <c r="DE307" s="492">
        <v>26</v>
      </c>
      <c r="DF307" s="497">
        <f>IF(('Comparison Calculator'!$E$11-DE307)&gt;=0,0,IFERROR(-PPMT($DJ$66/12,(DD307-60),($F$1-5)*12,$DJ$65),0))</f>
        <v>0</v>
      </c>
      <c r="DG307" s="497">
        <f>IF(('Comparison Calculator'!$E$11-DE307)&gt;=0,$C$1*$DJ$66/12,IFERROR(-IPMT($DJ$66/12,(DD307-60),($F$1-5)*12,$DJ$65,0),0))</f>
        <v>0</v>
      </c>
      <c r="DH307" s="497">
        <f t="shared" si="128"/>
        <v>0</v>
      </c>
      <c r="DI307" s="497">
        <f t="shared" si="141"/>
        <v>1800000</v>
      </c>
      <c r="DJ307" s="493"/>
      <c r="DK307" s="493"/>
    </row>
    <row r="308" spans="1:115">
      <c r="A308" s="492">
        <v>304</v>
      </c>
      <c r="B308" s="492">
        <v>26</v>
      </c>
      <c r="C308" s="497">
        <f>IF(('Comparison Calculator'!$E$11-B308)&gt;=0,0,IFERROR(-PPMT($G$66/12,(A308-60),($F$1-5)*12,$G$65),0))</f>
        <v>0</v>
      </c>
      <c r="D308" s="497">
        <f>IF(('Comparison Calculator'!$E$11-B308)&gt;=0,$C$1*$G$66/12,IFERROR(-IPMT($G$66/12,(A308-60),($F$1-5)*12,$G$65,0),0))</f>
        <v>0</v>
      </c>
      <c r="E308" s="497">
        <f t="shared" si="116"/>
        <v>0</v>
      </c>
      <c r="F308" s="497">
        <f t="shared" si="129"/>
        <v>1800000</v>
      </c>
      <c r="G308" s="493"/>
      <c r="H308" s="493"/>
      <c r="I308" s="489"/>
      <c r="J308" s="492">
        <v>304</v>
      </c>
      <c r="K308" s="492">
        <v>26</v>
      </c>
      <c r="L308" s="497">
        <f>IF(('Comparison Calculator'!$E$11-K308)&gt;=0,0,IFERROR(-PPMT($P$66/12,(J308-60),($F$1-5)*12,$P$65),0))</f>
        <v>0</v>
      </c>
      <c r="M308" s="497">
        <f>IF(('Comparison Calculator'!$E$11-K308)&gt;=0,$C$1*$P$66/12,IFERROR(-IPMT($P$66/12,(J308-60),($F$1-5)*12,$P$65,0),0))</f>
        <v>0</v>
      </c>
      <c r="N308" s="497">
        <f t="shared" si="117"/>
        <v>0</v>
      </c>
      <c r="O308" s="497">
        <f t="shared" si="130"/>
        <v>1800000</v>
      </c>
      <c r="P308" s="493"/>
      <c r="Q308" s="493"/>
      <c r="S308" s="492">
        <v>304</v>
      </c>
      <c r="T308" s="492">
        <v>26</v>
      </c>
      <c r="U308" s="497">
        <f>IF(('Comparison Calculator'!$E$11-T308)&gt;=0,0,IFERROR(-PPMT($Y$66/12,(S308-60),($F$1-5)*12,$Y$65),0))</f>
        <v>0</v>
      </c>
      <c r="V308" s="497">
        <f>IF(('Comparison Calculator'!$E$11-T308)&gt;=0,$C$1*$Y$66/12,IFERROR(-IPMT($Y$66/12,(S308-60),($F$1-5)*12,$Y$65,0),0))</f>
        <v>0</v>
      </c>
      <c r="W308" s="497">
        <f t="shared" si="118"/>
        <v>0</v>
      </c>
      <c r="X308" s="497">
        <f t="shared" si="131"/>
        <v>1800000</v>
      </c>
      <c r="Y308" s="493"/>
      <c r="Z308" s="493"/>
      <c r="AB308" s="492">
        <v>304</v>
      </c>
      <c r="AC308" s="492">
        <v>26</v>
      </c>
      <c r="AD308" s="497">
        <f>IF(('Comparison Calculator'!$E$11-AC308)&gt;=0,0,IFERROR(-PPMT($AH$66/12,(AB308-60),($F$1-5)*12,$AH$65),0))</f>
        <v>0</v>
      </c>
      <c r="AE308" s="497">
        <f>IF(('Comparison Calculator'!$E$11-AC308)&gt;=0,$C$1*$AH$66/12,IFERROR(-IPMT($AH$66/12,(AB308-60),($F$1-5)*12,$AH$65,0),0))</f>
        <v>0</v>
      </c>
      <c r="AF308" s="497">
        <f t="shared" si="119"/>
        <v>0</v>
      </c>
      <c r="AG308" s="497">
        <f t="shared" si="132"/>
        <v>1800000</v>
      </c>
      <c r="AH308" s="493"/>
      <c r="AI308" s="493"/>
      <c r="AK308" s="492">
        <v>304</v>
      </c>
      <c r="AL308" s="492">
        <v>26</v>
      </c>
      <c r="AM308" s="497">
        <f>IF(('Comparison Calculator'!$E$11-AL308)&gt;=0,0,IFERROR(-PPMT($AQ$66/12,(AK308-60),($F$1-5)*12,$AQ$65),0))</f>
        <v>0</v>
      </c>
      <c r="AN308" s="497">
        <f>IF(('Comparison Calculator'!$E$11-AL308)&gt;=0,$C$1*$AQ$66/12,IFERROR(-IPMT($AQ$66/12,(AK308-60),($F$1-5)*12,$AQ$65,0),0))</f>
        <v>0</v>
      </c>
      <c r="AO308" s="497">
        <f t="shared" si="120"/>
        <v>0</v>
      </c>
      <c r="AP308" s="497">
        <f t="shared" si="133"/>
        <v>1800000</v>
      </c>
      <c r="AQ308" s="493"/>
      <c r="AR308" s="493"/>
      <c r="AT308" s="492">
        <v>304</v>
      </c>
      <c r="AU308" s="492">
        <v>26</v>
      </c>
      <c r="AV308" s="497">
        <f>IF(('Comparison Calculator'!$E$11-AU308)&gt;=0,0,IFERROR(-PPMT($AZ$66/12,(AT308-60),($F$1-5)*12,$AZ$65),0))</f>
        <v>0</v>
      </c>
      <c r="AW308" s="497">
        <f>IF(('Comparison Calculator'!$E$11-AU308)&gt;=0,$C$1*$AZ$66/12,IFERROR(-IPMT($AZ$66/12,(AT308-60),($F$1-5)*12,$AZ$65,0),0))</f>
        <v>0</v>
      </c>
      <c r="AX308" s="497">
        <f t="shared" si="121"/>
        <v>0</v>
      </c>
      <c r="AY308" s="497">
        <f t="shared" si="134"/>
        <v>1800000</v>
      </c>
      <c r="AZ308" s="493"/>
      <c r="BA308" s="493"/>
      <c r="BC308" s="492">
        <v>304</v>
      </c>
      <c r="BD308" s="492">
        <v>26</v>
      </c>
      <c r="BE308" s="497">
        <f>IF(('Comparison Calculator'!$E$11-BD308)&gt;=0,0,IFERROR(-PPMT($BI$66/12,(BC308-60),($F$1-5)*12,$BI$65),0))</f>
        <v>0</v>
      </c>
      <c r="BF308" s="497">
        <f>IF(('Comparison Calculator'!$E$11-BD308)&gt;=0,$C$1*$BI$66/12,IFERROR(-IPMT($BI$66/12,(BC308-60),($F$1-5)*12,$BI$65,0),0))</f>
        <v>0</v>
      </c>
      <c r="BG308" s="497">
        <f t="shared" si="122"/>
        <v>0</v>
      </c>
      <c r="BH308" s="497">
        <f t="shared" si="135"/>
        <v>1800000</v>
      </c>
      <c r="BI308" s="493"/>
      <c r="BJ308" s="493"/>
      <c r="BK308" s="492">
        <v>304</v>
      </c>
      <c r="BL308" s="492">
        <v>26</v>
      </c>
      <c r="BM308" s="497">
        <f>IF(('Comparison Calculator'!$E$11-BL308)&gt;=0,0,IFERROR(-PPMT($BQ$66/12,(BK308-60),($F$1-5)*12,$BQ$65),0))</f>
        <v>0</v>
      </c>
      <c r="BN308" s="497">
        <f>IF(('Comparison Calculator'!$E$11-BL308)&gt;=0,$C$1*$BQ$66/12,IFERROR(-IPMT($BQ$66/12,(BK308-60),($F$1-5)*12,$BQ$65,0),0))</f>
        <v>0</v>
      </c>
      <c r="BO308" s="497">
        <f t="shared" si="123"/>
        <v>0</v>
      </c>
      <c r="BP308" s="497">
        <f t="shared" si="136"/>
        <v>1800000</v>
      </c>
      <c r="BQ308" s="493"/>
      <c r="BR308" s="493"/>
      <c r="BT308" s="492">
        <v>304</v>
      </c>
      <c r="BU308" s="492">
        <v>26</v>
      </c>
      <c r="BV308" s="497">
        <f>IF(('Comparison Calculator'!$E$11-BU308)&gt;=0,0,IFERROR(-PPMT($BZ$66/12,(BT308-60),($F$1-5)*12,$BZ$65),0))</f>
        <v>0</v>
      </c>
      <c r="BW308" s="497">
        <f>IF(('Comparison Calculator'!$E$11-BU308)&gt;=0,$C$1*$BZ$66/12,IFERROR(-IPMT($BZ$66/12,(BT308-60),($F$1-5)*12,$BZ$65,0),0))</f>
        <v>0</v>
      </c>
      <c r="BX308" s="497">
        <f t="shared" si="124"/>
        <v>0</v>
      </c>
      <c r="BY308" s="497">
        <f t="shared" si="137"/>
        <v>1800000</v>
      </c>
      <c r="BZ308" s="493"/>
      <c r="CA308" s="493"/>
      <c r="CC308" s="492">
        <v>304</v>
      </c>
      <c r="CD308" s="492">
        <v>26</v>
      </c>
      <c r="CE308" s="497">
        <f>IF(('Comparison Calculator'!$E$11-CD308)&gt;=0,0,IFERROR(-PPMT($CI$66/12,(CC308-60),($F$1-5)*12,$CI$65),0))</f>
        <v>0</v>
      </c>
      <c r="CF308" s="497">
        <f>IF(('Comparison Calculator'!$E$11-CD308)&gt;=0,$C$1*$CI$66/12,IFERROR(-IPMT($CI$66/12,(CC308-60),($F$1-5)*12,$CI$65,0),0))</f>
        <v>0</v>
      </c>
      <c r="CG308" s="497">
        <f t="shared" si="125"/>
        <v>0</v>
      </c>
      <c r="CH308" s="497">
        <f t="shared" si="138"/>
        <v>1800000</v>
      </c>
      <c r="CI308" s="493"/>
      <c r="CJ308" s="493"/>
      <c r="CL308" s="492">
        <v>304</v>
      </c>
      <c r="CM308" s="492">
        <v>26</v>
      </c>
      <c r="CN308" s="497">
        <f>IF(('Comparison Calculator'!$E$11-CM308)&gt;=0,0,IFERROR(-PPMT($CR$66/12,(CL308-60),($F$1-5)*12,$CR$65),0))</f>
        <v>0</v>
      </c>
      <c r="CO308" s="497">
        <f>IF(('Comparison Calculator'!$E$11-CM308)&gt;=0,$C$1*$CI$66/12,IFERROR(-IPMT($CI$66/12,(CL308-60),($F$1-5)*12,$CI$65,0),0))</f>
        <v>0</v>
      </c>
      <c r="CP308" s="497">
        <f t="shared" si="126"/>
        <v>0</v>
      </c>
      <c r="CQ308" s="497">
        <f t="shared" si="139"/>
        <v>1800000</v>
      </c>
      <c r="CR308" s="493"/>
      <c r="CS308" s="493"/>
      <c r="CU308" s="492">
        <v>304</v>
      </c>
      <c r="CV308" s="492">
        <v>26</v>
      </c>
      <c r="CW308" s="497">
        <f>IF(('Comparison Calculator'!$E$11-CV308)&gt;=0,0,IFERROR(-PPMT($DA$66/12,(CU308-60),($F$1-5)*12,$DA$65),0))</f>
        <v>0</v>
      </c>
      <c r="CX308" s="497">
        <f>IF(('Comparison Calculator'!$E$11-CV308)&gt;=0,$C$1*$DA$66/12,IFERROR(-IPMT($DA$66/12,(CU308-60),($F$1-5)*12,$DA$65,0),0))</f>
        <v>0</v>
      </c>
      <c r="CY308" s="497">
        <f t="shared" si="127"/>
        <v>0</v>
      </c>
      <c r="CZ308" s="497">
        <f t="shared" si="140"/>
        <v>1800000</v>
      </c>
      <c r="DA308" s="493"/>
      <c r="DB308" s="493"/>
      <c r="DD308" s="492">
        <v>304</v>
      </c>
      <c r="DE308" s="492">
        <v>26</v>
      </c>
      <c r="DF308" s="497">
        <f>IF(('Comparison Calculator'!$E$11-DE308)&gt;=0,0,IFERROR(-PPMT($DJ$66/12,(DD308-60),($F$1-5)*12,$DJ$65),0))</f>
        <v>0</v>
      </c>
      <c r="DG308" s="497">
        <f>IF(('Comparison Calculator'!$E$11-DE308)&gt;=0,$C$1*$DJ$66/12,IFERROR(-IPMT($DJ$66/12,(DD308-60),($F$1-5)*12,$DJ$65,0),0))</f>
        <v>0</v>
      </c>
      <c r="DH308" s="497">
        <f t="shared" si="128"/>
        <v>0</v>
      </c>
      <c r="DI308" s="497">
        <f t="shared" si="141"/>
        <v>1800000</v>
      </c>
      <c r="DJ308" s="493"/>
      <c r="DK308" s="493"/>
    </row>
    <row r="309" spans="1:115">
      <c r="A309" s="492">
        <v>305</v>
      </c>
      <c r="B309" s="492">
        <v>26</v>
      </c>
      <c r="C309" s="497">
        <f>IF(('Comparison Calculator'!$E$11-B309)&gt;=0,0,IFERROR(-PPMT($G$66/12,(A309-60),($F$1-5)*12,$G$65),0))</f>
        <v>0</v>
      </c>
      <c r="D309" s="497">
        <f>IF(('Comparison Calculator'!$E$11-B309)&gt;=0,$C$1*$G$66/12,IFERROR(-IPMT($G$66/12,(A309-60),($F$1-5)*12,$G$65,0),0))</f>
        <v>0</v>
      </c>
      <c r="E309" s="497">
        <f t="shared" si="116"/>
        <v>0</v>
      </c>
      <c r="F309" s="497">
        <f t="shared" si="129"/>
        <v>1800000</v>
      </c>
      <c r="G309" s="493"/>
      <c r="H309" s="493"/>
      <c r="I309" s="489"/>
      <c r="J309" s="492">
        <v>305</v>
      </c>
      <c r="K309" s="492">
        <v>26</v>
      </c>
      <c r="L309" s="497">
        <f>IF(('Comparison Calculator'!$E$11-K309)&gt;=0,0,IFERROR(-PPMT($P$66/12,(J309-60),($F$1-5)*12,$P$65),0))</f>
        <v>0</v>
      </c>
      <c r="M309" s="497">
        <f>IF(('Comparison Calculator'!$E$11-K309)&gt;=0,$C$1*$P$66/12,IFERROR(-IPMT($P$66/12,(J309-60),($F$1-5)*12,$P$65,0),0))</f>
        <v>0</v>
      </c>
      <c r="N309" s="497">
        <f t="shared" si="117"/>
        <v>0</v>
      </c>
      <c r="O309" s="497">
        <f t="shared" si="130"/>
        <v>1800000</v>
      </c>
      <c r="P309" s="493"/>
      <c r="Q309" s="493"/>
      <c r="S309" s="492">
        <v>305</v>
      </c>
      <c r="T309" s="492">
        <v>26</v>
      </c>
      <c r="U309" s="497">
        <f>IF(('Comparison Calculator'!$E$11-T309)&gt;=0,0,IFERROR(-PPMT($Y$66/12,(S309-60),($F$1-5)*12,$Y$65),0))</f>
        <v>0</v>
      </c>
      <c r="V309" s="497">
        <f>IF(('Comparison Calculator'!$E$11-T309)&gt;=0,$C$1*$Y$66/12,IFERROR(-IPMT($Y$66/12,(S309-60),($F$1-5)*12,$Y$65,0),0))</f>
        <v>0</v>
      </c>
      <c r="W309" s="497">
        <f t="shared" si="118"/>
        <v>0</v>
      </c>
      <c r="X309" s="497">
        <f t="shared" si="131"/>
        <v>1800000</v>
      </c>
      <c r="Y309" s="493"/>
      <c r="Z309" s="493"/>
      <c r="AB309" s="492">
        <v>305</v>
      </c>
      <c r="AC309" s="492">
        <v>26</v>
      </c>
      <c r="AD309" s="497">
        <f>IF(('Comparison Calculator'!$E$11-AC309)&gt;=0,0,IFERROR(-PPMT($AH$66/12,(AB309-60),($F$1-5)*12,$AH$65),0))</f>
        <v>0</v>
      </c>
      <c r="AE309" s="497">
        <f>IF(('Comparison Calculator'!$E$11-AC309)&gt;=0,$C$1*$AH$66/12,IFERROR(-IPMT($AH$66/12,(AB309-60),($F$1-5)*12,$AH$65,0),0))</f>
        <v>0</v>
      </c>
      <c r="AF309" s="497">
        <f t="shared" si="119"/>
        <v>0</v>
      </c>
      <c r="AG309" s="497">
        <f t="shared" si="132"/>
        <v>1800000</v>
      </c>
      <c r="AH309" s="493"/>
      <c r="AI309" s="493"/>
      <c r="AK309" s="492">
        <v>305</v>
      </c>
      <c r="AL309" s="492">
        <v>26</v>
      </c>
      <c r="AM309" s="497">
        <f>IF(('Comparison Calculator'!$E$11-AL309)&gt;=0,0,IFERROR(-PPMT($AQ$66/12,(AK309-60),($F$1-5)*12,$AQ$65),0))</f>
        <v>0</v>
      </c>
      <c r="AN309" s="497">
        <f>IF(('Comparison Calculator'!$E$11-AL309)&gt;=0,$C$1*$AQ$66/12,IFERROR(-IPMT($AQ$66/12,(AK309-60),($F$1-5)*12,$AQ$65,0),0))</f>
        <v>0</v>
      </c>
      <c r="AO309" s="497">
        <f t="shared" si="120"/>
        <v>0</v>
      </c>
      <c r="AP309" s="497">
        <f t="shared" si="133"/>
        <v>1800000</v>
      </c>
      <c r="AQ309" s="493"/>
      <c r="AR309" s="493"/>
      <c r="AT309" s="492">
        <v>305</v>
      </c>
      <c r="AU309" s="492">
        <v>26</v>
      </c>
      <c r="AV309" s="497">
        <f>IF(('Comparison Calculator'!$E$11-AU309)&gt;=0,0,IFERROR(-PPMT($AZ$66/12,(AT309-60),($F$1-5)*12,$AZ$65),0))</f>
        <v>0</v>
      </c>
      <c r="AW309" s="497">
        <f>IF(('Comparison Calculator'!$E$11-AU309)&gt;=0,$C$1*$AZ$66/12,IFERROR(-IPMT($AZ$66/12,(AT309-60),($F$1-5)*12,$AZ$65,0),0))</f>
        <v>0</v>
      </c>
      <c r="AX309" s="497">
        <f t="shared" si="121"/>
        <v>0</v>
      </c>
      <c r="AY309" s="497">
        <f t="shared" si="134"/>
        <v>1800000</v>
      </c>
      <c r="AZ309" s="493"/>
      <c r="BA309" s="493"/>
      <c r="BC309" s="492">
        <v>305</v>
      </c>
      <c r="BD309" s="492">
        <v>26</v>
      </c>
      <c r="BE309" s="497">
        <f>IF(('Comparison Calculator'!$E$11-BD309)&gt;=0,0,IFERROR(-PPMT($BI$66/12,(BC309-60),($F$1-5)*12,$BI$65),0))</f>
        <v>0</v>
      </c>
      <c r="BF309" s="497">
        <f>IF(('Comparison Calculator'!$E$11-BD309)&gt;=0,$C$1*$BI$66/12,IFERROR(-IPMT($BI$66/12,(BC309-60),($F$1-5)*12,$BI$65,0),0))</f>
        <v>0</v>
      </c>
      <c r="BG309" s="497">
        <f t="shared" si="122"/>
        <v>0</v>
      </c>
      <c r="BH309" s="497">
        <f t="shared" si="135"/>
        <v>1800000</v>
      </c>
      <c r="BI309" s="493"/>
      <c r="BJ309" s="493"/>
      <c r="BK309" s="492">
        <v>305</v>
      </c>
      <c r="BL309" s="492">
        <v>26</v>
      </c>
      <c r="BM309" s="497">
        <f>IF(('Comparison Calculator'!$E$11-BL309)&gt;=0,0,IFERROR(-PPMT($BQ$66/12,(BK309-60),($F$1-5)*12,$BQ$65),0))</f>
        <v>0</v>
      </c>
      <c r="BN309" s="497">
        <f>IF(('Comparison Calculator'!$E$11-BL309)&gt;=0,$C$1*$BQ$66/12,IFERROR(-IPMT($BQ$66/12,(BK309-60),($F$1-5)*12,$BQ$65,0),0))</f>
        <v>0</v>
      </c>
      <c r="BO309" s="497">
        <f t="shared" si="123"/>
        <v>0</v>
      </c>
      <c r="BP309" s="497">
        <f t="shared" si="136"/>
        <v>1800000</v>
      </c>
      <c r="BQ309" s="493"/>
      <c r="BR309" s="493"/>
      <c r="BT309" s="492">
        <v>305</v>
      </c>
      <c r="BU309" s="492">
        <v>26</v>
      </c>
      <c r="BV309" s="497">
        <f>IF(('Comparison Calculator'!$E$11-BU309)&gt;=0,0,IFERROR(-PPMT($BZ$66/12,(BT309-60),($F$1-5)*12,$BZ$65),0))</f>
        <v>0</v>
      </c>
      <c r="BW309" s="497">
        <f>IF(('Comparison Calculator'!$E$11-BU309)&gt;=0,$C$1*$BZ$66/12,IFERROR(-IPMT($BZ$66/12,(BT309-60),($F$1-5)*12,$BZ$65,0),0))</f>
        <v>0</v>
      </c>
      <c r="BX309" s="497">
        <f t="shared" si="124"/>
        <v>0</v>
      </c>
      <c r="BY309" s="497">
        <f t="shared" si="137"/>
        <v>1800000</v>
      </c>
      <c r="BZ309" s="493"/>
      <c r="CA309" s="493"/>
      <c r="CC309" s="492">
        <v>305</v>
      </c>
      <c r="CD309" s="492">
        <v>26</v>
      </c>
      <c r="CE309" s="497">
        <f>IF(('Comparison Calculator'!$E$11-CD309)&gt;=0,0,IFERROR(-PPMT($CI$66/12,(CC309-60),($F$1-5)*12,$CI$65),0))</f>
        <v>0</v>
      </c>
      <c r="CF309" s="497">
        <f>IF(('Comparison Calculator'!$E$11-CD309)&gt;=0,$C$1*$CI$66/12,IFERROR(-IPMT($CI$66/12,(CC309-60),($F$1-5)*12,$CI$65,0),0))</f>
        <v>0</v>
      </c>
      <c r="CG309" s="497">
        <f t="shared" si="125"/>
        <v>0</v>
      </c>
      <c r="CH309" s="497">
        <f t="shared" si="138"/>
        <v>1800000</v>
      </c>
      <c r="CI309" s="493"/>
      <c r="CJ309" s="493"/>
      <c r="CL309" s="492">
        <v>305</v>
      </c>
      <c r="CM309" s="492">
        <v>26</v>
      </c>
      <c r="CN309" s="497">
        <f>IF(('Comparison Calculator'!$E$11-CM309)&gt;=0,0,IFERROR(-PPMT($CR$66/12,(CL309-60),($F$1-5)*12,$CR$65),0))</f>
        <v>0</v>
      </c>
      <c r="CO309" s="497">
        <f>IF(('Comparison Calculator'!$E$11-CM309)&gt;=0,$C$1*$CI$66/12,IFERROR(-IPMT($CI$66/12,(CL309-60),($F$1-5)*12,$CI$65,0),0))</f>
        <v>0</v>
      </c>
      <c r="CP309" s="497">
        <f t="shared" si="126"/>
        <v>0</v>
      </c>
      <c r="CQ309" s="497">
        <f t="shared" si="139"/>
        <v>1800000</v>
      </c>
      <c r="CR309" s="493"/>
      <c r="CS309" s="493"/>
      <c r="CU309" s="492">
        <v>305</v>
      </c>
      <c r="CV309" s="492">
        <v>26</v>
      </c>
      <c r="CW309" s="497">
        <f>IF(('Comparison Calculator'!$E$11-CV309)&gt;=0,0,IFERROR(-PPMT($DA$66/12,(CU309-60),($F$1-5)*12,$DA$65),0))</f>
        <v>0</v>
      </c>
      <c r="CX309" s="497">
        <f>IF(('Comparison Calculator'!$E$11-CV309)&gt;=0,$C$1*$DA$66/12,IFERROR(-IPMT($DA$66/12,(CU309-60),($F$1-5)*12,$DA$65,0),0))</f>
        <v>0</v>
      </c>
      <c r="CY309" s="497">
        <f t="shared" si="127"/>
        <v>0</v>
      </c>
      <c r="CZ309" s="497">
        <f t="shared" si="140"/>
        <v>1800000</v>
      </c>
      <c r="DA309" s="493"/>
      <c r="DB309" s="493"/>
      <c r="DD309" s="492">
        <v>305</v>
      </c>
      <c r="DE309" s="492">
        <v>26</v>
      </c>
      <c r="DF309" s="497">
        <f>IF(('Comparison Calculator'!$E$11-DE309)&gt;=0,0,IFERROR(-PPMT($DJ$66/12,(DD309-60),($F$1-5)*12,$DJ$65),0))</f>
        <v>0</v>
      </c>
      <c r="DG309" s="497">
        <f>IF(('Comparison Calculator'!$E$11-DE309)&gt;=0,$C$1*$DJ$66/12,IFERROR(-IPMT($DJ$66/12,(DD309-60),($F$1-5)*12,$DJ$65,0),0))</f>
        <v>0</v>
      </c>
      <c r="DH309" s="497">
        <f t="shared" si="128"/>
        <v>0</v>
      </c>
      <c r="DI309" s="497">
        <f t="shared" si="141"/>
        <v>1800000</v>
      </c>
      <c r="DJ309" s="493"/>
      <c r="DK309" s="493"/>
    </row>
    <row r="310" spans="1:115">
      <c r="A310" s="492">
        <v>306</v>
      </c>
      <c r="B310" s="492">
        <v>26</v>
      </c>
      <c r="C310" s="497">
        <f>IF(('Comparison Calculator'!$E$11-B310)&gt;=0,0,IFERROR(-PPMT($G$66/12,(A310-60),($F$1-5)*12,$G$65),0))</f>
        <v>0</v>
      </c>
      <c r="D310" s="497">
        <f>IF(('Comparison Calculator'!$E$11-B310)&gt;=0,$C$1*$G$66/12,IFERROR(-IPMT($G$66/12,(A310-60),($F$1-5)*12,$G$65,0),0))</f>
        <v>0</v>
      </c>
      <c r="E310" s="497">
        <f t="shared" si="116"/>
        <v>0</v>
      </c>
      <c r="F310" s="497">
        <f t="shared" si="129"/>
        <v>1800000</v>
      </c>
      <c r="G310" s="493"/>
      <c r="H310" s="493"/>
      <c r="I310" s="489"/>
      <c r="J310" s="492">
        <v>306</v>
      </c>
      <c r="K310" s="492">
        <v>26</v>
      </c>
      <c r="L310" s="497">
        <f>IF(('Comparison Calculator'!$E$11-K310)&gt;=0,0,IFERROR(-PPMT($P$66/12,(J310-60),($F$1-5)*12,$P$65),0))</f>
        <v>0</v>
      </c>
      <c r="M310" s="497">
        <f>IF(('Comparison Calculator'!$E$11-K310)&gt;=0,$C$1*$P$66/12,IFERROR(-IPMT($P$66/12,(J310-60),($F$1-5)*12,$P$65,0),0))</f>
        <v>0</v>
      </c>
      <c r="N310" s="497">
        <f t="shared" si="117"/>
        <v>0</v>
      </c>
      <c r="O310" s="497">
        <f t="shared" si="130"/>
        <v>1800000</v>
      </c>
      <c r="P310" s="493"/>
      <c r="Q310" s="493"/>
      <c r="S310" s="492">
        <v>306</v>
      </c>
      <c r="T310" s="492">
        <v>26</v>
      </c>
      <c r="U310" s="497">
        <f>IF(('Comparison Calculator'!$E$11-T310)&gt;=0,0,IFERROR(-PPMT($Y$66/12,(S310-60),($F$1-5)*12,$Y$65),0))</f>
        <v>0</v>
      </c>
      <c r="V310" s="497">
        <f>IF(('Comparison Calculator'!$E$11-T310)&gt;=0,$C$1*$Y$66/12,IFERROR(-IPMT($Y$66/12,(S310-60),($F$1-5)*12,$Y$65,0),0))</f>
        <v>0</v>
      </c>
      <c r="W310" s="497">
        <f t="shared" si="118"/>
        <v>0</v>
      </c>
      <c r="X310" s="497">
        <f t="shared" si="131"/>
        <v>1800000</v>
      </c>
      <c r="Y310" s="493"/>
      <c r="Z310" s="493"/>
      <c r="AB310" s="492">
        <v>306</v>
      </c>
      <c r="AC310" s="492">
        <v>26</v>
      </c>
      <c r="AD310" s="497">
        <f>IF(('Comparison Calculator'!$E$11-AC310)&gt;=0,0,IFERROR(-PPMT($AH$66/12,(AB310-60),($F$1-5)*12,$AH$65),0))</f>
        <v>0</v>
      </c>
      <c r="AE310" s="497">
        <f>IF(('Comparison Calculator'!$E$11-AC310)&gt;=0,$C$1*$AH$66/12,IFERROR(-IPMT($AH$66/12,(AB310-60),($F$1-5)*12,$AH$65,0),0))</f>
        <v>0</v>
      </c>
      <c r="AF310" s="497">
        <f t="shared" si="119"/>
        <v>0</v>
      </c>
      <c r="AG310" s="497">
        <f t="shared" si="132"/>
        <v>1800000</v>
      </c>
      <c r="AH310" s="493"/>
      <c r="AI310" s="493"/>
      <c r="AK310" s="492">
        <v>306</v>
      </c>
      <c r="AL310" s="492">
        <v>26</v>
      </c>
      <c r="AM310" s="497">
        <f>IF(('Comparison Calculator'!$E$11-AL310)&gt;=0,0,IFERROR(-PPMT($AQ$66/12,(AK310-60),($F$1-5)*12,$AQ$65),0))</f>
        <v>0</v>
      </c>
      <c r="AN310" s="497">
        <f>IF(('Comparison Calculator'!$E$11-AL310)&gt;=0,$C$1*$AQ$66/12,IFERROR(-IPMT($AQ$66/12,(AK310-60),($F$1-5)*12,$AQ$65,0),0))</f>
        <v>0</v>
      </c>
      <c r="AO310" s="497">
        <f t="shared" si="120"/>
        <v>0</v>
      </c>
      <c r="AP310" s="497">
        <f t="shared" si="133"/>
        <v>1800000</v>
      </c>
      <c r="AQ310" s="493"/>
      <c r="AR310" s="493"/>
      <c r="AT310" s="492">
        <v>306</v>
      </c>
      <c r="AU310" s="492">
        <v>26</v>
      </c>
      <c r="AV310" s="497">
        <f>IF(('Comparison Calculator'!$E$11-AU310)&gt;=0,0,IFERROR(-PPMT($AZ$66/12,(AT310-60),($F$1-5)*12,$AZ$65),0))</f>
        <v>0</v>
      </c>
      <c r="AW310" s="497">
        <f>IF(('Comparison Calculator'!$E$11-AU310)&gt;=0,$C$1*$AZ$66/12,IFERROR(-IPMT($AZ$66/12,(AT310-60),($F$1-5)*12,$AZ$65,0),0))</f>
        <v>0</v>
      </c>
      <c r="AX310" s="497">
        <f t="shared" si="121"/>
        <v>0</v>
      </c>
      <c r="AY310" s="497">
        <f t="shared" si="134"/>
        <v>1800000</v>
      </c>
      <c r="AZ310" s="493"/>
      <c r="BA310" s="493"/>
      <c r="BC310" s="492">
        <v>306</v>
      </c>
      <c r="BD310" s="492">
        <v>26</v>
      </c>
      <c r="BE310" s="497">
        <f>IF(('Comparison Calculator'!$E$11-BD310)&gt;=0,0,IFERROR(-PPMT($BI$66/12,(BC310-60),($F$1-5)*12,$BI$65),0))</f>
        <v>0</v>
      </c>
      <c r="BF310" s="497">
        <f>IF(('Comparison Calculator'!$E$11-BD310)&gt;=0,$C$1*$BI$66/12,IFERROR(-IPMT($BI$66/12,(BC310-60),($F$1-5)*12,$BI$65,0),0))</f>
        <v>0</v>
      </c>
      <c r="BG310" s="497">
        <f t="shared" si="122"/>
        <v>0</v>
      </c>
      <c r="BH310" s="497">
        <f t="shared" si="135"/>
        <v>1800000</v>
      </c>
      <c r="BI310" s="493"/>
      <c r="BJ310" s="493"/>
      <c r="BK310" s="492">
        <v>306</v>
      </c>
      <c r="BL310" s="492">
        <v>26</v>
      </c>
      <c r="BM310" s="497">
        <f>IF(('Comparison Calculator'!$E$11-BL310)&gt;=0,0,IFERROR(-PPMT($BQ$66/12,(BK310-60),($F$1-5)*12,$BQ$65),0))</f>
        <v>0</v>
      </c>
      <c r="BN310" s="497">
        <f>IF(('Comparison Calculator'!$E$11-BL310)&gt;=0,$C$1*$BQ$66/12,IFERROR(-IPMT($BQ$66/12,(BK310-60),($F$1-5)*12,$BQ$65,0),0))</f>
        <v>0</v>
      </c>
      <c r="BO310" s="497">
        <f t="shared" si="123"/>
        <v>0</v>
      </c>
      <c r="BP310" s="497">
        <f t="shared" si="136"/>
        <v>1800000</v>
      </c>
      <c r="BQ310" s="493"/>
      <c r="BR310" s="493"/>
      <c r="BT310" s="492">
        <v>306</v>
      </c>
      <c r="BU310" s="492">
        <v>26</v>
      </c>
      <c r="BV310" s="497">
        <f>IF(('Comparison Calculator'!$E$11-BU310)&gt;=0,0,IFERROR(-PPMT($BZ$66/12,(BT310-60),($F$1-5)*12,$BZ$65),0))</f>
        <v>0</v>
      </c>
      <c r="BW310" s="497">
        <f>IF(('Comparison Calculator'!$E$11-BU310)&gt;=0,$C$1*$BZ$66/12,IFERROR(-IPMT($BZ$66/12,(BT310-60),($F$1-5)*12,$BZ$65,0),0))</f>
        <v>0</v>
      </c>
      <c r="BX310" s="497">
        <f t="shared" si="124"/>
        <v>0</v>
      </c>
      <c r="BY310" s="497">
        <f t="shared" si="137"/>
        <v>1800000</v>
      </c>
      <c r="BZ310" s="493"/>
      <c r="CA310" s="493"/>
      <c r="CC310" s="492">
        <v>306</v>
      </c>
      <c r="CD310" s="492">
        <v>26</v>
      </c>
      <c r="CE310" s="497">
        <f>IF(('Comparison Calculator'!$E$11-CD310)&gt;=0,0,IFERROR(-PPMT($CI$66/12,(CC310-60),($F$1-5)*12,$CI$65),0))</f>
        <v>0</v>
      </c>
      <c r="CF310" s="497">
        <f>IF(('Comparison Calculator'!$E$11-CD310)&gt;=0,$C$1*$CI$66/12,IFERROR(-IPMT($CI$66/12,(CC310-60),($F$1-5)*12,$CI$65,0),0))</f>
        <v>0</v>
      </c>
      <c r="CG310" s="497">
        <f t="shared" si="125"/>
        <v>0</v>
      </c>
      <c r="CH310" s="497">
        <f t="shared" si="138"/>
        <v>1800000</v>
      </c>
      <c r="CI310" s="493"/>
      <c r="CJ310" s="493"/>
      <c r="CL310" s="492">
        <v>306</v>
      </c>
      <c r="CM310" s="492">
        <v>26</v>
      </c>
      <c r="CN310" s="497">
        <f>IF(('Comparison Calculator'!$E$11-CM310)&gt;=0,0,IFERROR(-PPMT($CR$66/12,(CL310-60),($F$1-5)*12,$CR$65),0))</f>
        <v>0</v>
      </c>
      <c r="CO310" s="497">
        <f>IF(('Comparison Calculator'!$E$11-CM310)&gt;=0,$C$1*$CI$66/12,IFERROR(-IPMT($CI$66/12,(CL310-60),($F$1-5)*12,$CI$65,0),0))</f>
        <v>0</v>
      </c>
      <c r="CP310" s="497">
        <f t="shared" si="126"/>
        <v>0</v>
      </c>
      <c r="CQ310" s="497">
        <f t="shared" si="139"/>
        <v>1800000</v>
      </c>
      <c r="CR310" s="493"/>
      <c r="CS310" s="493"/>
      <c r="CU310" s="492">
        <v>306</v>
      </c>
      <c r="CV310" s="492">
        <v>26</v>
      </c>
      <c r="CW310" s="497">
        <f>IF(('Comparison Calculator'!$E$11-CV310)&gt;=0,0,IFERROR(-PPMT($DA$66/12,(CU310-60),($F$1-5)*12,$DA$65),0))</f>
        <v>0</v>
      </c>
      <c r="CX310" s="497">
        <f>IF(('Comparison Calculator'!$E$11-CV310)&gt;=0,$C$1*$DA$66/12,IFERROR(-IPMT($DA$66/12,(CU310-60),($F$1-5)*12,$DA$65,0),0))</f>
        <v>0</v>
      </c>
      <c r="CY310" s="497">
        <f t="shared" si="127"/>
        <v>0</v>
      </c>
      <c r="CZ310" s="497">
        <f t="shared" si="140"/>
        <v>1800000</v>
      </c>
      <c r="DA310" s="493"/>
      <c r="DB310" s="493"/>
      <c r="DD310" s="492">
        <v>306</v>
      </c>
      <c r="DE310" s="492">
        <v>26</v>
      </c>
      <c r="DF310" s="497">
        <f>IF(('Comparison Calculator'!$E$11-DE310)&gt;=0,0,IFERROR(-PPMT($DJ$66/12,(DD310-60),($F$1-5)*12,$DJ$65),0))</f>
        <v>0</v>
      </c>
      <c r="DG310" s="497">
        <f>IF(('Comparison Calculator'!$E$11-DE310)&gt;=0,$C$1*$DJ$66/12,IFERROR(-IPMT($DJ$66/12,(DD310-60),($F$1-5)*12,$DJ$65,0),0))</f>
        <v>0</v>
      </c>
      <c r="DH310" s="497">
        <f t="shared" si="128"/>
        <v>0</v>
      </c>
      <c r="DI310" s="497">
        <f t="shared" si="141"/>
        <v>1800000</v>
      </c>
      <c r="DJ310" s="493"/>
      <c r="DK310" s="493"/>
    </row>
    <row r="311" spans="1:115">
      <c r="A311" s="492">
        <v>307</v>
      </c>
      <c r="B311" s="492">
        <v>26</v>
      </c>
      <c r="C311" s="497">
        <f>IF(('Comparison Calculator'!$E$11-B311)&gt;=0,0,IFERROR(-PPMT($G$66/12,(A311-60),($F$1-5)*12,$G$65),0))</f>
        <v>0</v>
      </c>
      <c r="D311" s="497">
        <f>IF(('Comparison Calculator'!$E$11-B311)&gt;=0,$C$1*$G$66/12,IFERROR(-IPMT($G$66/12,(A311-60),($F$1-5)*12,$G$65,0),0))</f>
        <v>0</v>
      </c>
      <c r="E311" s="497">
        <f t="shared" si="116"/>
        <v>0</v>
      </c>
      <c r="F311" s="497">
        <f t="shared" si="129"/>
        <v>1800000</v>
      </c>
      <c r="G311" s="493"/>
      <c r="H311" s="493"/>
      <c r="I311" s="489"/>
      <c r="J311" s="492">
        <v>307</v>
      </c>
      <c r="K311" s="492">
        <v>26</v>
      </c>
      <c r="L311" s="497">
        <f>IF(('Comparison Calculator'!$E$11-K311)&gt;=0,0,IFERROR(-PPMT($P$66/12,(J311-60),($F$1-5)*12,$P$65),0))</f>
        <v>0</v>
      </c>
      <c r="M311" s="497">
        <f>IF(('Comparison Calculator'!$E$11-K311)&gt;=0,$C$1*$P$66/12,IFERROR(-IPMT($P$66/12,(J311-60),($F$1-5)*12,$P$65,0),0))</f>
        <v>0</v>
      </c>
      <c r="N311" s="497">
        <f t="shared" si="117"/>
        <v>0</v>
      </c>
      <c r="O311" s="497">
        <f t="shared" si="130"/>
        <v>1800000</v>
      </c>
      <c r="P311" s="493"/>
      <c r="Q311" s="493"/>
      <c r="S311" s="492">
        <v>307</v>
      </c>
      <c r="T311" s="492">
        <v>26</v>
      </c>
      <c r="U311" s="497">
        <f>IF(('Comparison Calculator'!$E$11-T311)&gt;=0,0,IFERROR(-PPMT($Y$66/12,(S311-60),($F$1-5)*12,$Y$65),0))</f>
        <v>0</v>
      </c>
      <c r="V311" s="497">
        <f>IF(('Comparison Calculator'!$E$11-T311)&gt;=0,$C$1*$Y$66/12,IFERROR(-IPMT($Y$66/12,(S311-60),($F$1-5)*12,$Y$65,0),0))</f>
        <v>0</v>
      </c>
      <c r="W311" s="497">
        <f t="shared" si="118"/>
        <v>0</v>
      </c>
      <c r="X311" s="497">
        <f t="shared" si="131"/>
        <v>1800000</v>
      </c>
      <c r="Y311" s="493"/>
      <c r="Z311" s="493"/>
      <c r="AB311" s="492">
        <v>307</v>
      </c>
      <c r="AC311" s="492">
        <v>26</v>
      </c>
      <c r="AD311" s="497">
        <f>IF(('Comparison Calculator'!$E$11-AC311)&gt;=0,0,IFERROR(-PPMT($AH$66/12,(AB311-60),($F$1-5)*12,$AH$65),0))</f>
        <v>0</v>
      </c>
      <c r="AE311" s="497">
        <f>IF(('Comparison Calculator'!$E$11-AC311)&gt;=0,$C$1*$AH$66/12,IFERROR(-IPMT($AH$66/12,(AB311-60),($F$1-5)*12,$AH$65,0),0))</f>
        <v>0</v>
      </c>
      <c r="AF311" s="497">
        <f t="shared" si="119"/>
        <v>0</v>
      </c>
      <c r="AG311" s="497">
        <f t="shared" si="132"/>
        <v>1800000</v>
      </c>
      <c r="AH311" s="493"/>
      <c r="AI311" s="493"/>
      <c r="AK311" s="492">
        <v>307</v>
      </c>
      <c r="AL311" s="492">
        <v>26</v>
      </c>
      <c r="AM311" s="497">
        <f>IF(('Comparison Calculator'!$E$11-AL311)&gt;=0,0,IFERROR(-PPMT($AQ$66/12,(AK311-60),($F$1-5)*12,$AQ$65),0))</f>
        <v>0</v>
      </c>
      <c r="AN311" s="497">
        <f>IF(('Comparison Calculator'!$E$11-AL311)&gt;=0,$C$1*$AQ$66/12,IFERROR(-IPMT($AQ$66/12,(AK311-60),($F$1-5)*12,$AQ$65,0),0))</f>
        <v>0</v>
      </c>
      <c r="AO311" s="497">
        <f t="shared" si="120"/>
        <v>0</v>
      </c>
      <c r="AP311" s="497">
        <f t="shared" si="133"/>
        <v>1800000</v>
      </c>
      <c r="AQ311" s="493"/>
      <c r="AR311" s="493"/>
      <c r="AT311" s="492">
        <v>307</v>
      </c>
      <c r="AU311" s="492">
        <v>26</v>
      </c>
      <c r="AV311" s="497">
        <f>IF(('Comparison Calculator'!$E$11-AU311)&gt;=0,0,IFERROR(-PPMT($AZ$66/12,(AT311-60),($F$1-5)*12,$AZ$65),0))</f>
        <v>0</v>
      </c>
      <c r="AW311" s="497">
        <f>IF(('Comparison Calculator'!$E$11-AU311)&gt;=0,$C$1*$AZ$66/12,IFERROR(-IPMT($AZ$66/12,(AT311-60),($F$1-5)*12,$AZ$65,0),0))</f>
        <v>0</v>
      </c>
      <c r="AX311" s="497">
        <f t="shared" si="121"/>
        <v>0</v>
      </c>
      <c r="AY311" s="497">
        <f t="shared" si="134"/>
        <v>1800000</v>
      </c>
      <c r="AZ311" s="493"/>
      <c r="BA311" s="493"/>
      <c r="BC311" s="492">
        <v>307</v>
      </c>
      <c r="BD311" s="492">
        <v>26</v>
      </c>
      <c r="BE311" s="497">
        <f>IF(('Comparison Calculator'!$E$11-BD311)&gt;=0,0,IFERROR(-PPMT($BI$66/12,(BC311-60),($F$1-5)*12,$BI$65),0))</f>
        <v>0</v>
      </c>
      <c r="BF311" s="497">
        <f>IF(('Comparison Calculator'!$E$11-BD311)&gt;=0,$C$1*$BI$66/12,IFERROR(-IPMT($BI$66/12,(BC311-60),($F$1-5)*12,$BI$65,0),0))</f>
        <v>0</v>
      </c>
      <c r="BG311" s="497">
        <f t="shared" si="122"/>
        <v>0</v>
      </c>
      <c r="BH311" s="497">
        <f t="shared" si="135"/>
        <v>1800000</v>
      </c>
      <c r="BI311" s="493"/>
      <c r="BJ311" s="493"/>
      <c r="BK311" s="492">
        <v>307</v>
      </c>
      <c r="BL311" s="492">
        <v>26</v>
      </c>
      <c r="BM311" s="497">
        <f>IF(('Comparison Calculator'!$E$11-BL311)&gt;=0,0,IFERROR(-PPMT($BQ$66/12,(BK311-60),($F$1-5)*12,$BQ$65),0))</f>
        <v>0</v>
      </c>
      <c r="BN311" s="497">
        <f>IF(('Comparison Calculator'!$E$11-BL311)&gt;=0,$C$1*$BQ$66/12,IFERROR(-IPMT($BQ$66/12,(BK311-60),($F$1-5)*12,$BQ$65,0),0))</f>
        <v>0</v>
      </c>
      <c r="BO311" s="497">
        <f t="shared" si="123"/>
        <v>0</v>
      </c>
      <c r="BP311" s="497">
        <f t="shared" si="136"/>
        <v>1800000</v>
      </c>
      <c r="BQ311" s="493"/>
      <c r="BR311" s="493"/>
      <c r="BT311" s="492">
        <v>307</v>
      </c>
      <c r="BU311" s="492">
        <v>26</v>
      </c>
      <c r="BV311" s="497">
        <f>IF(('Comparison Calculator'!$E$11-BU311)&gt;=0,0,IFERROR(-PPMT($BZ$66/12,(BT311-60),($F$1-5)*12,$BZ$65),0))</f>
        <v>0</v>
      </c>
      <c r="BW311" s="497">
        <f>IF(('Comparison Calculator'!$E$11-BU311)&gt;=0,$C$1*$BZ$66/12,IFERROR(-IPMT($BZ$66/12,(BT311-60),($F$1-5)*12,$BZ$65,0),0))</f>
        <v>0</v>
      </c>
      <c r="BX311" s="497">
        <f t="shared" si="124"/>
        <v>0</v>
      </c>
      <c r="BY311" s="497">
        <f t="shared" si="137"/>
        <v>1800000</v>
      </c>
      <c r="BZ311" s="493"/>
      <c r="CA311" s="493"/>
      <c r="CC311" s="492">
        <v>307</v>
      </c>
      <c r="CD311" s="492">
        <v>26</v>
      </c>
      <c r="CE311" s="497">
        <f>IF(('Comparison Calculator'!$E$11-CD311)&gt;=0,0,IFERROR(-PPMT($CI$66/12,(CC311-60),($F$1-5)*12,$CI$65),0))</f>
        <v>0</v>
      </c>
      <c r="CF311" s="497">
        <f>IF(('Comparison Calculator'!$E$11-CD311)&gt;=0,$C$1*$CI$66/12,IFERROR(-IPMT($CI$66/12,(CC311-60),($F$1-5)*12,$CI$65,0),0))</f>
        <v>0</v>
      </c>
      <c r="CG311" s="497">
        <f t="shared" si="125"/>
        <v>0</v>
      </c>
      <c r="CH311" s="497">
        <f t="shared" si="138"/>
        <v>1800000</v>
      </c>
      <c r="CI311" s="493"/>
      <c r="CJ311" s="493"/>
      <c r="CL311" s="492">
        <v>307</v>
      </c>
      <c r="CM311" s="492">
        <v>26</v>
      </c>
      <c r="CN311" s="497">
        <f>IF(('Comparison Calculator'!$E$11-CM311)&gt;=0,0,IFERROR(-PPMT($CR$66/12,(CL311-60),($F$1-5)*12,$CR$65),0))</f>
        <v>0</v>
      </c>
      <c r="CO311" s="497">
        <f>IF(('Comparison Calculator'!$E$11-CM311)&gt;=0,$C$1*$CI$66/12,IFERROR(-IPMT($CI$66/12,(CL311-60),($F$1-5)*12,$CI$65,0),0))</f>
        <v>0</v>
      </c>
      <c r="CP311" s="497">
        <f t="shared" si="126"/>
        <v>0</v>
      </c>
      <c r="CQ311" s="497">
        <f t="shared" si="139"/>
        <v>1800000</v>
      </c>
      <c r="CR311" s="493"/>
      <c r="CS311" s="493"/>
      <c r="CU311" s="492">
        <v>307</v>
      </c>
      <c r="CV311" s="492">
        <v>26</v>
      </c>
      <c r="CW311" s="497">
        <f>IF(('Comparison Calculator'!$E$11-CV311)&gt;=0,0,IFERROR(-PPMT($DA$66/12,(CU311-60),($F$1-5)*12,$DA$65),0))</f>
        <v>0</v>
      </c>
      <c r="CX311" s="497">
        <f>IF(('Comparison Calculator'!$E$11-CV311)&gt;=0,$C$1*$DA$66/12,IFERROR(-IPMT($DA$66/12,(CU311-60),($F$1-5)*12,$DA$65,0),0))</f>
        <v>0</v>
      </c>
      <c r="CY311" s="497">
        <f t="shared" si="127"/>
        <v>0</v>
      </c>
      <c r="CZ311" s="497">
        <f t="shared" si="140"/>
        <v>1800000</v>
      </c>
      <c r="DA311" s="493"/>
      <c r="DB311" s="493"/>
      <c r="DD311" s="492">
        <v>307</v>
      </c>
      <c r="DE311" s="492">
        <v>26</v>
      </c>
      <c r="DF311" s="497">
        <f>IF(('Comparison Calculator'!$E$11-DE311)&gt;=0,0,IFERROR(-PPMT($DJ$66/12,(DD311-60),($F$1-5)*12,$DJ$65),0))</f>
        <v>0</v>
      </c>
      <c r="DG311" s="497">
        <f>IF(('Comparison Calculator'!$E$11-DE311)&gt;=0,$C$1*$DJ$66/12,IFERROR(-IPMT($DJ$66/12,(DD311-60),($F$1-5)*12,$DJ$65,0),0))</f>
        <v>0</v>
      </c>
      <c r="DH311" s="497">
        <f t="shared" si="128"/>
        <v>0</v>
      </c>
      <c r="DI311" s="497">
        <f t="shared" si="141"/>
        <v>1800000</v>
      </c>
      <c r="DJ311" s="493"/>
      <c r="DK311" s="493"/>
    </row>
    <row r="312" spans="1:115">
      <c r="A312" s="492">
        <v>308</v>
      </c>
      <c r="B312" s="492">
        <v>26</v>
      </c>
      <c r="C312" s="497">
        <f>IF(('Comparison Calculator'!$E$11-B312)&gt;=0,0,IFERROR(-PPMT($G$66/12,(A312-60),($F$1-5)*12,$G$65),0))</f>
        <v>0</v>
      </c>
      <c r="D312" s="497">
        <f>IF(('Comparison Calculator'!$E$11-B312)&gt;=0,$C$1*$G$66/12,IFERROR(-IPMT($G$66/12,(A312-60),($F$1-5)*12,$G$65,0),0))</f>
        <v>0</v>
      </c>
      <c r="E312" s="497">
        <f t="shared" si="116"/>
        <v>0</v>
      </c>
      <c r="F312" s="497">
        <f t="shared" si="129"/>
        <v>1800000</v>
      </c>
      <c r="G312" s="493"/>
      <c r="H312" s="493"/>
      <c r="I312" s="489"/>
      <c r="J312" s="492">
        <v>308</v>
      </c>
      <c r="K312" s="492">
        <v>26</v>
      </c>
      <c r="L312" s="497">
        <f>IF(('Comparison Calculator'!$E$11-K312)&gt;=0,0,IFERROR(-PPMT($P$66/12,(J312-60),($F$1-5)*12,$P$65),0))</f>
        <v>0</v>
      </c>
      <c r="M312" s="497">
        <f>IF(('Comparison Calculator'!$E$11-K312)&gt;=0,$C$1*$P$66/12,IFERROR(-IPMT($P$66/12,(J312-60),($F$1-5)*12,$P$65,0),0))</f>
        <v>0</v>
      </c>
      <c r="N312" s="497">
        <f t="shared" si="117"/>
        <v>0</v>
      </c>
      <c r="O312" s="497">
        <f t="shared" si="130"/>
        <v>1800000</v>
      </c>
      <c r="P312" s="493"/>
      <c r="Q312" s="493"/>
      <c r="S312" s="492">
        <v>308</v>
      </c>
      <c r="T312" s="492">
        <v>26</v>
      </c>
      <c r="U312" s="497">
        <f>IF(('Comparison Calculator'!$E$11-T312)&gt;=0,0,IFERROR(-PPMT($Y$66/12,(S312-60),($F$1-5)*12,$Y$65),0))</f>
        <v>0</v>
      </c>
      <c r="V312" s="497">
        <f>IF(('Comparison Calculator'!$E$11-T312)&gt;=0,$C$1*$Y$66/12,IFERROR(-IPMT($Y$66/12,(S312-60),($F$1-5)*12,$Y$65,0),0))</f>
        <v>0</v>
      </c>
      <c r="W312" s="497">
        <f t="shared" si="118"/>
        <v>0</v>
      </c>
      <c r="X312" s="497">
        <f t="shared" si="131"/>
        <v>1800000</v>
      </c>
      <c r="Y312" s="493"/>
      <c r="Z312" s="493"/>
      <c r="AB312" s="492">
        <v>308</v>
      </c>
      <c r="AC312" s="492">
        <v>26</v>
      </c>
      <c r="AD312" s="497">
        <f>IF(('Comparison Calculator'!$E$11-AC312)&gt;=0,0,IFERROR(-PPMT($AH$66/12,(AB312-60),($F$1-5)*12,$AH$65),0))</f>
        <v>0</v>
      </c>
      <c r="AE312" s="497">
        <f>IF(('Comparison Calculator'!$E$11-AC312)&gt;=0,$C$1*$AH$66/12,IFERROR(-IPMT($AH$66/12,(AB312-60),($F$1-5)*12,$AH$65,0),0))</f>
        <v>0</v>
      </c>
      <c r="AF312" s="497">
        <f t="shared" si="119"/>
        <v>0</v>
      </c>
      <c r="AG312" s="497">
        <f t="shared" si="132"/>
        <v>1800000</v>
      </c>
      <c r="AH312" s="493"/>
      <c r="AI312" s="493"/>
      <c r="AK312" s="492">
        <v>308</v>
      </c>
      <c r="AL312" s="492">
        <v>26</v>
      </c>
      <c r="AM312" s="497">
        <f>IF(('Comparison Calculator'!$E$11-AL312)&gt;=0,0,IFERROR(-PPMT($AQ$66/12,(AK312-60),($F$1-5)*12,$AQ$65),0))</f>
        <v>0</v>
      </c>
      <c r="AN312" s="497">
        <f>IF(('Comparison Calculator'!$E$11-AL312)&gt;=0,$C$1*$AQ$66/12,IFERROR(-IPMT($AQ$66/12,(AK312-60),($F$1-5)*12,$AQ$65,0),0))</f>
        <v>0</v>
      </c>
      <c r="AO312" s="497">
        <f t="shared" si="120"/>
        <v>0</v>
      </c>
      <c r="AP312" s="497">
        <f t="shared" si="133"/>
        <v>1800000</v>
      </c>
      <c r="AQ312" s="493"/>
      <c r="AR312" s="493"/>
      <c r="AT312" s="492">
        <v>308</v>
      </c>
      <c r="AU312" s="492">
        <v>26</v>
      </c>
      <c r="AV312" s="497">
        <f>IF(('Comparison Calculator'!$E$11-AU312)&gt;=0,0,IFERROR(-PPMT($AZ$66/12,(AT312-60),($F$1-5)*12,$AZ$65),0))</f>
        <v>0</v>
      </c>
      <c r="AW312" s="497">
        <f>IF(('Comparison Calculator'!$E$11-AU312)&gt;=0,$C$1*$AZ$66/12,IFERROR(-IPMT($AZ$66/12,(AT312-60),($F$1-5)*12,$AZ$65,0),0))</f>
        <v>0</v>
      </c>
      <c r="AX312" s="497">
        <f t="shared" si="121"/>
        <v>0</v>
      </c>
      <c r="AY312" s="497">
        <f t="shared" si="134"/>
        <v>1800000</v>
      </c>
      <c r="AZ312" s="493"/>
      <c r="BA312" s="493"/>
      <c r="BC312" s="492">
        <v>308</v>
      </c>
      <c r="BD312" s="492">
        <v>26</v>
      </c>
      <c r="BE312" s="497">
        <f>IF(('Comparison Calculator'!$E$11-BD312)&gt;=0,0,IFERROR(-PPMT($BI$66/12,(BC312-60),($F$1-5)*12,$BI$65),0))</f>
        <v>0</v>
      </c>
      <c r="BF312" s="497">
        <f>IF(('Comparison Calculator'!$E$11-BD312)&gt;=0,$C$1*$BI$66/12,IFERROR(-IPMT($BI$66/12,(BC312-60),($F$1-5)*12,$BI$65,0),0))</f>
        <v>0</v>
      </c>
      <c r="BG312" s="497">
        <f t="shared" si="122"/>
        <v>0</v>
      </c>
      <c r="BH312" s="497">
        <f t="shared" si="135"/>
        <v>1800000</v>
      </c>
      <c r="BI312" s="493"/>
      <c r="BJ312" s="493"/>
      <c r="BK312" s="492">
        <v>308</v>
      </c>
      <c r="BL312" s="492">
        <v>26</v>
      </c>
      <c r="BM312" s="497">
        <f>IF(('Comparison Calculator'!$E$11-BL312)&gt;=0,0,IFERROR(-PPMT($BQ$66/12,(BK312-60),($F$1-5)*12,$BQ$65),0))</f>
        <v>0</v>
      </c>
      <c r="BN312" s="497">
        <f>IF(('Comparison Calculator'!$E$11-BL312)&gt;=0,$C$1*$BQ$66/12,IFERROR(-IPMT($BQ$66/12,(BK312-60),($F$1-5)*12,$BQ$65,0),0))</f>
        <v>0</v>
      </c>
      <c r="BO312" s="497">
        <f t="shared" si="123"/>
        <v>0</v>
      </c>
      <c r="BP312" s="497">
        <f t="shared" si="136"/>
        <v>1800000</v>
      </c>
      <c r="BQ312" s="493"/>
      <c r="BR312" s="493"/>
      <c r="BT312" s="492">
        <v>308</v>
      </c>
      <c r="BU312" s="492">
        <v>26</v>
      </c>
      <c r="BV312" s="497">
        <f>IF(('Comparison Calculator'!$E$11-BU312)&gt;=0,0,IFERROR(-PPMT($BZ$66/12,(BT312-60),($F$1-5)*12,$BZ$65),0))</f>
        <v>0</v>
      </c>
      <c r="BW312" s="497">
        <f>IF(('Comparison Calculator'!$E$11-BU312)&gt;=0,$C$1*$BZ$66/12,IFERROR(-IPMT($BZ$66/12,(BT312-60),($F$1-5)*12,$BZ$65,0),0))</f>
        <v>0</v>
      </c>
      <c r="BX312" s="497">
        <f t="shared" si="124"/>
        <v>0</v>
      </c>
      <c r="BY312" s="497">
        <f t="shared" si="137"/>
        <v>1800000</v>
      </c>
      <c r="BZ312" s="493"/>
      <c r="CA312" s="493"/>
      <c r="CC312" s="492">
        <v>308</v>
      </c>
      <c r="CD312" s="492">
        <v>26</v>
      </c>
      <c r="CE312" s="497">
        <f>IF(('Comparison Calculator'!$E$11-CD312)&gt;=0,0,IFERROR(-PPMT($CI$66/12,(CC312-60),($F$1-5)*12,$CI$65),0))</f>
        <v>0</v>
      </c>
      <c r="CF312" s="497">
        <f>IF(('Comparison Calculator'!$E$11-CD312)&gt;=0,$C$1*$CI$66/12,IFERROR(-IPMT($CI$66/12,(CC312-60),($F$1-5)*12,$CI$65,0),0))</f>
        <v>0</v>
      </c>
      <c r="CG312" s="497">
        <f t="shared" si="125"/>
        <v>0</v>
      </c>
      <c r="CH312" s="497">
        <f t="shared" si="138"/>
        <v>1800000</v>
      </c>
      <c r="CI312" s="493"/>
      <c r="CJ312" s="493"/>
      <c r="CL312" s="492">
        <v>308</v>
      </c>
      <c r="CM312" s="492">
        <v>26</v>
      </c>
      <c r="CN312" s="497">
        <f>IF(('Comparison Calculator'!$E$11-CM312)&gt;=0,0,IFERROR(-PPMT($CR$66/12,(CL312-60),($F$1-5)*12,$CR$65),0))</f>
        <v>0</v>
      </c>
      <c r="CO312" s="497">
        <f>IF(('Comparison Calculator'!$E$11-CM312)&gt;=0,$C$1*$CI$66/12,IFERROR(-IPMT($CI$66/12,(CL312-60),($F$1-5)*12,$CI$65,0),0))</f>
        <v>0</v>
      </c>
      <c r="CP312" s="497">
        <f t="shared" si="126"/>
        <v>0</v>
      </c>
      <c r="CQ312" s="497">
        <f t="shared" si="139"/>
        <v>1800000</v>
      </c>
      <c r="CR312" s="493"/>
      <c r="CS312" s="493"/>
      <c r="CU312" s="492">
        <v>308</v>
      </c>
      <c r="CV312" s="492">
        <v>26</v>
      </c>
      <c r="CW312" s="497">
        <f>IF(('Comparison Calculator'!$E$11-CV312)&gt;=0,0,IFERROR(-PPMT($DA$66/12,(CU312-60),($F$1-5)*12,$DA$65),0))</f>
        <v>0</v>
      </c>
      <c r="CX312" s="497">
        <f>IF(('Comparison Calculator'!$E$11-CV312)&gt;=0,$C$1*$DA$66/12,IFERROR(-IPMT($DA$66/12,(CU312-60),($F$1-5)*12,$DA$65,0),0))</f>
        <v>0</v>
      </c>
      <c r="CY312" s="497">
        <f t="shared" si="127"/>
        <v>0</v>
      </c>
      <c r="CZ312" s="497">
        <f t="shared" si="140"/>
        <v>1800000</v>
      </c>
      <c r="DA312" s="493"/>
      <c r="DB312" s="493"/>
      <c r="DD312" s="492">
        <v>308</v>
      </c>
      <c r="DE312" s="492">
        <v>26</v>
      </c>
      <c r="DF312" s="497">
        <f>IF(('Comparison Calculator'!$E$11-DE312)&gt;=0,0,IFERROR(-PPMT($DJ$66/12,(DD312-60),($F$1-5)*12,$DJ$65),0))</f>
        <v>0</v>
      </c>
      <c r="DG312" s="497">
        <f>IF(('Comparison Calculator'!$E$11-DE312)&gt;=0,$C$1*$DJ$66/12,IFERROR(-IPMT($DJ$66/12,(DD312-60),($F$1-5)*12,$DJ$65,0),0))</f>
        <v>0</v>
      </c>
      <c r="DH312" s="497">
        <f t="shared" si="128"/>
        <v>0</v>
      </c>
      <c r="DI312" s="497">
        <f t="shared" si="141"/>
        <v>1800000</v>
      </c>
      <c r="DJ312" s="493"/>
      <c r="DK312" s="493"/>
    </row>
    <row r="313" spans="1:115">
      <c r="A313" s="492">
        <v>309</v>
      </c>
      <c r="B313" s="492">
        <v>26</v>
      </c>
      <c r="C313" s="497">
        <f>IF(('Comparison Calculator'!$E$11-B313)&gt;=0,0,IFERROR(-PPMT($G$66/12,(A313-60),($F$1-5)*12,$G$65),0))</f>
        <v>0</v>
      </c>
      <c r="D313" s="497">
        <f>IF(('Comparison Calculator'!$E$11-B313)&gt;=0,$C$1*$G$66/12,IFERROR(-IPMT($G$66/12,(A313-60),($F$1-5)*12,$G$65,0),0))</f>
        <v>0</v>
      </c>
      <c r="E313" s="497">
        <f t="shared" si="116"/>
        <v>0</v>
      </c>
      <c r="F313" s="497">
        <f t="shared" si="129"/>
        <v>1800000</v>
      </c>
      <c r="G313" s="493"/>
      <c r="H313" s="493"/>
      <c r="I313" s="489"/>
      <c r="J313" s="492">
        <v>309</v>
      </c>
      <c r="K313" s="492">
        <v>26</v>
      </c>
      <c r="L313" s="497">
        <f>IF(('Comparison Calculator'!$E$11-K313)&gt;=0,0,IFERROR(-PPMT($P$66/12,(J313-60),($F$1-5)*12,$P$65),0))</f>
        <v>0</v>
      </c>
      <c r="M313" s="497">
        <f>IF(('Comparison Calculator'!$E$11-K313)&gt;=0,$C$1*$P$66/12,IFERROR(-IPMT($P$66/12,(J313-60),($F$1-5)*12,$P$65,0),0))</f>
        <v>0</v>
      </c>
      <c r="N313" s="497">
        <f t="shared" si="117"/>
        <v>0</v>
      </c>
      <c r="O313" s="497">
        <f t="shared" si="130"/>
        <v>1800000</v>
      </c>
      <c r="P313" s="493"/>
      <c r="Q313" s="493"/>
      <c r="S313" s="492">
        <v>309</v>
      </c>
      <c r="T313" s="492">
        <v>26</v>
      </c>
      <c r="U313" s="497">
        <f>IF(('Comparison Calculator'!$E$11-T313)&gt;=0,0,IFERROR(-PPMT($Y$66/12,(S313-60),($F$1-5)*12,$Y$65),0))</f>
        <v>0</v>
      </c>
      <c r="V313" s="497">
        <f>IF(('Comparison Calculator'!$E$11-T313)&gt;=0,$C$1*$Y$66/12,IFERROR(-IPMT($Y$66/12,(S313-60),($F$1-5)*12,$Y$65,0),0))</f>
        <v>0</v>
      </c>
      <c r="W313" s="497">
        <f t="shared" si="118"/>
        <v>0</v>
      </c>
      <c r="X313" s="497">
        <f t="shared" si="131"/>
        <v>1800000</v>
      </c>
      <c r="Y313" s="493"/>
      <c r="Z313" s="493"/>
      <c r="AB313" s="492">
        <v>309</v>
      </c>
      <c r="AC313" s="492">
        <v>26</v>
      </c>
      <c r="AD313" s="497">
        <f>IF(('Comparison Calculator'!$E$11-AC313)&gt;=0,0,IFERROR(-PPMT($AH$66/12,(AB313-60),($F$1-5)*12,$AH$65),0))</f>
        <v>0</v>
      </c>
      <c r="AE313" s="497">
        <f>IF(('Comparison Calculator'!$E$11-AC313)&gt;=0,$C$1*$AH$66/12,IFERROR(-IPMT($AH$66/12,(AB313-60),($F$1-5)*12,$AH$65,0),0))</f>
        <v>0</v>
      </c>
      <c r="AF313" s="497">
        <f t="shared" si="119"/>
        <v>0</v>
      </c>
      <c r="AG313" s="497">
        <f t="shared" si="132"/>
        <v>1800000</v>
      </c>
      <c r="AH313" s="493"/>
      <c r="AI313" s="493"/>
      <c r="AK313" s="492">
        <v>309</v>
      </c>
      <c r="AL313" s="492">
        <v>26</v>
      </c>
      <c r="AM313" s="497">
        <f>IF(('Comparison Calculator'!$E$11-AL313)&gt;=0,0,IFERROR(-PPMT($AQ$66/12,(AK313-60),($F$1-5)*12,$AQ$65),0))</f>
        <v>0</v>
      </c>
      <c r="AN313" s="497">
        <f>IF(('Comparison Calculator'!$E$11-AL313)&gt;=0,$C$1*$AQ$66/12,IFERROR(-IPMT($AQ$66/12,(AK313-60),($F$1-5)*12,$AQ$65,0),0))</f>
        <v>0</v>
      </c>
      <c r="AO313" s="497">
        <f t="shared" si="120"/>
        <v>0</v>
      </c>
      <c r="AP313" s="497">
        <f t="shared" si="133"/>
        <v>1800000</v>
      </c>
      <c r="AQ313" s="493"/>
      <c r="AR313" s="493"/>
      <c r="AT313" s="492">
        <v>309</v>
      </c>
      <c r="AU313" s="492">
        <v>26</v>
      </c>
      <c r="AV313" s="497">
        <f>IF(('Comparison Calculator'!$E$11-AU313)&gt;=0,0,IFERROR(-PPMT($AZ$66/12,(AT313-60),($F$1-5)*12,$AZ$65),0))</f>
        <v>0</v>
      </c>
      <c r="AW313" s="497">
        <f>IF(('Comparison Calculator'!$E$11-AU313)&gt;=0,$C$1*$AZ$66/12,IFERROR(-IPMT($AZ$66/12,(AT313-60),($F$1-5)*12,$AZ$65,0),0))</f>
        <v>0</v>
      </c>
      <c r="AX313" s="497">
        <f t="shared" si="121"/>
        <v>0</v>
      </c>
      <c r="AY313" s="497">
        <f t="shared" si="134"/>
        <v>1800000</v>
      </c>
      <c r="AZ313" s="493"/>
      <c r="BA313" s="493"/>
      <c r="BC313" s="492">
        <v>309</v>
      </c>
      <c r="BD313" s="492">
        <v>26</v>
      </c>
      <c r="BE313" s="497">
        <f>IF(('Comparison Calculator'!$E$11-BD313)&gt;=0,0,IFERROR(-PPMT($BI$66/12,(BC313-60),($F$1-5)*12,$BI$65),0))</f>
        <v>0</v>
      </c>
      <c r="BF313" s="497">
        <f>IF(('Comparison Calculator'!$E$11-BD313)&gt;=0,$C$1*$BI$66/12,IFERROR(-IPMT($BI$66/12,(BC313-60),($F$1-5)*12,$BI$65,0),0))</f>
        <v>0</v>
      </c>
      <c r="BG313" s="497">
        <f t="shared" si="122"/>
        <v>0</v>
      </c>
      <c r="BH313" s="497">
        <f t="shared" si="135"/>
        <v>1800000</v>
      </c>
      <c r="BI313" s="493"/>
      <c r="BJ313" s="493"/>
      <c r="BK313" s="492">
        <v>309</v>
      </c>
      <c r="BL313" s="492">
        <v>26</v>
      </c>
      <c r="BM313" s="497">
        <f>IF(('Comparison Calculator'!$E$11-BL313)&gt;=0,0,IFERROR(-PPMT($BQ$66/12,(BK313-60),($F$1-5)*12,$BQ$65),0))</f>
        <v>0</v>
      </c>
      <c r="BN313" s="497">
        <f>IF(('Comparison Calculator'!$E$11-BL313)&gt;=0,$C$1*$BQ$66/12,IFERROR(-IPMT($BQ$66/12,(BK313-60),($F$1-5)*12,$BQ$65,0),0))</f>
        <v>0</v>
      </c>
      <c r="BO313" s="497">
        <f t="shared" si="123"/>
        <v>0</v>
      </c>
      <c r="BP313" s="497">
        <f t="shared" si="136"/>
        <v>1800000</v>
      </c>
      <c r="BQ313" s="493"/>
      <c r="BR313" s="493"/>
      <c r="BT313" s="492">
        <v>309</v>
      </c>
      <c r="BU313" s="492">
        <v>26</v>
      </c>
      <c r="BV313" s="497">
        <f>IF(('Comparison Calculator'!$E$11-BU313)&gt;=0,0,IFERROR(-PPMT($BZ$66/12,(BT313-60),($F$1-5)*12,$BZ$65),0))</f>
        <v>0</v>
      </c>
      <c r="BW313" s="497">
        <f>IF(('Comparison Calculator'!$E$11-BU313)&gt;=0,$C$1*$BZ$66/12,IFERROR(-IPMT($BZ$66/12,(BT313-60),($F$1-5)*12,$BZ$65,0),0))</f>
        <v>0</v>
      </c>
      <c r="BX313" s="497">
        <f t="shared" si="124"/>
        <v>0</v>
      </c>
      <c r="BY313" s="497">
        <f t="shared" si="137"/>
        <v>1800000</v>
      </c>
      <c r="BZ313" s="493"/>
      <c r="CA313" s="493"/>
      <c r="CC313" s="492">
        <v>309</v>
      </c>
      <c r="CD313" s="492">
        <v>26</v>
      </c>
      <c r="CE313" s="497">
        <f>IF(('Comparison Calculator'!$E$11-CD313)&gt;=0,0,IFERROR(-PPMT($CI$66/12,(CC313-60),($F$1-5)*12,$CI$65),0))</f>
        <v>0</v>
      </c>
      <c r="CF313" s="497">
        <f>IF(('Comparison Calculator'!$E$11-CD313)&gt;=0,$C$1*$CI$66/12,IFERROR(-IPMT($CI$66/12,(CC313-60),($F$1-5)*12,$CI$65,0),0))</f>
        <v>0</v>
      </c>
      <c r="CG313" s="497">
        <f t="shared" si="125"/>
        <v>0</v>
      </c>
      <c r="CH313" s="497">
        <f t="shared" si="138"/>
        <v>1800000</v>
      </c>
      <c r="CI313" s="493"/>
      <c r="CJ313" s="493"/>
      <c r="CL313" s="492">
        <v>309</v>
      </c>
      <c r="CM313" s="492">
        <v>26</v>
      </c>
      <c r="CN313" s="497">
        <f>IF(('Comparison Calculator'!$E$11-CM313)&gt;=0,0,IFERROR(-PPMT($CR$66/12,(CL313-60),($F$1-5)*12,$CR$65),0))</f>
        <v>0</v>
      </c>
      <c r="CO313" s="497">
        <f>IF(('Comparison Calculator'!$E$11-CM313)&gt;=0,$C$1*$CI$66/12,IFERROR(-IPMT($CI$66/12,(CL313-60),($F$1-5)*12,$CI$65,0),0))</f>
        <v>0</v>
      </c>
      <c r="CP313" s="497">
        <f t="shared" si="126"/>
        <v>0</v>
      </c>
      <c r="CQ313" s="497">
        <f t="shared" si="139"/>
        <v>1800000</v>
      </c>
      <c r="CR313" s="493"/>
      <c r="CS313" s="493"/>
      <c r="CU313" s="492">
        <v>309</v>
      </c>
      <c r="CV313" s="492">
        <v>26</v>
      </c>
      <c r="CW313" s="497">
        <f>IF(('Comparison Calculator'!$E$11-CV313)&gt;=0,0,IFERROR(-PPMT($DA$66/12,(CU313-60),($F$1-5)*12,$DA$65),0))</f>
        <v>0</v>
      </c>
      <c r="CX313" s="497">
        <f>IF(('Comparison Calculator'!$E$11-CV313)&gt;=0,$C$1*$DA$66/12,IFERROR(-IPMT($DA$66/12,(CU313-60),($F$1-5)*12,$DA$65,0),0))</f>
        <v>0</v>
      </c>
      <c r="CY313" s="497">
        <f t="shared" si="127"/>
        <v>0</v>
      </c>
      <c r="CZ313" s="497">
        <f t="shared" si="140"/>
        <v>1800000</v>
      </c>
      <c r="DA313" s="493"/>
      <c r="DB313" s="493"/>
      <c r="DD313" s="492">
        <v>309</v>
      </c>
      <c r="DE313" s="492">
        <v>26</v>
      </c>
      <c r="DF313" s="497">
        <f>IF(('Comparison Calculator'!$E$11-DE313)&gt;=0,0,IFERROR(-PPMT($DJ$66/12,(DD313-60),($F$1-5)*12,$DJ$65),0))</f>
        <v>0</v>
      </c>
      <c r="DG313" s="497">
        <f>IF(('Comparison Calculator'!$E$11-DE313)&gt;=0,$C$1*$DJ$66/12,IFERROR(-IPMT($DJ$66/12,(DD313-60),($F$1-5)*12,$DJ$65,0),0))</f>
        <v>0</v>
      </c>
      <c r="DH313" s="497">
        <f t="shared" si="128"/>
        <v>0</v>
      </c>
      <c r="DI313" s="497">
        <f t="shared" si="141"/>
        <v>1800000</v>
      </c>
      <c r="DJ313" s="493"/>
      <c r="DK313" s="493"/>
    </row>
    <row r="314" spans="1:115">
      <c r="A314" s="492">
        <v>310</v>
      </c>
      <c r="B314" s="492">
        <v>26</v>
      </c>
      <c r="C314" s="497">
        <f>IF(('Comparison Calculator'!$E$11-B314)&gt;=0,0,IFERROR(-PPMT($G$66/12,(A314-60),($F$1-5)*12,$G$65),0))</f>
        <v>0</v>
      </c>
      <c r="D314" s="497">
        <f>IF(('Comparison Calculator'!$E$11-B314)&gt;=0,$C$1*$G$66/12,IFERROR(-IPMT($G$66/12,(A314-60),($F$1-5)*12,$G$65,0),0))</f>
        <v>0</v>
      </c>
      <c r="E314" s="497">
        <f t="shared" si="116"/>
        <v>0</v>
      </c>
      <c r="F314" s="497">
        <f t="shared" si="129"/>
        <v>1800000</v>
      </c>
      <c r="G314" s="493"/>
      <c r="H314" s="493"/>
      <c r="I314" s="489"/>
      <c r="J314" s="492">
        <v>310</v>
      </c>
      <c r="K314" s="492">
        <v>26</v>
      </c>
      <c r="L314" s="497">
        <f>IF(('Comparison Calculator'!$E$11-K314)&gt;=0,0,IFERROR(-PPMT($P$66/12,(J314-60),($F$1-5)*12,$P$65),0))</f>
        <v>0</v>
      </c>
      <c r="M314" s="497">
        <f>IF(('Comparison Calculator'!$E$11-K314)&gt;=0,$C$1*$P$66/12,IFERROR(-IPMT($P$66/12,(J314-60),($F$1-5)*12,$P$65,0),0))</f>
        <v>0</v>
      </c>
      <c r="N314" s="497">
        <f t="shared" si="117"/>
        <v>0</v>
      </c>
      <c r="O314" s="497">
        <f t="shared" si="130"/>
        <v>1800000</v>
      </c>
      <c r="P314" s="493"/>
      <c r="Q314" s="493"/>
      <c r="S314" s="492">
        <v>310</v>
      </c>
      <c r="T314" s="492">
        <v>26</v>
      </c>
      <c r="U314" s="497">
        <f>IF(('Comparison Calculator'!$E$11-T314)&gt;=0,0,IFERROR(-PPMT($Y$66/12,(S314-60),($F$1-5)*12,$Y$65),0))</f>
        <v>0</v>
      </c>
      <c r="V314" s="497">
        <f>IF(('Comparison Calculator'!$E$11-T314)&gt;=0,$C$1*$Y$66/12,IFERROR(-IPMT($Y$66/12,(S314-60),($F$1-5)*12,$Y$65,0),0))</f>
        <v>0</v>
      </c>
      <c r="W314" s="497">
        <f t="shared" si="118"/>
        <v>0</v>
      </c>
      <c r="X314" s="497">
        <f t="shared" si="131"/>
        <v>1800000</v>
      </c>
      <c r="Y314" s="493"/>
      <c r="Z314" s="493"/>
      <c r="AB314" s="492">
        <v>310</v>
      </c>
      <c r="AC314" s="492">
        <v>26</v>
      </c>
      <c r="AD314" s="497">
        <f>IF(('Comparison Calculator'!$E$11-AC314)&gt;=0,0,IFERROR(-PPMT($AH$66/12,(AB314-60),($F$1-5)*12,$AH$65),0))</f>
        <v>0</v>
      </c>
      <c r="AE314" s="497">
        <f>IF(('Comparison Calculator'!$E$11-AC314)&gt;=0,$C$1*$AH$66/12,IFERROR(-IPMT($AH$66/12,(AB314-60),($F$1-5)*12,$AH$65,0),0))</f>
        <v>0</v>
      </c>
      <c r="AF314" s="497">
        <f t="shared" si="119"/>
        <v>0</v>
      </c>
      <c r="AG314" s="497">
        <f t="shared" si="132"/>
        <v>1800000</v>
      </c>
      <c r="AH314" s="493"/>
      <c r="AI314" s="493"/>
      <c r="AK314" s="492">
        <v>310</v>
      </c>
      <c r="AL314" s="492">
        <v>26</v>
      </c>
      <c r="AM314" s="497">
        <f>IF(('Comparison Calculator'!$E$11-AL314)&gt;=0,0,IFERROR(-PPMT($AQ$66/12,(AK314-60),($F$1-5)*12,$AQ$65),0))</f>
        <v>0</v>
      </c>
      <c r="AN314" s="497">
        <f>IF(('Comparison Calculator'!$E$11-AL314)&gt;=0,$C$1*$AQ$66/12,IFERROR(-IPMT($AQ$66/12,(AK314-60),($F$1-5)*12,$AQ$65,0),0))</f>
        <v>0</v>
      </c>
      <c r="AO314" s="497">
        <f t="shared" si="120"/>
        <v>0</v>
      </c>
      <c r="AP314" s="497">
        <f t="shared" si="133"/>
        <v>1800000</v>
      </c>
      <c r="AQ314" s="493"/>
      <c r="AR314" s="493"/>
      <c r="AT314" s="492">
        <v>310</v>
      </c>
      <c r="AU314" s="492">
        <v>26</v>
      </c>
      <c r="AV314" s="497">
        <f>IF(('Comparison Calculator'!$E$11-AU314)&gt;=0,0,IFERROR(-PPMT($AZ$66/12,(AT314-60),($F$1-5)*12,$AZ$65),0))</f>
        <v>0</v>
      </c>
      <c r="AW314" s="497">
        <f>IF(('Comparison Calculator'!$E$11-AU314)&gt;=0,$C$1*$AZ$66/12,IFERROR(-IPMT($AZ$66/12,(AT314-60),($F$1-5)*12,$AZ$65,0),0))</f>
        <v>0</v>
      </c>
      <c r="AX314" s="497">
        <f t="shared" si="121"/>
        <v>0</v>
      </c>
      <c r="AY314" s="497">
        <f t="shared" si="134"/>
        <v>1800000</v>
      </c>
      <c r="AZ314" s="493"/>
      <c r="BA314" s="493"/>
      <c r="BC314" s="492">
        <v>310</v>
      </c>
      <c r="BD314" s="492">
        <v>26</v>
      </c>
      <c r="BE314" s="497">
        <f>IF(('Comparison Calculator'!$E$11-BD314)&gt;=0,0,IFERROR(-PPMT($BI$66/12,(BC314-60),($F$1-5)*12,$BI$65),0))</f>
        <v>0</v>
      </c>
      <c r="BF314" s="497">
        <f>IF(('Comparison Calculator'!$E$11-BD314)&gt;=0,$C$1*$BI$66/12,IFERROR(-IPMT($BI$66/12,(BC314-60),($F$1-5)*12,$BI$65,0),0))</f>
        <v>0</v>
      </c>
      <c r="BG314" s="497">
        <f t="shared" si="122"/>
        <v>0</v>
      </c>
      <c r="BH314" s="497">
        <f t="shared" si="135"/>
        <v>1800000</v>
      </c>
      <c r="BI314" s="493"/>
      <c r="BJ314" s="493"/>
      <c r="BK314" s="492">
        <v>310</v>
      </c>
      <c r="BL314" s="492">
        <v>26</v>
      </c>
      <c r="BM314" s="497">
        <f>IF(('Comparison Calculator'!$E$11-BL314)&gt;=0,0,IFERROR(-PPMT($BQ$66/12,(BK314-60),($F$1-5)*12,$BQ$65),0))</f>
        <v>0</v>
      </c>
      <c r="BN314" s="497">
        <f>IF(('Comparison Calculator'!$E$11-BL314)&gt;=0,$C$1*$BQ$66/12,IFERROR(-IPMT($BQ$66/12,(BK314-60),($F$1-5)*12,$BQ$65,0),0))</f>
        <v>0</v>
      </c>
      <c r="BO314" s="497">
        <f t="shared" si="123"/>
        <v>0</v>
      </c>
      <c r="BP314" s="497">
        <f t="shared" si="136"/>
        <v>1800000</v>
      </c>
      <c r="BQ314" s="493"/>
      <c r="BR314" s="493"/>
      <c r="BT314" s="492">
        <v>310</v>
      </c>
      <c r="BU314" s="492">
        <v>26</v>
      </c>
      <c r="BV314" s="497">
        <f>IF(('Comparison Calculator'!$E$11-BU314)&gt;=0,0,IFERROR(-PPMT($BZ$66/12,(BT314-60),($F$1-5)*12,$BZ$65),0))</f>
        <v>0</v>
      </c>
      <c r="BW314" s="497">
        <f>IF(('Comparison Calculator'!$E$11-BU314)&gt;=0,$C$1*$BZ$66/12,IFERROR(-IPMT($BZ$66/12,(BT314-60),($F$1-5)*12,$BZ$65,0),0))</f>
        <v>0</v>
      </c>
      <c r="BX314" s="497">
        <f t="shared" si="124"/>
        <v>0</v>
      </c>
      <c r="BY314" s="497">
        <f t="shared" si="137"/>
        <v>1800000</v>
      </c>
      <c r="BZ314" s="493"/>
      <c r="CA314" s="493"/>
      <c r="CC314" s="492">
        <v>310</v>
      </c>
      <c r="CD314" s="492">
        <v>26</v>
      </c>
      <c r="CE314" s="497">
        <f>IF(('Comparison Calculator'!$E$11-CD314)&gt;=0,0,IFERROR(-PPMT($CI$66/12,(CC314-60),($F$1-5)*12,$CI$65),0))</f>
        <v>0</v>
      </c>
      <c r="CF314" s="497">
        <f>IF(('Comparison Calculator'!$E$11-CD314)&gt;=0,$C$1*$CI$66/12,IFERROR(-IPMT($CI$66/12,(CC314-60),($F$1-5)*12,$CI$65,0),0))</f>
        <v>0</v>
      </c>
      <c r="CG314" s="497">
        <f t="shared" si="125"/>
        <v>0</v>
      </c>
      <c r="CH314" s="497">
        <f t="shared" si="138"/>
        <v>1800000</v>
      </c>
      <c r="CI314" s="493"/>
      <c r="CJ314" s="493"/>
      <c r="CL314" s="492">
        <v>310</v>
      </c>
      <c r="CM314" s="492">
        <v>26</v>
      </c>
      <c r="CN314" s="497">
        <f>IF(('Comparison Calculator'!$E$11-CM314)&gt;=0,0,IFERROR(-PPMT($CR$66/12,(CL314-60),($F$1-5)*12,$CR$65),0))</f>
        <v>0</v>
      </c>
      <c r="CO314" s="497">
        <f>IF(('Comparison Calculator'!$E$11-CM314)&gt;=0,$C$1*$CI$66/12,IFERROR(-IPMT($CI$66/12,(CL314-60),($F$1-5)*12,$CI$65,0),0))</f>
        <v>0</v>
      </c>
      <c r="CP314" s="497">
        <f t="shared" si="126"/>
        <v>0</v>
      </c>
      <c r="CQ314" s="497">
        <f t="shared" si="139"/>
        <v>1800000</v>
      </c>
      <c r="CR314" s="493"/>
      <c r="CS314" s="493"/>
      <c r="CU314" s="492">
        <v>310</v>
      </c>
      <c r="CV314" s="492">
        <v>26</v>
      </c>
      <c r="CW314" s="497">
        <f>IF(('Comparison Calculator'!$E$11-CV314)&gt;=0,0,IFERROR(-PPMT($DA$66/12,(CU314-60),($F$1-5)*12,$DA$65),0))</f>
        <v>0</v>
      </c>
      <c r="CX314" s="497">
        <f>IF(('Comparison Calculator'!$E$11-CV314)&gt;=0,$C$1*$DA$66/12,IFERROR(-IPMT($DA$66/12,(CU314-60),($F$1-5)*12,$DA$65,0),0))</f>
        <v>0</v>
      </c>
      <c r="CY314" s="497">
        <f t="shared" si="127"/>
        <v>0</v>
      </c>
      <c r="CZ314" s="497">
        <f t="shared" si="140"/>
        <v>1800000</v>
      </c>
      <c r="DA314" s="493"/>
      <c r="DB314" s="493"/>
      <c r="DD314" s="492">
        <v>310</v>
      </c>
      <c r="DE314" s="492">
        <v>26</v>
      </c>
      <c r="DF314" s="497">
        <f>IF(('Comparison Calculator'!$E$11-DE314)&gt;=0,0,IFERROR(-PPMT($DJ$66/12,(DD314-60),($F$1-5)*12,$DJ$65),0))</f>
        <v>0</v>
      </c>
      <c r="DG314" s="497">
        <f>IF(('Comparison Calculator'!$E$11-DE314)&gt;=0,$C$1*$DJ$66/12,IFERROR(-IPMT($DJ$66/12,(DD314-60),($F$1-5)*12,$DJ$65,0),0))</f>
        <v>0</v>
      </c>
      <c r="DH314" s="497">
        <f t="shared" si="128"/>
        <v>0</v>
      </c>
      <c r="DI314" s="497">
        <f t="shared" si="141"/>
        <v>1800000</v>
      </c>
      <c r="DJ314" s="493"/>
      <c r="DK314" s="493"/>
    </row>
    <row r="315" spans="1:115">
      <c r="A315" s="492">
        <v>311</v>
      </c>
      <c r="B315" s="492">
        <v>26</v>
      </c>
      <c r="C315" s="497">
        <f>IF(('Comparison Calculator'!$E$11-B315)&gt;=0,0,IFERROR(-PPMT($G$66/12,(A315-60),($F$1-5)*12,$G$65),0))</f>
        <v>0</v>
      </c>
      <c r="D315" s="497">
        <f>IF(('Comparison Calculator'!$E$11-B315)&gt;=0,$C$1*$G$66/12,IFERROR(-IPMT($G$66/12,(A315-60),($F$1-5)*12,$G$65,0),0))</f>
        <v>0</v>
      </c>
      <c r="E315" s="497">
        <f t="shared" si="116"/>
        <v>0</v>
      </c>
      <c r="F315" s="497">
        <f t="shared" si="129"/>
        <v>1800000</v>
      </c>
      <c r="G315" s="493"/>
      <c r="H315" s="493"/>
      <c r="I315" s="489"/>
      <c r="J315" s="492">
        <v>311</v>
      </c>
      <c r="K315" s="492">
        <v>26</v>
      </c>
      <c r="L315" s="497">
        <f>IF(('Comparison Calculator'!$E$11-K315)&gt;=0,0,IFERROR(-PPMT($P$66/12,(J315-60),($F$1-5)*12,$P$65),0))</f>
        <v>0</v>
      </c>
      <c r="M315" s="497">
        <f>IF(('Comparison Calculator'!$E$11-K315)&gt;=0,$C$1*$P$66/12,IFERROR(-IPMT($P$66/12,(J315-60),($F$1-5)*12,$P$65,0),0))</f>
        <v>0</v>
      </c>
      <c r="N315" s="497">
        <f t="shared" si="117"/>
        <v>0</v>
      </c>
      <c r="O315" s="497">
        <f t="shared" si="130"/>
        <v>1800000</v>
      </c>
      <c r="P315" s="493"/>
      <c r="Q315" s="493"/>
      <c r="S315" s="492">
        <v>311</v>
      </c>
      <c r="T315" s="492">
        <v>26</v>
      </c>
      <c r="U315" s="497">
        <f>IF(('Comparison Calculator'!$E$11-T315)&gt;=0,0,IFERROR(-PPMT($Y$66/12,(S315-60),($F$1-5)*12,$Y$65),0))</f>
        <v>0</v>
      </c>
      <c r="V315" s="497">
        <f>IF(('Comparison Calculator'!$E$11-T315)&gt;=0,$C$1*$Y$66/12,IFERROR(-IPMT($Y$66/12,(S315-60),($F$1-5)*12,$Y$65,0),0))</f>
        <v>0</v>
      </c>
      <c r="W315" s="497">
        <f t="shared" si="118"/>
        <v>0</v>
      </c>
      <c r="X315" s="497">
        <f t="shared" si="131"/>
        <v>1800000</v>
      </c>
      <c r="Y315" s="493"/>
      <c r="Z315" s="493"/>
      <c r="AB315" s="492">
        <v>311</v>
      </c>
      <c r="AC315" s="492">
        <v>26</v>
      </c>
      <c r="AD315" s="497">
        <f>IF(('Comparison Calculator'!$E$11-AC315)&gt;=0,0,IFERROR(-PPMT($AH$66/12,(AB315-60),($F$1-5)*12,$AH$65),0))</f>
        <v>0</v>
      </c>
      <c r="AE315" s="497">
        <f>IF(('Comparison Calculator'!$E$11-AC315)&gt;=0,$C$1*$AH$66/12,IFERROR(-IPMT($AH$66/12,(AB315-60),($F$1-5)*12,$AH$65,0),0))</f>
        <v>0</v>
      </c>
      <c r="AF315" s="497">
        <f t="shared" si="119"/>
        <v>0</v>
      </c>
      <c r="AG315" s="497">
        <f t="shared" si="132"/>
        <v>1800000</v>
      </c>
      <c r="AH315" s="493"/>
      <c r="AI315" s="493"/>
      <c r="AK315" s="492">
        <v>311</v>
      </c>
      <c r="AL315" s="492">
        <v>26</v>
      </c>
      <c r="AM315" s="497">
        <f>IF(('Comparison Calculator'!$E$11-AL315)&gt;=0,0,IFERROR(-PPMT($AQ$66/12,(AK315-60),($F$1-5)*12,$AQ$65),0))</f>
        <v>0</v>
      </c>
      <c r="AN315" s="497">
        <f>IF(('Comparison Calculator'!$E$11-AL315)&gt;=0,$C$1*$AQ$66/12,IFERROR(-IPMT($AQ$66/12,(AK315-60),($F$1-5)*12,$AQ$65,0),0))</f>
        <v>0</v>
      </c>
      <c r="AO315" s="497">
        <f t="shared" si="120"/>
        <v>0</v>
      </c>
      <c r="AP315" s="497">
        <f t="shared" si="133"/>
        <v>1800000</v>
      </c>
      <c r="AQ315" s="493"/>
      <c r="AR315" s="493"/>
      <c r="AT315" s="492">
        <v>311</v>
      </c>
      <c r="AU315" s="492">
        <v>26</v>
      </c>
      <c r="AV315" s="497">
        <f>IF(('Comparison Calculator'!$E$11-AU315)&gt;=0,0,IFERROR(-PPMT($AZ$66/12,(AT315-60),($F$1-5)*12,$AZ$65),0))</f>
        <v>0</v>
      </c>
      <c r="AW315" s="497">
        <f>IF(('Comparison Calculator'!$E$11-AU315)&gt;=0,$C$1*$AZ$66/12,IFERROR(-IPMT($AZ$66/12,(AT315-60),($F$1-5)*12,$AZ$65,0),0))</f>
        <v>0</v>
      </c>
      <c r="AX315" s="497">
        <f t="shared" si="121"/>
        <v>0</v>
      </c>
      <c r="AY315" s="497">
        <f t="shared" si="134"/>
        <v>1800000</v>
      </c>
      <c r="AZ315" s="493"/>
      <c r="BA315" s="493"/>
      <c r="BC315" s="492">
        <v>311</v>
      </c>
      <c r="BD315" s="492">
        <v>26</v>
      </c>
      <c r="BE315" s="497">
        <f>IF(('Comparison Calculator'!$E$11-BD315)&gt;=0,0,IFERROR(-PPMT($BI$66/12,(BC315-60),($F$1-5)*12,$BI$65),0))</f>
        <v>0</v>
      </c>
      <c r="BF315" s="497">
        <f>IF(('Comparison Calculator'!$E$11-BD315)&gt;=0,$C$1*$BI$66/12,IFERROR(-IPMT($BI$66/12,(BC315-60),($F$1-5)*12,$BI$65,0),0))</f>
        <v>0</v>
      </c>
      <c r="BG315" s="497">
        <f t="shared" si="122"/>
        <v>0</v>
      </c>
      <c r="BH315" s="497">
        <f t="shared" si="135"/>
        <v>1800000</v>
      </c>
      <c r="BI315" s="493"/>
      <c r="BJ315" s="493"/>
      <c r="BK315" s="492">
        <v>311</v>
      </c>
      <c r="BL315" s="492">
        <v>26</v>
      </c>
      <c r="BM315" s="497">
        <f>IF(('Comparison Calculator'!$E$11-BL315)&gt;=0,0,IFERROR(-PPMT($BQ$66/12,(BK315-60),($F$1-5)*12,$BQ$65),0))</f>
        <v>0</v>
      </c>
      <c r="BN315" s="497">
        <f>IF(('Comparison Calculator'!$E$11-BL315)&gt;=0,$C$1*$BQ$66/12,IFERROR(-IPMT($BQ$66/12,(BK315-60),($F$1-5)*12,$BQ$65,0),0))</f>
        <v>0</v>
      </c>
      <c r="BO315" s="497">
        <f t="shared" si="123"/>
        <v>0</v>
      </c>
      <c r="BP315" s="497">
        <f t="shared" si="136"/>
        <v>1800000</v>
      </c>
      <c r="BQ315" s="493"/>
      <c r="BR315" s="493"/>
      <c r="BT315" s="492">
        <v>311</v>
      </c>
      <c r="BU315" s="492">
        <v>26</v>
      </c>
      <c r="BV315" s="497">
        <f>IF(('Comparison Calculator'!$E$11-BU315)&gt;=0,0,IFERROR(-PPMT($BZ$66/12,(BT315-60),($F$1-5)*12,$BZ$65),0))</f>
        <v>0</v>
      </c>
      <c r="BW315" s="497">
        <f>IF(('Comparison Calculator'!$E$11-BU315)&gt;=0,$C$1*$BZ$66/12,IFERROR(-IPMT($BZ$66/12,(BT315-60),($F$1-5)*12,$BZ$65,0),0))</f>
        <v>0</v>
      </c>
      <c r="BX315" s="497">
        <f t="shared" si="124"/>
        <v>0</v>
      </c>
      <c r="BY315" s="497">
        <f t="shared" si="137"/>
        <v>1800000</v>
      </c>
      <c r="BZ315" s="493"/>
      <c r="CA315" s="493"/>
      <c r="CC315" s="492">
        <v>311</v>
      </c>
      <c r="CD315" s="492">
        <v>26</v>
      </c>
      <c r="CE315" s="497">
        <f>IF(('Comparison Calculator'!$E$11-CD315)&gt;=0,0,IFERROR(-PPMT($CI$66/12,(CC315-60),($F$1-5)*12,$CI$65),0))</f>
        <v>0</v>
      </c>
      <c r="CF315" s="497">
        <f>IF(('Comparison Calculator'!$E$11-CD315)&gt;=0,$C$1*$CI$66/12,IFERROR(-IPMT($CI$66/12,(CC315-60),($F$1-5)*12,$CI$65,0),0))</f>
        <v>0</v>
      </c>
      <c r="CG315" s="497">
        <f t="shared" si="125"/>
        <v>0</v>
      </c>
      <c r="CH315" s="497">
        <f t="shared" si="138"/>
        <v>1800000</v>
      </c>
      <c r="CI315" s="493"/>
      <c r="CJ315" s="493"/>
      <c r="CL315" s="492">
        <v>311</v>
      </c>
      <c r="CM315" s="492">
        <v>26</v>
      </c>
      <c r="CN315" s="497">
        <f>IF(('Comparison Calculator'!$E$11-CM315)&gt;=0,0,IFERROR(-PPMT($CR$66/12,(CL315-60),($F$1-5)*12,$CR$65),0))</f>
        <v>0</v>
      </c>
      <c r="CO315" s="497">
        <f>IF(('Comparison Calculator'!$E$11-CM315)&gt;=0,$C$1*$CI$66/12,IFERROR(-IPMT($CI$66/12,(CL315-60),($F$1-5)*12,$CI$65,0),0))</f>
        <v>0</v>
      </c>
      <c r="CP315" s="497">
        <f t="shared" si="126"/>
        <v>0</v>
      </c>
      <c r="CQ315" s="497">
        <f t="shared" si="139"/>
        <v>1800000</v>
      </c>
      <c r="CR315" s="493"/>
      <c r="CS315" s="493"/>
      <c r="CU315" s="492">
        <v>311</v>
      </c>
      <c r="CV315" s="492">
        <v>26</v>
      </c>
      <c r="CW315" s="497">
        <f>IF(('Comparison Calculator'!$E$11-CV315)&gt;=0,0,IFERROR(-PPMT($DA$66/12,(CU315-60),($F$1-5)*12,$DA$65),0))</f>
        <v>0</v>
      </c>
      <c r="CX315" s="497">
        <f>IF(('Comparison Calculator'!$E$11-CV315)&gt;=0,$C$1*$DA$66/12,IFERROR(-IPMT($DA$66/12,(CU315-60),($F$1-5)*12,$DA$65,0),0))</f>
        <v>0</v>
      </c>
      <c r="CY315" s="497">
        <f t="shared" si="127"/>
        <v>0</v>
      </c>
      <c r="CZ315" s="497">
        <f t="shared" si="140"/>
        <v>1800000</v>
      </c>
      <c r="DA315" s="493"/>
      <c r="DB315" s="493"/>
      <c r="DD315" s="492">
        <v>311</v>
      </c>
      <c r="DE315" s="492">
        <v>26</v>
      </c>
      <c r="DF315" s="497">
        <f>IF(('Comparison Calculator'!$E$11-DE315)&gt;=0,0,IFERROR(-PPMT($DJ$66/12,(DD315-60),($F$1-5)*12,$DJ$65),0))</f>
        <v>0</v>
      </c>
      <c r="DG315" s="497">
        <f>IF(('Comparison Calculator'!$E$11-DE315)&gt;=0,$C$1*$DJ$66/12,IFERROR(-IPMT($DJ$66/12,(DD315-60),($F$1-5)*12,$DJ$65,0),0))</f>
        <v>0</v>
      </c>
      <c r="DH315" s="497">
        <f t="shared" si="128"/>
        <v>0</v>
      </c>
      <c r="DI315" s="497">
        <f t="shared" si="141"/>
        <v>1800000</v>
      </c>
      <c r="DJ315" s="493"/>
      <c r="DK315" s="493"/>
    </row>
    <row r="316" spans="1:115">
      <c r="A316" s="492">
        <v>312</v>
      </c>
      <c r="B316" s="492">
        <v>26</v>
      </c>
      <c r="C316" s="497">
        <f>IF(('Comparison Calculator'!$E$11-B316)&gt;=0,0,IFERROR(-PPMT($G$66/12,(A316-60),($F$1-5)*12,$G$65),0))</f>
        <v>0</v>
      </c>
      <c r="D316" s="497">
        <f>IF(('Comparison Calculator'!$E$11-B316)&gt;=0,$C$1*$G$66/12,IFERROR(-IPMT($G$66/12,(A316-60),($F$1-5)*12,$G$65,0),0))</f>
        <v>0</v>
      </c>
      <c r="E316" s="497">
        <f t="shared" si="116"/>
        <v>0</v>
      </c>
      <c r="F316" s="497">
        <f t="shared" si="129"/>
        <v>1800000</v>
      </c>
      <c r="G316" s="493"/>
      <c r="H316" s="493"/>
      <c r="I316" s="489"/>
      <c r="J316" s="492">
        <v>312</v>
      </c>
      <c r="K316" s="492">
        <v>26</v>
      </c>
      <c r="L316" s="497">
        <f>IF(('Comparison Calculator'!$E$11-K316)&gt;=0,0,IFERROR(-PPMT($P$66/12,(J316-60),($F$1-5)*12,$P$65),0))</f>
        <v>0</v>
      </c>
      <c r="M316" s="497">
        <f>IF(('Comparison Calculator'!$E$11-K316)&gt;=0,$C$1*$P$66/12,IFERROR(-IPMT($P$66/12,(J316-60),($F$1-5)*12,$P$65,0),0))</f>
        <v>0</v>
      </c>
      <c r="N316" s="497">
        <f t="shared" si="117"/>
        <v>0</v>
      </c>
      <c r="O316" s="497">
        <f t="shared" si="130"/>
        <v>1800000</v>
      </c>
      <c r="P316" s="493"/>
      <c r="Q316" s="493"/>
      <c r="S316" s="492">
        <v>312</v>
      </c>
      <c r="T316" s="492">
        <v>26</v>
      </c>
      <c r="U316" s="497">
        <f>IF(('Comparison Calculator'!$E$11-T316)&gt;=0,0,IFERROR(-PPMT($Y$66/12,(S316-60),($F$1-5)*12,$Y$65),0))</f>
        <v>0</v>
      </c>
      <c r="V316" s="497">
        <f>IF(('Comparison Calculator'!$E$11-T316)&gt;=0,$C$1*$Y$66/12,IFERROR(-IPMT($Y$66/12,(S316-60),($F$1-5)*12,$Y$65,0),0))</f>
        <v>0</v>
      </c>
      <c r="W316" s="497">
        <f t="shared" si="118"/>
        <v>0</v>
      </c>
      <c r="X316" s="497">
        <f t="shared" si="131"/>
        <v>1800000</v>
      </c>
      <c r="Y316" s="493"/>
      <c r="Z316" s="493"/>
      <c r="AB316" s="492">
        <v>312</v>
      </c>
      <c r="AC316" s="492">
        <v>26</v>
      </c>
      <c r="AD316" s="497">
        <f>IF(('Comparison Calculator'!$E$11-AC316)&gt;=0,0,IFERROR(-PPMT($AH$66/12,(AB316-60),($F$1-5)*12,$AH$65),0))</f>
        <v>0</v>
      </c>
      <c r="AE316" s="497">
        <f>IF(('Comparison Calculator'!$E$11-AC316)&gt;=0,$C$1*$AH$66/12,IFERROR(-IPMT($AH$66/12,(AB316-60),($F$1-5)*12,$AH$65,0),0))</f>
        <v>0</v>
      </c>
      <c r="AF316" s="497">
        <f t="shared" si="119"/>
        <v>0</v>
      </c>
      <c r="AG316" s="497">
        <f t="shared" si="132"/>
        <v>1800000</v>
      </c>
      <c r="AH316" s="493"/>
      <c r="AI316" s="493"/>
      <c r="AK316" s="492">
        <v>312</v>
      </c>
      <c r="AL316" s="492">
        <v>26</v>
      </c>
      <c r="AM316" s="497">
        <f>IF(('Comparison Calculator'!$E$11-AL316)&gt;=0,0,IFERROR(-PPMT($AQ$66/12,(AK316-60),($F$1-5)*12,$AQ$65),0))</f>
        <v>0</v>
      </c>
      <c r="AN316" s="497">
        <f>IF(('Comparison Calculator'!$E$11-AL316)&gt;=0,$C$1*$AQ$66/12,IFERROR(-IPMT($AQ$66/12,(AK316-60),($F$1-5)*12,$AQ$65,0),0))</f>
        <v>0</v>
      </c>
      <c r="AO316" s="497">
        <f t="shared" si="120"/>
        <v>0</v>
      </c>
      <c r="AP316" s="497">
        <f t="shared" si="133"/>
        <v>1800000</v>
      </c>
      <c r="AQ316" s="493"/>
      <c r="AR316" s="493"/>
      <c r="AT316" s="492">
        <v>312</v>
      </c>
      <c r="AU316" s="492">
        <v>26</v>
      </c>
      <c r="AV316" s="497">
        <f>IF(('Comparison Calculator'!$E$11-AU316)&gt;=0,0,IFERROR(-PPMT($AZ$66/12,(AT316-60),($F$1-5)*12,$AZ$65),0))</f>
        <v>0</v>
      </c>
      <c r="AW316" s="497">
        <f>IF(('Comparison Calculator'!$E$11-AU316)&gt;=0,$C$1*$AZ$66/12,IFERROR(-IPMT($AZ$66/12,(AT316-60),($F$1-5)*12,$AZ$65,0),0))</f>
        <v>0</v>
      </c>
      <c r="AX316" s="497">
        <f t="shared" si="121"/>
        <v>0</v>
      </c>
      <c r="AY316" s="497">
        <f t="shared" si="134"/>
        <v>1800000</v>
      </c>
      <c r="AZ316" s="493"/>
      <c r="BA316" s="493"/>
      <c r="BC316" s="492">
        <v>312</v>
      </c>
      <c r="BD316" s="492">
        <v>26</v>
      </c>
      <c r="BE316" s="497">
        <f>IF(('Comparison Calculator'!$E$11-BD316)&gt;=0,0,IFERROR(-PPMT($BI$66/12,(BC316-60),($F$1-5)*12,$BI$65),0))</f>
        <v>0</v>
      </c>
      <c r="BF316" s="497">
        <f>IF(('Comparison Calculator'!$E$11-BD316)&gt;=0,$C$1*$BI$66/12,IFERROR(-IPMT($BI$66/12,(BC316-60),($F$1-5)*12,$BI$65,0),0))</f>
        <v>0</v>
      </c>
      <c r="BG316" s="497">
        <f t="shared" si="122"/>
        <v>0</v>
      </c>
      <c r="BH316" s="497">
        <f t="shared" si="135"/>
        <v>1800000</v>
      </c>
      <c r="BI316" s="493"/>
      <c r="BJ316" s="493"/>
      <c r="BK316" s="492">
        <v>312</v>
      </c>
      <c r="BL316" s="492">
        <v>26</v>
      </c>
      <c r="BM316" s="497">
        <f>IF(('Comparison Calculator'!$E$11-BL316)&gt;=0,0,IFERROR(-PPMT($BQ$66/12,(BK316-60),($F$1-5)*12,$BQ$65),0))</f>
        <v>0</v>
      </c>
      <c r="BN316" s="497">
        <f>IF(('Comparison Calculator'!$E$11-BL316)&gt;=0,$C$1*$BQ$66/12,IFERROR(-IPMT($BQ$66/12,(BK316-60),($F$1-5)*12,$BQ$65,0),0))</f>
        <v>0</v>
      </c>
      <c r="BO316" s="497">
        <f t="shared" si="123"/>
        <v>0</v>
      </c>
      <c r="BP316" s="497">
        <f t="shared" si="136"/>
        <v>1800000</v>
      </c>
      <c r="BQ316" s="493"/>
      <c r="BR316" s="493"/>
      <c r="BT316" s="492">
        <v>312</v>
      </c>
      <c r="BU316" s="492">
        <v>26</v>
      </c>
      <c r="BV316" s="497">
        <f>IF(('Comparison Calculator'!$E$11-BU316)&gt;=0,0,IFERROR(-PPMT($BZ$66/12,(BT316-60),($F$1-5)*12,$BZ$65),0))</f>
        <v>0</v>
      </c>
      <c r="BW316" s="497">
        <f>IF(('Comparison Calculator'!$E$11-BU316)&gt;=0,$C$1*$BZ$66/12,IFERROR(-IPMT($BZ$66/12,(BT316-60),($F$1-5)*12,$BZ$65,0),0))</f>
        <v>0</v>
      </c>
      <c r="BX316" s="497">
        <f t="shared" si="124"/>
        <v>0</v>
      </c>
      <c r="BY316" s="497">
        <f t="shared" si="137"/>
        <v>1800000</v>
      </c>
      <c r="BZ316" s="493"/>
      <c r="CA316" s="493"/>
      <c r="CC316" s="492">
        <v>312</v>
      </c>
      <c r="CD316" s="492">
        <v>26</v>
      </c>
      <c r="CE316" s="497">
        <f>IF(('Comparison Calculator'!$E$11-CD316)&gt;=0,0,IFERROR(-PPMT($CI$66/12,(CC316-60),($F$1-5)*12,$CI$65),0))</f>
        <v>0</v>
      </c>
      <c r="CF316" s="497">
        <f>IF(('Comparison Calculator'!$E$11-CD316)&gt;=0,$C$1*$CI$66/12,IFERROR(-IPMT($CI$66/12,(CC316-60),($F$1-5)*12,$CI$65,0),0))</f>
        <v>0</v>
      </c>
      <c r="CG316" s="497">
        <f t="shared" si="125"/>
        <v>0</v>
      </c>
      <c r="CH316" s="497">
        <f t="shared" si="138"/>
        <v>1800000</v>
      </c>
      <c r="CI316" s="493"/>
      <c r="CJ316" s="493"/>
      <c r="CL316" s="492">
        <v>312</v>
      </c>
      <c r="CM316" s="492">
        <v>26</v>
      </c>
      <c r="CN316" s="497">
        <f>IF(('Comparison Calculator'!$E$11-CM316)&gt;=0,0,IFERROR(-PPMT($CR$66/12,(CL316-60),($F$1-5)*12,$CR$65),0))</f>
        <v>0</v>
      </c>
      <c r="CO316" s="497">
        <f>IF(('Comparison Calculator'!$E$11-CM316)&gt;=0,$C$1*$CI$66/12,IFERROR(-IPMT($CI$66/12,(CL316-60),($F$1-5)*12,$CI$65,0),0))</f>
        <v>0</v>
      </c>
      <c r="CP316" s="497">
        <f t="shared" si="126"/>
        <v>0</v>
      </c>
      <c r="CQ316" s="497">
        <f t="shared" si="139"/>
        <v>1800000</v>
      </c>
      <c r="CR316" s="493"/>
      <c r="CS316" s="493"/>
      <c r="CU316" s="492">
        <v>312</v>
      </c>
      <c r="CV316" s="492">
        <v>26</v>
      </c>
      <c r="CW316" s="497">
        <f>IF(('Comparison Calculator'!$E$11-CV316)&gt;=0,0,IFERROR(-PPMT($DA$66/12,(CU316-60),($F$1-5)*12,$DA$65),0))</f>
        <v>0</v>
      </c>
      <c r="CX316" s="497">
        <f>IF(('Comparison Calculator'!$E$11-CV316)&gt;=0,$C$1*$DA$66/12,IFERROR(-IPMT($DA$66/12,(CU316-60),($F$1-5)*12,$DA$65,0),0))</f>
        <v>0</v>
      </c>
      <c r="CY316" s="497">
        <f t="shared" si="127"/>
        <v>0</v>
      </c>
      <c r="CZ316" s="497">
        <f t="shared" si="140"/>
        <v>1800000</v>
      </c>
      <c r="DA316" s="493"/>
      <c r="DB316" s="493"/>
      <c r="DD316" s="492">
        <v>312</v>
      </c>
      <c r="DE316" s="492">
        <v>26</v>
      </c>
      <c r="DF316" s="497">
        <f>IF(('Comparison Calculator'!$E$11-DE316)&gt;=0,0,IFERROR(-PPMT($DJ$66/12,(DD316-60),($F$1-5)*12,$DJ$65),0))</f>
        <v>0</v>
      </c>
      <c r="DG316" s="497">
        <f>IF(('Comparison Calculator'!$E$11-DE316)&gt;=0,$C$1*$DJ$66/12,IFERROR(-IPMT($DJ$66/12,(DD316-60),($F$1-5)*12,$DJ$65,0),0))</f>
        <v>0</v>
      </c>
      <c r="DH316" s="497">
        <f t="shared" si="128"/>
        <v>0</v>
      </c>
      <c r="DI316" s="497">
        <f t="shared" si="141"/>
        <v>1800000</v>
      </c>
      <c r="DJ316" s="493"/>
      <c r="DK316" s="493"/>
    </row>
    <row r="317" spans="1:115">
      <c r="A317" s="492">
        <v>313</v>
      </c>
      <c r="B317" s="492">
        <v>27</v>
      </c>
      <c r="C317" s="497">
        <f>IF(('Comparison Calculator'!$E$11-B317)&gt;=0,0,IFERROR(-PPMT($G$66/12,(A317-60),($F$1-5)*12,$G$65),0))</f>
        <v>0</v>
      </c>
      <c r="D317" s="497">
        <f>IF(('Comparison Calculator'!$E$11-B317)&gt;=0,$C$1*$G$66/12,IFERROR(-IPMT($G$66/12,(A317-60),($F$1-5)*12,$G$65,0),0))</f>
        <v>0</v>
      </c>
      <c r="E317" s="497">
        <f t="shared" si="116"/>
        <v>0</v>
      </c>
      <c r="F317" s="497">
        <f t="shared" si="129"/>
        <v>1800000</v>
      </c>
      <c r="G317" s="493"/>
      <c r="H317" s="493"/>
      <c r="I317" s="489"/>
      <c r="J317" s="492">
        <v>313</v>
      </c>
      <c r="K317" s="492">
        <v>27</v>
      </c>
      <c r="L317" s="497">
        <f>IF(('Comparison Calculator'!$E$11-K317)&gt;=0,0,IFERROR(-PPMT($P$66/12,(J317-60),($F$1-5)*12,$P$65),0))</f>
        <v>0</v>
      </c>
      <c r="M317" s="497">
        <f>IF(('Comparison Calculator'!$E$11-K317)&gt;=0,$C$1*$P$66/12,IFERROR(-IPMT($P$66/12,(J317-60),($F$1-5)*12,$P$65,0),0))</f>
        <v>0</v>
      </c>
      <c r="N317" s="497">
        <f t="shared" si="117"/>
        <v>0</v>
      </c>
      <c r="O317" s="497">
        <f t="shared" si="130"/>
        <v>1800000</v>
      </c>
      <c r="P317" s="493"/>
      <c r="Q317" s="493"/>
      <c r="S317" s="492">
        <v>313</v>
      </c>
      <c r="T317" s="492">
        <v>27</v>
      </c>
      <c r="U317" s="497">
        <f>IF(('Comparison Calculator'!$E$11-T317)&gt;=0,0,IFERROR(-PPMT($Y$66/12,(S317-60),($F$1-5)*12,$Y$65),0))</f>
        <v>0</v>
      </c>
      <c r="V317" s="497">
        <f>IF(('Comparison Calculator'!$E$11-T317)&gt;=0,$C$1*$Y$66/12,IFERROR(-IPMT($Y$66/12,(S317-60),($F$1-5)*12,$Y$65,0),0))</f>
        <v>0</v>
      </c>
      <c r="W317" s="497">
        <f t="shared" si="118"/>
        <v>0</v>
      </c>
      <c r="X317" s="497">
        <f t="shared" si="131"/>
        <v>1800000</v>
      </c>
      <c r="Y317" s="493"/>
      <c r="Z317" s="493"/>
      <c r="AB317" s="492">
        <v>313</v>
      </c>
      <c r="AC317" s="492">
        <v>27</v>
      </c>
      <c r="AD317" s="497">
        <f>IF(('Comparison Calculator'!$E$11-AC317)&gt;=0,0,IFERROR(-PPMT($AH$66/12,(AB317-60),($F$1-5)*12,$AH$65),0))</f>
        <v>0</v>
      </c>
      <c r="AE317" s="497">
        <f>IF(('Comparison Calculator'!$E$11-AC317)&gt;=0,$C$1*$AH$66/12,IFERROR(-IPMT($AH$66/12,(AB317-60),($F$1-5)*12,$AH$65,0),0))</f>
        <v>0</v>
      </c>
      <c r="AF317" s="497">
        <f t="shared" si="119"/>
        <v>0</v>
      </c>
      <c r="AG317" s="497">
        <f t="shared" si="132"/>
        <v>1800000</v>
      </c>
      <c r="AH317" s="493"/>
      <c r="AI317" s="493"/>
      <c r="AK317" s="492">
        <v>313</v>
      </c>
      <c r="AL317" s="492">
        <v>27</v>
      </c>
      <c r="AM317" s="497">
        <f>IF(('Comparison Calculator'!$E$11-AL317)&gt;=0,0,IFERROR(-PPMT($AQ$66/12,(AK317-60),($F$1-5)*12,$AQ$65),0))</f>
        <v>0</v>
      </c>
      <c r="AN317" s="497">
        <f>IF(('Comparison Calculator'!$E$11-AL317)&gt;=0,$C$1*$AQ$66/12,IFERROR(-IPMT($AQ$66/12,(AK317-60),($F$1-5)*12,$AQ$65,0),0))</f>
        <v>0</v>
      </c>
      <c r="AO317" s="497">
        <f t="shared" si="120"/>
        <v>0</v>
      </c>
      <c r="AP317" s="497">
        <f t="shared" si="133"/>
        <v>1800000</v>
      </c>
      <c r="AQ317" s="493"/>
      <c r="AR317" s="493"/>
      <c r="AT317" s="492">
        <v>313</v>
      </c>
      <c r="AU317" s="492">
        <v>27</v>
      </c>
      <c r="AV317" s="497">
        <f>IF(('Comparison Calculator'!$E$11-AU317)&gt;=0,0,IFERROR(-PPMT($AZ$66/12,(AT317-60),($F$1-5)*12,$AZ$65),0))</f>
        <v>0</v>
      </c>
      <c r="AW317" s="497">
        <f>IF(('Comparison Calculator'!$E$11-AU317)&gt;=0,$C$1*$AZ$66/12,IFERROR(-IPMT($AZ$66/12,(AT317-60),($F$1-5)*12,$AZ$65,0),0))</f>
        <v>0</v>
      </c>
      <c r="AX317" s="497">
        <f t="shared" si="121"/>
        <v>0</v>
      </c>
      <c r="AY317" s="497">
        <f t="shared" si="134"/>
        <v>1800000</v>
      </c>
      <c r="AZ317" s="493"/>
      <c r="BA317" s="493"/>
      <c r="BC317" s="492">
        <v>313</v>
      </c>
      <c r="BD317" s="492">
        <v>27</v>
      </c>
      <c r="BE317" s="497">
        <f>IF(('Comparison Calculator'!$E$11-BD317)&gt;=0,0,IFERROR(-PPMT($BI$66/12,(BC317-60),($F$1-5)*12,$BI$65),0))</f>
        <v>0</v>
      </c>
      <c r="BF317" s="497">
        <f>IF(('Comparison Calculator'!$E$11-BD317)&gt;=0,$C$1*$BI$66/12,IFERROR(-IPMT($BI$66/12,(BC317-60),($F$1-5)*12,$BI$65,0),0))</f>
        <v>0</v>
      </c>
      <c r="BG317" s="497">
        <f t="shared" si="122"/>
        <v>0</v>
      </c>
      <c r="BH317" s="497">
        <f t="shared" si="135"/>
        <v>1800000</v>
      </c>
      <c r="BI317" s="493"/>
      <c r="BJ317" s="493"/>
      <c r="BK317" s="492">
        <v>313</v>
      </c>
      <c r="BL317" s="492">
        <v>27</v>
      </c>
      <c r="BM317" s="497">
        <f>IF(('Comparison Calculator'!$E$11-BL317)&gt;=0,0,IFERROR(-PPMT($BQ$66/12,(BK317-60),($F$1-5)*12,$BQ$65),0))</f>
        <v>0</v>
      </c>
      <c r="BN317" s="497">
        <f>IF(('Comparison Calculator'!$E$11-BL317)&gt;=0,$C$1*$BQ$66/12,IFERROR(-IPMT($BQ$66/12,(BK317-60),($F$1-5)*12,$BQ$65,0),0))</f>
        <v>0</v>
      </c>
      <c r="BO317" s="497">
        <f t="shared" si="123"/>
        <v>0</v>
      </c>
      <c r="BP317" s="497">
        <f t="shared" si="136"/>
        <v>1800000</v>
      </c>
      <c r="BQ317" s="493"/>
      <c r="BR317" s="493"/>
      <c r="BT317" s="492">
        <v>313</v>
      </c>
      <c r="BU317" s="492">
        <v>27</v>
      </c>
      <c r="BV317" s="497">
        <f>IF(('Comparison Calculator'!$E$11-BU317)&gt;=0,0,IFERROR(-PPMT($BZ$66/12,(BT317-60),($F$1-5)*12,$BZ$65),0))</f>
        <v>0</v>
      </c>
      <c r="BW317" s="497">
        <f>IF(('Comparison Calculator'!$E$11-BU317)&gt;=0,$C$1*$BZ$66/12,IFERROR(-IPMT($BZ$66/12,(BT317-60),($F$1-5)*12,$BZ$65,0),0))</f>
        <v>0</v>
      </c>
      <c r="BX317" s="497">
        <f t="shared" si="124"/>
        <v>0</v>
      </c>
      <c r="BY317" s="497">
        <f t="shared" si="137"/>
        <v>1800000</v>
      </c>
      <c r="BZ317" s="493"/>
      <c r="CA317" s="493"/>
      <c r="CC317" s="492">
        <v>313</v>
      </c>
      <c r="CD317" s="492">
        <v>27</v>
      </c>
      <c r="CE317" s="497">
        <f>IF(('Comparison Calculator'!$E$11-CD317)&gt;=0,0,IFERROR(-PPMT($CI$66/12,(CC317-60),($F$1-5)*12,$CI$65),0))</f>
        <v>0</v>
      </c>
      <c r="CF317" s="497">
        <f>IF(('Comparison Calculator'!$E$11-CD317)&gt;=0,$C$1*$CI$66/12,IFERROR(-IPMT($CI$66/12,(CC317-60),($F$1-5)*12,$CI$65,0),0))</f>
        <v>0</v>
      </c>
      <c r="CG317" s="497">
        <f t="shared" si="125"/>
        <v>0</v>
      </c>
      <c r="CH317" s="497">
        <f t="shared" si="138"/>
        <v>1800000</v>
      </c>
      <c r="CI317" s="493"/>
      <c r="CJ317" s="493"/>
      <c r="CL317" s="492">
        <v>313</v>
      </c>
      <c r="CM317" s="492">
        <v>27</v>
      </c>
      <c r="CN317" s="497">
        <f>IF(('Comparison Calculator'!$E$11-CM317)&gt;=0,0,IFERROR(-PPMT($CR$66/12,(CL317-60),($F$1-5)*12,$CR$65),0))</f>
        <v>0</v>
      </c>
      <c r="CO317" s="497">
        <f>IF(('Comparison Calculator'!$E$11-CM317)&gt;=0,$C$1*$CI$66/12,IFERROR(-IPMT($CI$66/12,(CL317-60),($F$1-5)*12,$CI$65,0),0))</f>
        <v>0</v>
      </c>
      <c r="CP317" s="497">
        <f t="shared" si="126"/>
        <v>0</v>
      </c>
      <c r="CQ317" s="497">
        <f t="shared" si="139"/>
        <v>1800000</v>
      </c>
      <c r="CR317" s="493"/>
      <c r="CS317" s="493"/>
      <c r="CU317" s="492">
        <v>313</v>
      </c>
      <c r="CV317" s="492">
        <v>27</v>
      </c>
      <c r="CW317" s="497">
        <f>IF(('Comparison Calculator'!$E$11-CV317)&gt;=0,0,IFERROR(-PPMT($DA$66/12,(CU317-60),($F$1-5)*12,$DA$65),0))</f>
        <v>0</v>
      </c>
      <c r="CX317" s="497">
        <f>IF(('Comparison Calculator'!$E$11-CV317)&gt;=0,$C$1*$DA$66/12,IFERROR(-IPMT($DA$66/12,(CU317-60),($F$1-5)*12,$DA$65,0),0))</f>
        <v>0</v>
      </c>
      <c r="CY317" s="497">
        <f t="shared" si="127"/>
        <v>0</v>
      </c>
      <c r="CZ317" s="497">
        <f t="shared" si="140"/>
        <v>1800000</v>
      </c>
      <c r="DA317" s="493"/>
      <c r="DB317" s="493"/>
      <c r="DD317" s="492">
        <v>313</v>
      </c>
      <c r="DE317" s="492">
        <v>27</v>
      </c>
      <c r="DF317" s="497">
        <f>IF(('Comparison Calculator'!$E$11-DE317)&gt;=0,0,IFERROR(-PPMT($DJ$66/12,(DD317-60),($F$1-5)*12,$DJ$65),0))</f>
        <v>0</v>
      </c>
      <c r="DG317" s="497">
        <f>IF(('Comparison Calculator'!$E$11-DE317)&gt;=0,$C$1*$DJ$66/12,IFERROR(-IPMT($DJ$66/12,(DD317-60),($F$1-5)*12,$DJ$65,0),0))</f>
        <v>0</v>
      </c>
      <c r="DH317" s="497">
        <f t="shared" si="128"/>
        <v>0</v>
      </c>
      <c r="DI317" s="497">
        <f t="shared" si="141"/>
        <v>1800000</v>
      </c>
      <c r="DJ317" s="493"/>
      <c r="DK317" s="493"/>
    </row>
    <row r="318" spans="1:115">
      <c r="A318" s="492">
        <v>314</v>
      </c>
      <c r="B318" s="492">
        <v>27</v>
      </c>
      <c r="C318" s="497">
        <f>IF(('Comparison Calculator'!$E$11-B318)&gt;=0,0,IFERROR(-PPMT($G$66/12,(A318-60),($F$1-5)*12,$G$65),0))</f>
        <v>0</v>
      </c>
      <c r="D318" s="497">
        <f>IF(('Comparison Calculator'!$E$11-B318)&gt;=0,$C$1*$G$66/12,IFERROR(-IPMT($G$66/12,(A318-60),($F$1-5)*12,$G$65,0),0))</f>
        <v>0</v>
      </c>
      <c r="E318" s="497">
        <f t="shared" si="116"/>
        <v>0</v>
      </c>
      <c r="F318" s="497">
        <f t="shared" si="129"/>
        <v>1800000</v>
      </c>
      <c r="G318" s="493"/>
      <c r="H318" s="493"/>
      <c r="I318" s="489"/>
      <c r="J318" s="492">
        <v>314</v>
      </c>
      <c r="K318" s="492">
        <v>27</v>
      </c>
      <c r="L318" s="497">
        <f>IF(('Comparison Calculator'!$E$11-K318)&gt;=0,0,IFERROR(-PPMT($P$66/12,(J318-60),($F$1-5)*12,$P$65),0))</f>
        <v>0</v>
      </c>
      <c r="M318" s="497">
        <f>IF(('Comparison Calculator'!$E$11-K318)&gt;=0,$C$1*$P$66/12,IFERROR(-IPMT($P$66/12,(J318-60),($F$1-5)*12,$P$65,0),0))</f>
        <v>0</v>
      </c>
      <c r="N318" s="497">
        <f t="shared" si="117"/>
        <v>0</v>
      </c>
      <c r="O318" s="497">
        <f t="shared" si="130"/>
        <v>1800000</v>
      </c>
      <c r="P318" s="493"/>
      <c r="Q318" s="493"/>
      <c r="S318" s="492">
        <v>314</v>
      </c>
      <c r="T318" s="492">
        <v>27</v>
      </c>
      <c r="U318" s="497">
        <f>IF(('Comparison Calculator'!$E$11-T318)&gt;=0,0,IFERROR(-PPMT($Y$66/12,(S318-60),($F$1-5)*12,$Y$65),0))</f>
        <v>0</v>
      </c>
      <c r="V318" s="497">
        <f>IF(('Comparison Calculator'!$E$11-T318)&gt;=0,$C$1*$Y$66/12,IFERROR(-IPMT($Y$66/12,(S318-60),($F$1-5)*12,$Y$65,0),0))</f>
        <v>0</v>
      </c>
      <c r="W318" s="497">
        <f t="shared" si="118"/>
        <v>0</v>
      </c>
      <c r="X318" s="497">
        <f t="shared" si="131"/>
        <v>1800000</v>
      </c>
      <c r="Y318" s="493"/>
      <c r="Z318" s="493"/>
      <c r="AB318" s="492">
        <v>314</v>
      </c>
      <c r="AC318" s="492">
        <v>27</v>
      </c>
      <c r="AD318" s="497">
        <f>IF(('Comparison Calculator'!$E$11-AC318)&gt;=0,0,IFERROR(-PPMT($AH$66/12,(AB318-60),($F$1-5)*12,$AH$65),0))</f>
        <v>0</v>
      </c>
      <c r="AE318" s="497">
        <f>IF(('Comparison Calculator'!$E$11-AC318)&gt;=0,$C$1*$AH$66/12,IFERROR(-IPMT($AH$66/12,(AB318-60),($F$1-5)*12,$AH$65,0),0))</f>
        <v>0</v>
      </c>
      <c r="AF318" s="497">
        <f t="shared" si="119"/>
        <v>0</v>
      </c>
      <c r="AG318" s="497">
        <f t="shared" si="132"/>
        <v>1800000</v>
      </c>
      <c r="AH318" s="493"/>
      <c r="AI318" s="493"/>
      <c r="AK318" s="492">
        <v>314</v>
      </c>
      <c r="AL318" s="492">
        <v>27</v>
      </c>
      <c r="AM318" s="497">
        <f>IF(('Comparison Calculator'!$E$11-AL318)&gt;=0,0,IFERROR(-PPMT($AQ$66/12,(AK318-60),($F$1-5)*12,$AQ$65),0))</f>
        <v>0</v>
      </c>
      <c r="AN318" s="497">
        <f>IF(('Comparison Calculator'!$E$11-AL318)&gt;=0,$C$1*$AQ$66/12,IFERROR(-IPMT($AQ$66/12,(AK318-60),($F$1-5)*12,$AQ$65,0),0))</f>
        <v>0</v>
      </c>
      <c r="AO318" s="497">
        <f t="shared" si="120"/>
        <v>0</v>
      </c>
      <c r="AP318" s="497">
        <f t="shared" si="133"/>
        <v>1800000</v>
      </c>
      <c r="AQ318" s="493"/>
      <c r="AR318" s="493"/>
      <c r="AT318" s="492">
        <v>314</v>
      </c>
      <c r="AU318" s="492">
        <v>27</v>
      </c>
      <c r="AV318" s="497">
        <f>IF(('Comparison Calculator'!$E$11-AU318)&gt;=0,0,IFERROR(-PPMT($AZ$66/12,(AT318-60),($F$1-5)*12,$AZ$65),0))</f>
        <v>0</v>
      </c>
      <c r="AW318" s="497">
        <f>IF(('Comparison Calculator'!$E$11-AU318)&gt;=0,$C$1*$AZ$66/12,IFERROR(-IPMT($AZ$66/12,(AT318-60),($F$1-5)*12,$AZ$65,0),0))</f>
        <v>0</v>
      </c>
      <c r="AX318" s="497">
        <f t="shared" si="121"/>
        <v>0</v>
      </c>
      <c r="AY318" s="497">
        <f t="shared" si="134"/>
        <v>1800000</v>
      </c>
      <c r="AZ318" s="493"/>
      <c r="BA318" s="493"/>
      <c r="BC318" s="492">
        <v>314</v>
      </c>
      <c r="BD318" s="492">
        <v>27</v>
      </c>
      <c r="BE318" s="497">
        <f>IF(('Comparison Calculator'!$E$11-BD318)&gt;=0,0,IFERROR(-PPMT($BI$66/12,(BC318-60),($F$1-5)*12,$BI$65),0))</f>
        <v>0</v>
      </c>
      <c r="BF318" s="497">
        <f>IF(('Comparison Calculator'!$E$11-BD318)&gt;=0,$C$1*$BI$66/12,IFERROR(-IPMT($BI$66/12,(BC318-60),($F$1-5)*12,$BI$65,0),0))</f>
        <v>0</v>
      </c>
      <c r="BG318" s="497">
        <f t="shared" si="122"/>
        <v>0</v>
      </c>
      <c r="BH318" s="497">
        <f t="shared" si="135"/>
        <v>1800000</v>
      </c>
      <c r="BI318" s="493"/>
      <c r="BJ318" s="493"/>
      <c r="BK318" s="492">
        <v>314</v>
      </c>
      <c r="BL318" s="492">
        <v>27</v>
      </c>
      <c r="BM318" s="497">
        <f>IF(('Comparison Calculator'!$E$11-BL318)&gt;=0,0,IFERROR(-PPMT($BQ$66/12,(BK318-60),($F$1-5)*12,$BQ$65),0))</f>
        <v>0</v>
      </c>
      <c r="BN318" s="497">
        <f>IF(('Comparison Calculator'!$E$11-BL318)&gt;=0,$C$1*$BQ$66/12,IFERROR(-IPMT($BQ$66/12,(BK318-60),($F$1-5)*12,$BQ$65,0),0))</f>
        <v>0</v>
      </c>
      <c r="BO318" s="497">
        <f t="shared" si="123"/>
        <v>0</v>
      </c>
      <c r="BP318" s="497">
        <f t="shared" si="136"/>
        <v>1800000</v>
      </c>
      <c r="BQ318" s="493"/>
      <c r="BR318" s="493"/>
      <c r="BT318" s="492">
        <v>314</v>
      </c>
      <c r="BU318" s="492">
        <v>27</v>
      </c>
      <c r="BV318" s="497">
        <f>IF(('Comparison Calculator'!$E$11-BU318)&gt;=0,0,IFERROR(-PPMT($BZ$66/12,(BT318-60),($F$1-5)*12,$BZ$65),0))</f>
        <v>0</v>
      </c>
      <c r="BW318" s="497">
        <f>IF(('Comparison Calculator'!$E$11-BU318)&gt;=0,$C$1*$BZ$66/12,IFERROR(-IPMT($BZ$66/12,(BT318-60),($F$1-5)*12,$BZ$65,0),0))</f>
        <v>0</v>
      </c>
      <c r="BX318" s="497">
        <f t="shared" si="124"/>
        <v>0</v>
      </c>
      <c r="BY318" s="497">
        <f t="shared" si="137"/>
        <v>1800000</v>
      </c>
      <c r="BZ318" s="493"/>
      <c r="CA318" s="493"/>
      <c r="CC318" s="492">
        <v>314</v>
      </c>
      <c r="CD318" s="492">
        <v>27</v>
      </c>
      <c r="CE318" s="497">
        <f>IF(('Comparison Calculator'!$E$11-CD318)&gt;=0,0,IFERROR(-PPMT($CI$66/12,(CC318-60),($F$1-5)*12,$CI$65),0))</f>
        <v>0</v>
      </c>
      <c r="CF318" s="497">
        <f>IF(('Comparison Calculator'!$E$11-CD318)&gt;=0,$C$1*$CI$66/12,IFERROR(-IPMT($CI$66/12,(CC318-60),($F$1-5)*12,$CI$65,0),0))</f>
        <v>0</v>
      </c>
      <c r="CG318" s="497">
        <f t="shared" si="125"/>
        <v>0</v>
      </c>
      <c r="CH318" s="497">
        <f t="shared" si="138"/>
        <v>1800000</v>
      </c>
      <c r="CI318" s="493"/>
      <c r="CJ318" s="493"/>
      <c r="CL318" s="492">
        <v>314</v>
      </c>
      <c r="CM318" s="492">
        <v>27</v>
      </c>
      <c r="CN318" s="497">
        <f>IF(('Comparison Calculator'!$E$11-CM318)&gt;=0,0,IFERROR(-PPMT($CR$66/12,(CL318-60),($F$1-5)*12,$CR$65),0))</f>
        <v>0</v>
      </c>
      <c r="CO318" s="497">
        <f>IF(('Comparison Calculator'!$E$11-CM318)&gt;=0,$C$1*$CI$66/12,IFERROR(-IPMT($CI$66/12,(CL318-60),($F$1-5)*12,$CI$65,0),0))</f>
        <v>0</v>
      </c>
      <c r="CP318" s="497">
        <f t="shared" si="126"/>
        <v>0</v>
      </c>
      <c r="CQ318" s="497">
        <f t="shared" si="139"/>
        <v>1800000</v>
      </c>
      <c r="CR318" s="493"/>
      <c r="CS318" s="493"/>
      <c r="CU318" s="492">
        <v>314</v>
      </c>
      <c r="CV318" s="492">
        <v>27</v>
      </c>
      <c r="CW318" s="497">
        <f>IF(('Comparison Calculator'!$E$11-CV318)&gt;=0,0,IFERROR(-PPMT($DA$66/12,(CU318-60),($F$1-5)*12,$DA$65),0))</f>
        <v>0</v>
      </c>
      <c r="CX318" s="497">
        <f>IF(('Comparison Calculator'!$E$11-CV318)&gt;=0,$C$1*$DA$66/12,IFERROR(-IPMT($DA$66/12,(CU318-60),($F$1-5)*12,$DA$65,0),0))</f>
        <v>0</v>
      </c>
      <c r="CY318" s="497">
        <f t="shared" si="127"/>
        <v>0</v>
      </c>
      <c r="CZ318" s="497">
        <f t="shared" si="140"/>
        <v>1800000</v>
      </c>
      <c r="DA318" s="493"/>
      <c r="DB318" s="493"/>
      <c r="DD318" s="492">
        <v>314</v>
      </c>
      <c r="DE318" s="492">
        <v>27</v>
      </c>
      <c r="DF318" s="497">
        <f>IF(('Comparison Calculator'!$E$11-DE318)&gt;=0,0,IFERROR(-PPMT($DJ$66/12,(DD318-60),($F$1-5)*12,$DJ$65),0))</f>
        <v>0</v>
      </c>
      <c r="DG318" s="497">
        <f>IF(('Comparison Calculator'!$E$11-DE318)&gt;=0,$C$1*$DJ$66/12,IFERROR(-IPMT($DJ$66/12,(DD318-60),($F$1-5)*12,$DJ$65,0),0))</f>
        <v>0</v>
      </c>
      <c r="DH318" s="497">
        <f t="shared" si="128"/>
        <v>0</v>
      </c>
      <c r="DI318" s="497">
        <f t="shared" si="141"/>
        <v>1800000</v>
      </c>
      <c r="DJ318" s="493"/>
      <c r="DK318" s="493"/>
    </row>
    <row r="319" spans="1:115">
      <c r="A319" s="492">
        <v>315</v>
      </c>
      <c r="B319" s="492">
        <v>27</v>
      </c>
      <c r="C319" s="497">
        <f>IF(('Comparison Calculator'!$E$11-B319)&gt;=0,0,IFERROR(-PPMT($G$66/12,(A319-60),($F$1-5)*12,$G$65),0))</f>
        <v>0</v>
      </c>
      <c r="D319" s="497">
        <f>IF(('Comparison Calculator'!$E$11-B319)&gt;=0,$C$1*$G$66/12,IFERROR(-IPMT($G$66/12,(A319-60),($F$1-5)*12,$G$65,0),0))</f>
        <v>0</v>
      </c>
      <c r="E319" s="497">
        <f t="shared" si="116"/>
        <v>0</v>
      </c>
      <c r="F319" s="497">
        <f t="shared" si="129"/>
        <v>1800000</v>
      </c>
      <c r="G319" s="493"/>
      <c r="H319" s="493"/>
      <c r="I319" s="489"/>
      <c r="J319" s="492">
        <v>315</v>
      </c>
      <c r="K319" s="492">
        <v>27</v>
      </c>
      <c r="L319" s="497">
        <f>IF(('Comparison Calculator'!$E$11-K319)&gt;=0,0,IFERROR(-PPMT($P$66/12,(J319-60),($F$1-5)*12,$P$65),0))</f>
        <v>0</v>
      </c>
      <c r="M319" s="497">
        <f>IF(('Comparison Calculator'!$E$11-K319)&gt;=0,$C$1*$P$66/12,IFERROR(-IPMT($P$66/12,(J319-60),($F$1-5)*12,$P$65,0),0))</f>
        <v>0</v>
      </c>
      <c r="N319" s="497">
        <f t="shared" si="117"/>
        <v>0</v>
      </c>
      <c r="O319" s="497">
        <f t="shared" si="130"/>
        <v>1800000</v>
      </c>
      <c r="P319" s="493"/>
      <c r="Q319" s="493"/>
      <c r="S319" s="492">
        <v>315</v>
      </c>
      <c r="T319" s="492">
        <v>27</v>
      </c>
      <c r="U319" s="497">
        <f>IF(('Comparison Calculator'!$E$11-T319)&gt;=0,0,IFERROR(-PPMT($Y$66/12,(S319-60),($F$1-5)*12,$Y$65),0))</f>
        <v>0</v>
      </c>
      <c r="V319" s="497">
        <f>IF(('Comparison Calculator'!$E$11-T319)&gt;=0,$C$1*$Y$66/12,IFERROR(-IPMT($Y$66/12,(S319-60),($F$1-5)*12,$Y$65,0),0))</f>
        <v>0</v>
      </c>
      <c r="W319" s="497">
        <f t="shared" si="118"/>
        <v>0</v>
      </c>
      <c r="X319" s="497">
        <f t="shared" si="131"/>
        <v>1800000</v>
      </c>
      <c r="Y319" s="493"/>
      <c r="Z319" s="493"/>
      <c r="AB319" s="492">
        <v>315</v>
      </c>
      <c r="AC319" s="492">
        <v>27</v>
      </c>
      <c r="AD319" s="497">
        <f>IF(('Comparison Calculator'!$E$11-AC319)&gt;=0,0,IFERROR(-PPMT($AH$66/12,(AB319-60),($F$1-5)*12,$AH$65),0))</f>
        <v>0</v>
      </c>
      <c r="AE319" s="497">
        <f>IF(('Comparison Calculator'!$E$11-AC319)&gt;=0,$C$1*$AH$66/12,IFERROR(-IPMT($AH$66/12,(AB319-60),($F$1-5)*12,$AH$65,0),0))</f>
        <v>0</v>
      </c>
      <c r="AF319" s="497">
        <f t="shared" si="119"/>
        <v>0</v>
      </c>
      <c r="AG319" s="497">
        <f t="shared" si="132"/>
        <v>1800000</v>
      </c>
      <c r="AH319" s="493"/>
      <c r="AI319" s="493"/>
      <c r="AK319" s="492">
        <v>315</v>
      </c>
      <c r="AL319" s="492">
        <v>27</v>
      </c>
      <c r="AM319" s="497">
        <f>IF(('Comparison Calculator'!$E$11-AL319)&gt;=0,0,IFERROR(-PPMT($AQ$66/12,(AK319-60),($F$1-5)*12,$AQ$65),0))</f>
        <v>0</v>
      </c>
      <c r="AN319" s="497">
        <f>IF(('Comparison Calculator'!$E$11-AL319)&gt;=0,$C$1*$AQ$66/12,IFERROR(-IPMT($AQ$66/12,(AK319-60),($F$1-5)*12,$AQ$65,0),0))</f>
        <v>0</v>
      </c>
      <c r="AO319" s="497">
        <f t="shared" si="120"/>
        <v>0</v>
      </c>
      <c r="AP319" s="497">
        <f t="shared" si="133"/>
        <v>1800000</v>
      </c>
      <c r="AQ319" s="493"/>
      <c r="AR319" s="493"/>
      <c r="AT319" s="492">
        <v>315</v>
      </c>
      <c r="AU319" s="492">
        <v>27</v>
      </c>
      <c r="AV319" s="497">
        <f>IF(('Comparison Calculator'!$E$11-AU319)&gt;=0,0,IFERROR(-PPMT($AZ$66/12,(AT319-60),($F$1-5)*12,$AZ$65),0))</f>
        <v>0</v>
      </c>
      <c r="AW319" s="497">
        <f>IF(('Comparison Calculator'!$E$11-AU319)&gt;=0,$C$1*$AZ$66/12,IFERROR(-IPMT($AZ$66/12,(AT319-60),($F$1-5)*12,$AZ$65,0),0))</f>
        <v>0</v>
      </c>
      <c r="AX319" s="497">
        <f t="shared" si="121"/>
        <v>0</v>
      </c>
      <c r="AY319" s="497">
        <f t="shared" si="134"/>
        <v>1800000</v>
      </c>
      <c r="AZ319" s="493"/>
      <c r="BA319" s="493"/>
      <c r="BC319" s="492">
        <v>315</v>
      </c>
      <c r="BD319" s="492">
        <v>27</v>
      </c>
      <c r="BE319" s="497">
        <f>IF(('Comparison Calculator'!$E$11-BD319)&gt;=0,0,IFERROR(-PPMT($BI$66/12,(BC319-60),($F$1-5)*12,$BI$65),0))</f>
        <v>0</v>
      </c>
      <c r="BF319" s="497">
        <f>IF(('Comparison Calculator'!$E$11-BD319)&gt;=0,$C$1*$BI$66/12,IFERROR(-IPMT($BI$66/12,(BC319-60),($F$1-5)*12,$BI$65,0),0))</f>
        <v>0</v>
      </c>
      <c r="BG319" s="497">
        <f t="shared" si="122"/>
        <v>0</v>
      </c>
      <c r="BH319" s="497">
        <f t="shared" si="135"/>
        <v>1800000</v>
      </c>
      <c r="BI319" s="493"/>
      <c r="BJ319" s="493"/>
      <c r="BK319" s="492">
        <v>315</v>
      </c>
      <c r="BL319" s="492">
        <v>27</v>
      </c>
      <c r="BM319" s="497">
        <f>IF(('Comparison Calculator'!$E$11-BL319)&gt;=0,0,IFERROR(-PPMT($BQ$66/12,(BK319-60),($F$1-5)*12,$BQ$65),0))</f>
        <v>0</v>
      </c>
      <c r="BN319" s="497">
        <f>IF(('Comparison Calculator'!$E$11-BL319)&gt;=0,$C$1*$BQ$66/12,IFERROR(-IPMT($BQ$66/12,(BK319-60),($F$1-5)*12,$BQ$65,0),0))</f>
        <v>0</v>
      </c>
      <c r="BO319" s="497">
        <f t="shared" si="123"/>
        <v>0</v>
      </c>
      <c r="BP319" s="497">
        <f t="shared" si="136"/>
        <v>1800000</v>
      </c>
      <c r="BQ319" s="493"/>
      <c r="BR319" s="493"/>
      <c r="BT319" s="492">
        <v>315</v>
      </c>
      <c r="BU319" s="492">
        <v>27</v>
      </c>
      <c r="BV319" s="497">
        <f>IF(('Comparison Calculator'!$E$11-BU319)&gt;=0,0,IFERROR(-PPMT($BZ$66/12,(BT319-60),($F$1-5)*12,$BZ$65),0))</f>
        <v>0</v>
      </c>
      <c r="BW319" s="497">
        <f>IF(('Comparison Calculator'!$E$11-BU319)&gt;=0,$C$1*$BZ$66/12,IFERROR(-IPMT($BZ$66/12,(BT319-60),($F$1-5)*12,$BZ$65,0),0))</f>
        <v>0</v>
      </c>
      <c r="BX319" s="497">
        <f t="shared" si="124"/>
        <v>0</v>
      </c>
      <c r="BY319" s="497">
        <f t="shared" si="137"/>
        <v>1800000</v>
      </c>
      <c r="BZ319" s="493"/>
      <c r="CA319" s="493"/>
      <c r="CC319" s="492">
        <v>315</v>
      </c>
      <c r="CD319" s="492">
        <v>27</v>
      </c>
      <c r="CE319" s="497">
        <f>IF(('Comparison Calculator'!$E$11-CD319)&gt;=0,0,IFERROR(-PPMT($CI$66/12,(CC319-60),($F$1-5)*12,$CI$65),0))</f>
        <v>0</v>
      </c>
      <c r="CF319" s="497">
        <f>IF(('Comparison Calculator'!$E$11-CD319)&gt;=0,$C$1*$CI$66/12,IFERROR(-IPMT($CI$66/12,(CC319-60),($F$1-5)*12,$CI$65,0),0))</f>
        <v>0</v>
      </c>
      <c r="CG319" s="497">
        <f t="shared" si="125"/>
        <v>0</v>
      </c>
      <c r="CH319" s="497">
        <f t="shared" si="138"/>
        <v>1800000</v>
      </c>
      <c r="CI319" s="493"/>
      <c r="CJ319" s="493"/>
      <c r="CL319" s="492">
        <v>315</v>
      </c>
      <c r="CM319" s="492">
        <v>27</v>
      </c>
      <c r="CN319" s="497">
        <f>IF(('Comparison Calculator'!$E$11-CM319)&gt;=0,0,IFERROR(-PPMT($CR$66/12,(CL319-60),($F$1-5)*12,$CR$65),0))</f>
        <v>0</v>
      </c>
      <c r="CO319" s="497">
        <f>IF(('Comparison Calculator'!$E$11-CM319)&gt;=0,$C$1*$CI$66/12,IFERROR(-IPMT($CI$66/12,(CL319-60),($F$1-5)*12,$CI$65,0),0))</f>
        <v>0</v>
      </c>
      <c r="CP319" s="497">
        <f t="shared" si="126"/>
        <v>0</v>
      </c>
      <c r="CQ319" s="497">
        <f t="shared" si="139"/>
        <v>1800000</v>
      </c>
      <c r="CR319" s="493"/>
      <c r="CS319" s="493"/>
      <c r="CU319" s="492">
        <v>315</v>
      </c>
      <c r="CV319" s="492">
        <v>27</v>
      </c>
      <c r="CW319" s="497">
        <f>IF(('Comparison Calculator'!$E$11-CV319)&gt;=0,0,IFERROR(-PPMT($DA$66/12,(CU319-60),($F$1-5)*12,$DA$65),0))</f>
        <v>0</v>
      </c>
      <c r="CX319" s="497">
        <f>IF(('Comparison Calculator'!$E$11-CV319)&gt;=0,$C$1*$DA$66/12,IFERROR(-IPMT($DA$66/12,(CU319-60),($F$1-5)*12,$DA$65,0),0))</f>
        <v>0</v>
      </c>
      <c r="CY319" s="497">
        <f t="shared" si="127"/>
        <v>0</v>
      </c>
      <c r="CZ319" s="497">
        <f t="shared" si="140"/>
        <v>1800000</v>
      </c>
      <c r="DA319" s="493"/>
      <c r="DB319" s="493"/>
      <c r="DD319" s="492">
        <v>315</v>
      </c>
      <c r="DE319" s="492">
        <v>27</v>
      </c>
      <c r="DF319" s="497">
        <f>IF(('Comparison Calculator'!$E$11-DE319)&gt;=0,0,IFERROR(-PPMT($DJ$66/12,(DD319-60),($F$1-5)*12,$DJ$65),0))</f>
        <v>0</v>
      </c>
      <c r="DG319" s="497">
        <f>IF(('Comparison Calculator'!$E$11-DE319)&gt;=0,$C$1*$DJ$66/12,IFERROR(-IPMT($DJ$66/12,(DD319-60),($F$1-5)*12,$DJ$65,0),0))</f>
        <v>0</v>
      </c>
      <c r="DH319" s="497">
        <f t="shared" si="128"/>
        <v>0</v>
      </c>
      <c r="DI319" s="497">
        <f t="shared" si="141"/>
        <v>1800000</v>
      </c>
      <c r="DJ319" s="493"/>
      <c r="DK319" s="493"/>
    </row>
    <row r="320" spans="1:115">
      <c r="A320" s="492">
        <v>316</v>
      </c>
      <c r="B320" s="492">
        <v>27</v>
      </c>
      <c r="C320" s="497">
        <f>IF(('Comparison Calculator'!$E$11-B320)&gt;=0,0,IFERROR(-PPMT($G$66/12,(A320-60),($F$1-5)*12,$G$65),0))</f>
        <v>0</v>
      </c>
      <c r="D320" s="497">
        <f>IF(('Comparison Calculator'!$E$11-B320)&gt;=0,$C$1*$G$66/12,IFERROR(-IPMT($G$66/12,(A320-60),($F$1-5)*12,$G$65,0),0))</f>
        <v>0</v>
      </c>
      <c r="E320" s="497">
        <f t="shared" si="116"/>
        <v>0</v>
      </c>
      <c r="F320" s="497">
        <f t="shared" si="129"/>
        <v>1800000</v>
      </c>
      <c r="G320" s="493"/>
      <c r="H320" s="493"/>
      <c r="I320" s="489"/>
      <c r="J320" s="492">
        <v>316</v>
      </c>
      <c r="K320" s="492">
        <v>27</v>
      </c>
      <c r="L320" s="497">
        <f>IF(('Comparison Calculator'!$E$11-K320)&gt;=0,0,IFERROR(-PPMT($P$66/12,(J320-60),($F$1-5)*12,$P$65),0))</f>
        <v>0</v>
      </c>
      <c r="M320" s="497">
        <f>IF(('Comparison Calculator'!$E$11-K320)&gt;=0,$C$1*$P$66/12,IFERROR(-IPMT($P$66/12,(J320-60),($F$1-5)*12,$P$65,0),0))</f>
        <v>0</v>
      </c>
      <c r="N320" s="497">
        <f t="shared" si="117"/>
        <v>0</v>
      </c>
      <c r="O320" s="497">
        <f t="shared" si="130"/>
        <v>1800000</v>
      </c>
      <c r="P320" s="493"/>
      <c r="Q320" s="493"/>
      <c r="S320" s="492">
        <v>316</v>
      </c>
      <c r="T320" s="492">
        <v>27</v>
      </c>
      <c r="U320" s="497">
        <f>IF(('Comparison Calculator'!$E$11-T320)&gt;=0,0,IFERROR(-PPMT($Y$66/12,(S320-60),($F$1-5)*12,$Y$65),0))</f>
        <v>0</v>
      </c>
      <c r="V320" s="497">
        <f>IF(('Comparison Calculator'!$E$11-T320)&gt;=0,$C$1*$Y$66/12,IFERROR(-IPMT($Y$66/12,(S320-60),($F$1-5)*12,$Y$65,0),0))</f>
        <v>0</v>
      </c>
      <c r="W320" s="497">
        <f t="shared" si="118"/>
        <v>0</v>
      </c>
      <c r="X320" s="497">
        <f t="shared" si="131"/>
        <v>1800000</v>
      </c>
      <c r="Y320" s="493"/>
      <c r="Z320" s="493"/>
      <c r="AB320" s="492">
        <v>316</v>
      </c>
      <c r="AC320" s="492">
        <v>27</v>
      </c>
      <c r="AD320" s="497">
        <f>IF(('Comparison Calculator'!$E$11-AC320)&gt;=0,0,IFERROR(-PPMT($AH$66/12,(AB320-60),($F$1-5)*12,$AH$65),0))</f>
        <v>0</v>
      </c>
      <c r="AE320" s="497">
        <f>IF(('Comparison Calculator'!$E$11-AC320)&gt;=0,$C$1*$AH$66/12,IFERROR(-IPMT($AH$66/12,(AB320-60),($F$1-5)*12,$AH$65,0),0))</f>
        <v>0</v>
      </c>
      <c r="AF320" s="497">
        <f t="shared" si="119"/>
        <v>0</v>
      </c>
      <c r="AG320" s="497">
        <f t="shared" si="132"/>
        <v>1800000</v>
      </c>
      <c r="AH320" s="493"/>
      <c r="AI320" s="493"/>
      <c r="AK320" s="492">
        <v>316</v>
      </c>
      <c r="AL320" s="492">
        <v>27</v>
      </c>
      <c r="AM320" s="497">
        <f>IF(('Comparison Calculator'!$E$11-AL320)&gt;=0,0,IFERROR(-PPMT($AQ$66/12,(AK320-60),($F$1-5)*12,$AQ$65),0))</f>
        <v>0</v>
      </c>
      <c r="AN320" s="497">
        <f>IF(('Comparison Calculator'!$E$11-AL320)&gt;=0,$C$1*$AQ$66/12,IFERROR(-IPMT($AQ$66/12,(AK320-60),($F$1-5)*12,$AQ$65,0),0))</f>
        <v>0</v>
      </c>
      <c r="AO320" s="497">
        <f t="shared" si="120"/>
        <v>0</v>
      </c>
      <c r="AP320" s="497">
        <f t="shared" si="133"/>
        <v>1800000</v>
      </c>
      <c r="AQ320" s="493"/>
      <c r="AR320" s="493"/>
      <c r="AT320" s="492">
        <v>316</v>
      </c>
      <c r="AU320" s="492">
        <v>27</v>
      </c>
      <c r="AV320" s="497">
        <f>IF(('Comparison Calculator'!$E$11-AU320)&gt;=0,0,IFERROR(-PPMT($AZ$66/12,(AT320-60),($F$1-5)*12,$AZ$65),0))</f>
        <v>0</v>
      </c>
      <c r="AW320" s="497">
        <f>IF(('Comparison Calculator'!$E$11-AU320)&gt;=0,$C$1*$AZ$66/12,IFERROR(-IPMT($AZ$66/12,(AT320-60),($F$1-5)*12,$AZ$65,0),0))</f>
        <v>0</v>
      </c>
      <c r="AX320" s="497">
        <f t="shared" si="121"/>
        <v>0</v>
      </c>
      <c r="AY320" s="497">
        <f t="shared" si="134"/>
        <v>1800000</v>
      </c>
      <c r="AZ320" s="493"/>
      <c r="BA320" s="493"/>
      <c r="BC320" s="492">
        <v>316</v>
      </c>
      <c r="BD320" s="492">
        <v>27</v>
      </c>
      <c r="BE320" s="497">
        <f>IF(('Comparison Calculator'!$E$11-BD320)&gt;=0,0,IFERROR(-PPMT($BI$66/12,(BC320-60),($F$1-5)*12,$BI$65),0))</f>
        <v>0</v>
      </c>
      <c r="BF320" s="497">
        <f>IF(('Comparison Calculator'!$E$11-BD320)&gt;=0,$C$1*$BI$66/12,IFERROR(-IPMT($BI$66/12,(BC320-60),($F$1-5)*12,$BI$65,0),0))</f>
        <v>0</v>
      </c>
      <c r="BG320" s="497">
        <f t="shared" si="122"/>
        <v>0</v>
      </c>
      <c r="BH320" s="497">
        <f t="shared" si="135"/>
        <v>1800000</v>
      </c>
      <c r="BI320" s="493"/>
      <c r="BJ320" s="493"/>
      <c r="BK320" s="492">
        <v>316</v>
      </c>
      <c r="BL320" s="492">
        <v>27</v>
      </c>
      <c r="BM320" s="497">
        <f>IF(('Comparison Calculator'!$E$11-BL320)&gt;=0,0,IFERROR(-PPMT($BQ$66/12,(BK320-60),($F$1-5)*12,$BQ$65),0))</f>
        <v>0</v>
      </c>
      <c r="BN320" s="497">
        <f>IF(('Comparison Calculator'!$E$11-BL320)&gt;=0,$C$1*$BQ$66/12,IFERROR(-IPMT($BQ$66/12,(BK320-60),($F$1-5)*12,$BQ$65,0),0))</f>
        <v>0</v>
      </c>
      <c r="BO320" s="497">
        <f t="shared" si="123"/>
        <v>0</v>
      </c>
      <c r="BP320" s="497">
        <f t="shared" si="136"/>
        <v>1800000</v>
      </c>
      <c r="BQ320" s="493"/>
      <c r="BR320" s="493"/>
      <c r="BT320" s="492">
        <v>316</v>
      </c>
      <c r="BU320" s="492">
        <v>27</v>
      </c>
      <c r="BV320" s="497">
        <f>IF(('Comparison Calculator'!$E$11-BU320)&gt;=0,0,IFERROR(-PPMT($BZ$66/12,(BT320-60),($F$1-5)*12,$BZ$65),0))</f>
        <v>0</v>
      </c>
      <c r="BW320" s="497">
        <f>IF(('Comparison Calculator'!$E$11-BU320)&gt;=0,$C$1*$BZ$66/12,IFERROR(-IPMT($BZ$66/12,(BT320-60),($F$1-5)*12,$BZ$65,0),0))</f>
        <v>0</v>
      </c>
      <c r="BX320" s="497">
        <f t="shared" si="124"/>
        <v>0</v>
      </c>
      <c r="BY320" s="497">
        <f t="shared" si="137"/>
        <v>1800000</v>
      </c>
      <c r="BZ320" s="493"/>
      <c r="CA320" s="493"/>
      <c r="CC320" s="492">
        <v>316</v>
      </c>
      <c r="CD320" s="492">
        <v>27</v>
      </c>
      <c r="CE320" s="497">
        <f>IF(('Comparison Calculator'!$E$11-CD320)&gt;=0,0,IFERROR(-PPMT($CI$66/12,(CC320-60),($F$1-5)*12,$CI$65),0))</f>
        <v>0</v>
      </c>
      <c r="CF320" s="497">
        <f>IF(('Comparison Calculator'!$E$11-CD320)&gt;=0,$C$1*$CI$66/12,IFERROR(-IPMT($CI$66/12,(CC320-60),($F$1-5)*12,$CI$65,0),0))</f>
        <v>0</v>
      </c>
      <c r="CG320" s="497">
        <f t="shared" si="125"/>
        <v>0</v>
      </c>
      <c r="CH320" s="497">
        <f t="shared" si="138"/>
        <v>1800000</v>
      </c>
      <c r="CI320" s="493"/>
      <c r="CJ320" s="493"/>
      <c r="CL320" s="492">
        <v>316</v>
      </c>
      <c r="CM320" s="492">
        <v>27</v>
      </c>
      <c r="CN320" s="497">
        <f>IF(('Comparison Calculator'!$E$11-CM320)&gt;=0,0,IFERROR(-PPMT($CR$66/12,(CL320-60),($F$1-5)*12,$CR$65),0))</f>
        <v>0</v>
      </c>
      <c r="CO320" s="497">
        <f>IF(('Comparison Calculator'!$E$11-CM320)&gt;=0,$C$1*$CI$66/12,IFERROR(-IPMT($CI$66/12,(CL320-60),($F$1-5)*12,$CI$65,0),0))</f>
        <v>0</v>
      </c>
      <c r="CP320" s="497">
        <f t="shared" si="126"/>
        <v>0</v>
      </c>
      <c r="CQ320" s="497">
        <f t="shared" si="139"/>
        <v>1800000</v>
      </c>
      <c r="CR320" s="493"/>
      <c r="CS320" s="493"/>
      <c r="CU320" s="492">
        <v>316</v>
      </c>
      <c r="CV320" s="492">
        <v>27</v>
      </c>
      <c r="CW320" s="497">
        <f>IF(('Comparison Calculator'!$E$11-CV320)&gt;=0,0,IFERROR(-PPMT($DA$66/12,(CU320-60),($F$1-5)*12,$DA$65),0))</f>
        <v>0</v>
      </c>
      <c r="CX320" s="497">
        <f>IF(('Comparison Calculator'!$E$11-CV320)&gt;=0,$C$1*$DA$66/12,IFERROR(-IPMT($DA$66/12,(CU320-60),($F$1-5)*12,$DA$65,0),0))</f>
        <v>0</v>
      </c>
      <c r="CY320" s="497">
        <f t="shared" si="127"/>
        <v>0</v>
      </c>
      <c r="CZ320" s="497">
        <f t="shared" si="140"/>
        <v>1800000</v>
      </c>
      <c r="DA320" s="493"/>
      <c r="DB320" s="493"/>
      <c r="DD320" s="492">
        <v>316</v>
      </c>
      <c r="DE320" s="492">
        <v>27</v>
      </c>
      <c r="DF320" s="497">
        <f>IF(('Comparison Calculator'!$E$11-DE320)&gt;=0,0,IFERROR(-PPMT($DJ$66/12,(DD320-60),($F$1-5)*12,$DJ$65),0))</f>
        <v>0</v>
      </c>
      <c r="DG320" s="497">
        <f>IF(('Comparison Calculator'!$E$11-DE320)&gt;=0,$C$1*$DJ$66/12,IFERROR(-IPMT($DJ$66/12,(DD320-60),($F$1-5)*12,$DJ$65,0),0))</f>
        <v>0</v>
      </c>
      <c r="DH320" s="497">
        <f t="shared" si="128"/>
        <v>0</v>
      </c>
      <c r="DI320" s="497">
        <f t="shared" si="141"/>
        <v>1800000</v>
      </c>
      <c r="DJ320" s="493"/>
      <c r="DK320" s="493"/>
    </row>
    <row r="321" spans="1:115">
      <c r="A321" s="492">
        <v>317</v>
      </c>
      <c r="B321" s="492">
        <v>27</v>
      </c>
      <c r="C321" s="497">
        <f>IF(('Comparison Calculator'!$E$11-B321)&gt;=0,0,IFERROR(-PPMT($G$66/12,(A321-60),($F$1-5)*12,$G$65),0))</f>
        <v>0</v>
      </c>
      <c r="D321" s="497">
        <f>IF(('Comparison Calculator'!$E$11-B321)&gt;=0,$C$1*$G$66/12,IFERROR(-IPMT($G$66/12,(A321-60),($F$1-5)*12,$G$65,0),0))</f>
        <v>0</v>
      </c>
      <c r="E321" s="497">
        <f t="shared" si="116"/>
        <v>0</v>
      </c>
      <c r="F321" s="497">
        <f t="shared" si="129"/>
        <v>1800000</v>
      </c>
      <c r="G321" s="493"/>
      <c r="H321" s="493"/>
      <c r="I321" s="489"/>
      <c r="J321" s="492">
        <v>317</v>
      </c>
      <c r="K321" s="492">
        <v>27</v>
      </c>
      <c r="L321" s="497">
        <f>IF(('Comparison Calculator'!$E$11-K321)&gt;=0,0,IFERROR(-PPMT($P$66/12,(J321-60),($F$1-5)*12,$P$65),0))</f>
        <v>0</v>
      </c>
      <c r="M321" s="497">
        <f>IF(('Comparison Calculator'!$E$11-K321)&gt;=0,$C$1*$P$66/12,IFERROR(-IPMT($P$66/12,(J321-60),($F$1-5)*12,$P$65,0),0))</f>
        <v>0</v>
      </c>
      <c r="N321" s="497">
        <f t="shared" si="117"/>
        <v>0</v>
      </c>
      <c r="O321" s="497">
        <f t="shared" si="130"/>
        <v>1800000</v>
      </c>
      <c r="P321" s="493"/>
      <c r="Q321" s="493"/>
      <c r="S321" s="492">
        <v>317</v>
      </c>
      <c r="T321" s="492">
        <v>27</v>
      </c>
      <c r="U321" s="497">
        <f>IF(('Comparison Calculator'!$E$11-T321)&gt;=0,0,IFERROR(-PPMT($Y$66/12,(S321-60),($F$1-5)*12,$Y$65),0))</f>
        <v>0</v>
      </c>
      <c r="V321" s="497">
        <f>IF(('Comparison Calculator'!$E$11-T321)&gt;=0,$C$1*$Y$66/12,IFERROR(-IPMT($Y$66/12,(S321-60),($F$1-5)*12,$Y$65,0),0))</f>
        <v>0</v>
      </c>
      <c r="W321" s="497">
        <f t="shared" si="118"/>
        <v>0</v>
      </c>
      <c r="X321" s="497">
        <f t="shared" si="131"/>
        <v>1800000</v>
      </c>
      <c r="Y321" s="493"/>
      <c r="Z321" s="493"/>
      <c r="AB321" s="492">
        <v>317</v>
      </c>
      <c r="AC321" s="492">
        <v>27</v>
      </c>
      <c r="AD321" s="497">
        <f>IF(('Comparison Calculator'!$E$11-AC321)&gt;=0,0,IFERROR(-PPMT($AH$66/12,(AB321-60),($F$1-5)*12,$AH$65),0))</f>
        <v>0</v>
      </c>
      <c r="AE321" s="497">
        <f>IF(('Comparison Calculator'!$E$11-AC321)&gt;=0,$C$1*$AH$66/12,IFERROR(-IPMT($AH$66/12,(AB321-60),($F$1-5)*12,$AH$65,0),0))</f>
        <v>0</v>
      </c>
      <c r="AF321" s="497">
        <f t="shared" si="119"/>
        <v>0</v>
      </c>
      <c r="AG321" s="497">
        <f t="shared" si="132"/>
        <v>1800000</v>
      </c>
      <c r="AH321" s="493"/>
      <c r="AI321" s="493"/>
      <c r="AK321" s="492">
        <v>317</v>
      </c>
      <c r="AL321" s="492">
        <v>27</v>
      </c>
      <c r="AM321" s="497">
        <f>IF(('Comparison Calculator'!$E$11-AL321)&gt;=0,0,IFERROR(-PPMT($AQ$66/12,(AK321-60),($F$1-5)*12,$AQ$65),0))</f>
        <v>0</v>
      </c>
      <c r="AN321" s="497">
        <f>IF(('Comparison Calculator'!$E$11-AL321)&gt;=0,$C$1*$AQ$66/12,IFERROR(-IPMT($AQ$66/12,(AK321-60),($F$1-5)*12,$AQ$65,0),0))</f>
        <v>0</v>
      </c>
      <c r="AO321" s="497">
        <f t="shared" si="120"/>
        <v>0</v>
      </c>
      <c r="AP321" s="497">
        <f t="shared" si="133"/>
        <v>1800000</v>
      </c>
      <c r="AQ321" s="493"/>
      <c r="AR321" s="493"/>
      <c r="AT321" s="492">
        <v>317</v>
      </c>
      <c r="AU321" s="492">
        <v>27</v>
      </c>
      <c r="AV321" s="497">
        <f>IF(('Comparison Calculator'!$E$11-AU321)&gt;=0,0,IFERROR(-PPMT($AZ$66/12,(AT321-60),($F$1-5)*12,$AZ$65),0))</f>
        <v>0</v>
      </c>
      <c r="AW321" s="497">
        <f>IF(('Comparison Calculator'!$E$11-AU321)&gt;=0,$C$1*$AZ$66/12,IFERROR(-IPMT($AZ$66/12,(AT321-60),($F$1-5)*12,$AZ$65,0),0))</f>
        <v>0</v>
      </c>
      <c r="AX321" s="497">
        <f t="shared" si="121"/>
        <v>0</v>
      </c>
      <c r="AY321" s="497">
        <f t="shared" si="134"/>
        <v>1800000</v>
      </c>
      <c r="AZ321" s="493"/>
      <c r="BA321" s="493"/>
      <c r="BC321" s="492">
        <v>317</v>
      </c>
      <c r="BD321" s="492">
        <v>27</v>
      </c>
      <c r="BE321" s="497">
        <f>IF(('Comparison Calculator'!$E$11-BD321)&gt;=0,0,IFERROR(-PPMT($BI$66/12,(BC321-60),($F$1-5)*12,$BI$65),0))</f>
        <v>0</v>
      </c>
      <c r="BF321" s="497">
        <f>IF(('Comparison Calculator'!$E$11-BD321)&gt;=0,$C$1*$BI$66/12,IFERROR(-IPMT($BI$66/12,(BC321-60),($F$1-5)*12,$BI$65,0),0))</f>
        <v>0</v>
      </c>
      <c r="BG321" s="497">
        <f t="shared" si="122"/>
        <v>0</v>
      </c>
      <c r="BH321" s="497">
        <f t="shared" si="135"/>
        <v>1800000</v>
      </c>
      <c r="BI321" s="493"/>
      <c r="BJ321" s="493"/>
      <c r="BK321" s="492">
        <v>317</v>
      </c>
      <c r="BL321" s="492">
        <v>27</v>
      </c>
      <c r="BM321" s="497">
        <f>IF(('Comparison Calculator'!$E$11-BL321)&gt;=0,0,IFERROR(-PPMT($BQ$66/12,(BK321-60),($F$1-5)*12,$BQ$65),0))</f>
        <v>0</v>
      </c>
      <c r="BN321" s="497">
        <f>IF(('Comparison Calculator'!$E$11-BL321)&gt;=0,$C$1*$BQ$66/12,IFERROR(-IPMT($BQ$66/12,(BK321-60),($F$1-5)*12,$BQ$65,0),0))</f>
        <v>0</v>
      </c>
      <c r="BO321" s="497">
        <f t="shared" si="123"/>
        <v>0</v>
      </c>
      <c r="BP321" s="497">
        <f t="shared" si="136"/>
        <v>1800000</v>
      </c>
      <c r="BQ321" s="493"/>
      <c r="BR321" s="493"/>
      <c r="BT321" s="492">
        <v>317</v>
      </c>
      <c r="BU321" s="492">
        <v>27</v>
      </c>
      <c r="BV321" s="497">
        <f>IF(('Comparison Calculator'!$E$11-BU321)&gt;=0,0,IFERROR(-PPMT($BZ$66/12,(BT321-60),($F$1-5)*12,$BZ$65),0))</f>
        <v>0</v>
      </c>
      <c r="BW321" s="497">
        <f>IF(('Comparison Calculator'!$E$11-BU321)&gt;=0,$C$1*$BZ$66/12,IFERROR(-IPMT($BZ$66/12,(BT321-60),($F$1-5)*12,$BZ$65,0),0))</f>
        <v>0</v>
      </c>
      <c r="BX321" s="497">
        <f t="shared" si="124"/>
        <v>0</v>
      </c>
      <c r="BY321" s="497">
        <f t="shared" si="137"/>
        <v>1800000</v>
      </c>
      <c r="BZ321" s="493"/>
      <c r="CA321" s="493"/>
      <c r="CC321" s="492">
        <v>317</v>
      </c>
      <c r="CD321" s="492">
        <v>27</v>
      </c>
      <c r="CE321" s="497">
        <f>IF(('Comparison Calculator'!$E$11-CD321)&gt;=0,0,IFERROR(-PPMT($CI$66/12,(CC321-60),($F$1-5)*12,$CI$65),0))</f>
        <v>0</v>
      </c>
      <c r="CF321" s="497">
        <f>IF(('Comparison Calculator'!$E$11-CD321)&gt;=0,$C$1*$CI$66/12,IFERROR(-IPMT($CI$66/12,(CC321-60),($F$1-5)*12,$CI$65,0),0))</f>
        <v>0</v>
      </c>
      <c r="CG321" s="497">
        <f t="shared" si="125"/>
        <v>0</v>
      </c>
      <c r="CH321" s="497">
        <f t="shared" si="138"/>
        <v>1800000</v>
      </c>
      <c r="CI321" s="493"/>
      <c r="CJ321" s="493"/>
      <c r="CL321" s="492">
        <v>317</v>
      </c>
      <c r="CM321" s="492">
        <v>27</v>
      </c>
      <c r="CN321" s="497">
        <f>IF(('Comparison Calculator'!$E$11-CM321)&gt;=0,0,IFERROR(-PPMT($CR$66/12,(CL321-60),($F$1-5)*12,$CR$65),0))</f>
        <v>0</v>
      </c>
      <c r="CO321" s="497">
        <f>IF(('Comparison Calculator'!$E$11-CM321)&gt;=0,$C$1*$CI$66/12,IFERROR(-IPMT($CI$66/12,(CL321-60),($F$1-5)*12,$CI$65,0),0))</f>
        <v>0</v>
      </c>
      <c r="CP321" s="497">
        <f t="shared" si="126"/>
        <v>0</v>
      </c>
      <c r="CQ321" s="497">
        <f t="shared" si="139"/>
        <v>1800000</v>
      </c>
      <c r="CR321" s="493"/>
      <c r="CS321" s="493"/>
      <c r="CU321" s="492">
        <v>317</v>
      </c>
      <c r="CV321" s="492">
        <v>27</v>
      </c>
      <c r="CW321" s="497">
        <f>IF(('Comparison Calculator'!$E$11-CV321)&gt;=0,0,IFERROR(-PPMT($DA$66/12,(CU321-60),($F$1-5)*12,$DA$65),0))</f>
        <v>0</v>
      </c>
      <c r="CX321" s="497">
        <f>IF(('Comparison Calculator'!$E$11-CV321)&gt;=0,$C$1*$DA$66/12,IFERROR(-IPMT($DA$66/12,(CU321-60),($F$1-5)*12,$DA$65,0),0))</f>
        <v>0</v>
      </c>
      <c r="CY321" s="497">
        <f t="shared" si="127"/>
        <v>0</v>
      </c>
      <c r="CZ321" s="497">
        <f t="shared" si="140"/>
        <v>1800000</v>
      </c>
      <c r="DA321" s="493"/>
      <c r="DB321" s="493"/>
      <c r="DD321" s="492">
        <v>317</v>
      </c>
      <c r="DE321" s="492">
        <v>27</v>
      </c>
      <c r="DF321" s="497">
        <f>IF(('Comparison Calculator'!$E$11-DE321)&gt;=0,0,IFERROR(-PPMT($DJ$66/12,(DD321-60),($F$1-5)*12,$DJ$65),0))</f>
        <v>0</v>
      </c>
      <c r="DG321" s="497">
        <f>IF(('Comparison Calculator'!$E$11-DE321)&gt;=0,$C$1*$DJ$66/12,IFERROR(-IPMT($DJ$66/12,(DD321-60),($F$1-5)*12,$DJ$65,0),0))</f>
        <v>0</v>
      </c>
      <c r="DH321" s="497">
        <f t="shared" si="128"/>
        <v>0</v>
      </c>
      <c r="DI321" s="497">
        <f t="shared" si="141"/>
        <v>1800000</v>
      </c>
      <c r="DJ321" s="493"/>
      <c r="DK321" s="493"/>
    </row>
    <row r="322" spans="1:115">
      <c r="A322" s="492">
        <v>318</v>
      </c>
      <c r="B322" s="492">
        <v>27</v>
      </c>
      <c r="C322" s="497">
        <f>IF(('Comparison Calculator'!$E$11-B322)&gt;=0,0,IFERROR(-PPMT($G$66/12,(A322-60),($F$1-5)*12,$G$65),0))</f>
        <v>0</v>
      </c>
      <c r="D322" s="497">
        <f>IF(('Comparison Calculator'!$E$11-B322)&gt;=0,$C$1*$G$66/12,IFERROR(-IPMT($G$66/12,(A322-60),($F$1-5)*12,$G$65,0),0))</f>
        <v>0</v>
      </c>
      <c r="E322" s="497">
        <f t="shared" si="116"/>
        <v>0</v>
      </c>
      <c r="F322" s="497">
        <f t="shared" si="129"/>
        <v>1800000</v>
      </c>
      <c r="G322" s="493"/>
      <c r="H322" s="493"/>
      <c r="I322" s="489"/>
      <c r="J322" s="492">
        <v>318</v>
      </c>
      <c r="K322" s="492">
        <v>27</v>
      </c>
      <c r="L322" s="497">
        <f>IF(('Comparison Calculator'!$E$11-K322)&gt;=0,0,IFERROR(-PPMT($P$66/12,(J322-60),($F$1-5)*12,$P$65),0))</f>
        <v>0</v>
      </c>
      <c r="M322" s="497">
        <f>IF(('Comparison Calculator'!$E$11-K322)&gt;=0,$C$1*$P$66/12,IFERROR(-IPMT($P$66/12,(J322-60),($F$1-5)*12,$P$65,0),0))</f>
        <v>0</v>
      </c>
      <c r="N322" s="497">
        <f t="shared" si="117"/>
        <v>0</v>
      </c>
      <c r="O322" s="497">
        <f t="shared" si="130"/>
        <v>1800000</v>
      </c>
      <c r="P322" s="493"/>
      <c r="Q322" s="493"/>
      <c r="S322" s="492">
        <v>318</v>
      </c>
      <c r="T322" s="492">
        <v>27</v>
      </c>
      <c r="U322" s="497">
        <f>IF(('Comparison Calculator'!$E$11-T322)&gt;=0,0,IFERROR(-PPMT($Y$66/12,(S322-60),($F$1-5)*12,$Y$65),0))</f>
        <v>0</v>
      </c>
      <c r="V322" s="497">
        <f>IF(('Comparison Calculator'!$E$11-T322)&gt;=0,$C$1*$Y$66/12,IFERROR(-IPMT($Y$66/12,(S322-60),($F$1-5)*12,$Y$65,0),0))</f>
        <v>0</v>
      </c>
      <c r="W322" s="497">
        <f t="shared" si="118"/>
        <v>0</v>
      </c>
      <c r="X322" s="497">
        <f t="shared" si="131"/>
        <v>1800000</v>
      </c>
      <c r="Y322" s="493"/>
      <c r="Z322" s="493"/>
      <c r="AB322" s="492">
        <v>318</v>
      </c>
      <c r="AC322" s="492">
        <v>27</v>
      </c>
      <c r="AD322" s="497">
        <f>IF(('Comparison Calculator'!$E$11-AC322)&gt;=0,0,IFERROR(-PPMT($AH$66/12,(AB322-60),($F$1-5)*12,$AH$65),0))</f>
        <v>0</v>
      </c>
      <c r="AE322" s="497">
        <f>IF(('Comparison Calculator'!$E$11-AC322)&gt;=0,$C$1*$AH$66/12,IFERROR(-IPMT($AH$66/12,(AB322-60),($F$1-5)*12,$AH$65,0),0))</f>
        <v>0</v>
      </c>
      <c r="AF322" s="497">
        <f t="shared" si="119"/>
        <v>0</v>
      </c>
      <c r="AG322" s="497">
        <f t="shared" si="132"/>
        <v>1800000</v>
      </c>
      <c r="AH322" s="493"/>
      <c r="AI322" s="493"/>
      <c r="AK322" s="492">
        <v>318</v>
      </c>
      <c r="AL322" s="492">
        <v>27</v>
      </c>
      <c r="AM322" s="497">
        <f>IF(('Comparison Calculator'!$E$11-AL322)&gt;=0,0,IFERROR(-PPMT($AQ$66/12,(AK322-60),($F$1-5)*12,$AQ$65),0))</f>
        <v>0</v>
      </c>
      <c r="AN322" s="497">
        <f>IF(('Comparison Calculator'!$E$11-AL322)&gt;=0,$C$1*$AQ$66/12,IFERROR(-IPMT($AQ$66/12,(AK322-60),($F$1-5)*12,$AQ$65,0),0))</f>
        <v>0</v>
      </c>
      <c r="AO322" s="497">
        <f t="shared" si="120"/>
        <v>0</v>
      </c>
      <c r="AP322" s="497">
        <f t="shared" si="133"/>
        <v>1800000</v>
      </c>
      <c r="AQ322" s="493"/>
      <c r="AR322" s="493"/>
      <c r="AT322" s="492">
        <v>318</v>
      </c>
      <c r="AU322" s="492">
        <v>27</v>
      </c>
      <c r="AV322" s="497">
        <f>IF(('Comparison Calculator'!$E$11-AU322)&gt;=0,0,IFERROR(-PPMT($AZ$66/12,(AT322-60),($F$1-5)*12,$AZ$65),0))</f>
        <v>0</v>
      </c>
      <c r="AW322" s="497">
        <f>IF(('Comparison Calculator'!$E$11-AU322)&gt;=0,$C$1*$AZ$66/12,IFERROR(-IPMT($AZ$66/12,(AT322-60),($F$1-5)*12,$AZ$65,0),0))</f>
        <v>0</v>
      </c>
      <c r="AX322" s="497">
        <f t="shared" si="121"/>
        <v>0</v>
      </c>
      <c r="AY322" s="497">
        <f t="shared" si="134"/>
        <v>1800000</v>
      </c>
      <c r="AZ322" s="493"/>
      <c r="BA322" s="493"/>
      <c r="BC322" s="492">
        <v>318</v>
      </c>
      <c r="BD322" s="492">
        <v>27</v>
      </c>
      <c r="BE322" s="497">
        <f>IF(('Comparison Calculator'!$E$11-BD322)&gt;=0,0,IFERROR(-PPMT($BI$66/12,(BC322-60),($F$1-5)*12,$BI$65),0))</f>
        <v>0</v>
      </c>
      <c r="BF322" s="497">
        <f>IF(('Comparison Calculator'!$E$11-BD322)&gt;=0,$C$1*$BI$66/12,IFERROR(-IPMT($BI$66/12,(BC322-60),($F$1-5)*12,$BI$65,0),0))</f>
        <v>0</v>
      </c>
      <c r="BG322" s="497">
        <f t="shared" si="122"/>
        <v>0</v>
      </c>
      <c r="BH322" s="497">
        <f t="shared" si="135"/>
        <v>1800000</v>
      </c>
      <c r="BI322" s="493"/>
      <c r="BJ322" s="493"/>
      <c r="BK322" s="492">
        <v>318</v>
      </c>
      <c r="BL322" s="492">
        <v>27</v>
      </c>
      <c r="BM322" s="497">
        <f>IF(('Comparison Calculator'!$E$11-BL322)&gt;=0,0,IFERROR(-PPMT($BQ$66/12,(BK322-60),($F$1-5)*12,$BQ$65),0))</f>
        <v>0</v>
      </c>
      <c r="BN322" s="497">
        <f>IF(('Comparison Calculator'!$E$11-BL322)&gt;=0,$C$1*$BQ$66/12,IFERROR(-IPMT($BQ$66/12,(BK322-60),($F$1-5)*12,$BQ$65,0),0))</f>
        <v>0</v>
      </c>
      <c r="BO322" s="497">
        <f t="shared" si="123"/>
        <v>0</v>
      </c>
      <c r="BP322" s="497">
        <f t="shared" si="136"/>
        <v>1800000</v>
      </c>
      <c r="BQ322" s="493"/>
      <c r="BR322" s="493"/>
      <c r="BT322" s="492">
        <v>318</v>
      </c>
      <c r="BU322" s="492">
        <v>27</v>
      </c>
      <c r="BV322" s="497">
        <f>IF(('Comparison Calculator'!$E$11-BU322)&gt;=0,0,IFERROR(-PPMT($BZ$66/12,(BT322-60),($F$1-5)*12,$BZ$65),0))</f>
        <v>0</v>
      </c>
      <c r="BW322" s="497">
        <f>IF(('Comparison Calculator'!$E$11-BU322)&gt;=0,$C$1*$BZ$66/12,IFERROR(-IPMT($BZ$66/12,(BT322-60),($F$1-5)*12,$BZ$65,0),0))</f>
        <v>0</v>
      </c>
      <c r="BX322" s="497">
        <f t="shared" si="124"/>
        <v>0</v>
      </c>
      <c r="BY322" s="497">
        <f t="shared" si="137"/>
        <v>1800000</v>
      </c>
      <c r="BZ322" s="493"/>
      <c r="CA322" s="493"/>
      <c r="CC322" s="492">
        <v>318</v>
      </c>
      <c r="CD322" s="492">
        <v>27</v>
      </c>
      <c r="CE322" s="497">
        <f>IF(('Comparison Calculator'!$E$11-CD322)&gt;=0,0,IFERROR(-PPMT($CI$66/12,(CC322-60),($F$1-5)*12,$CI$65),0))</f>
        <v>0</v>
      </c>
      <c r="CF322" s="497">
        <f>IF(('Comparison Calculator'!$E$11-CD322)&gt;=0,$C$1*$CI$66/12,IFERROR(-IPMT($CI$66/12,(CC322-60),($F$1-5)*12,$CI$65,0),0))</f>
        <v>0</v>
      </c>
      <c r="CG322" s="497">
        <f t="shared" si="125"/>
        <v>0</v>
      </c>
      <c r="CH322" s="497">
        <f t="shared" si="138"/>
        <v>1800000</v>
      </c>
      <c r="CI322" s="493"/>
      <c r="CJ322" s="493"/>
      <c r="CL322" s="492">
        <v>318</v>
      </c>
      <c r="CM322" s="492">
        <v>27</v>
      </c>
      <c r="CN322" s="497">
        <f>IF(('Comparison Calculator'!$E$11-CM322)&gt;=0,0,IFERROR(-PPMT($CR$66/12,(CL322-60),($F$1-5)*12,$CR$65),0))</f>
        <v>0</v>
      </c>
      <c r="CO322" s="497">
        <f>IF(('Comparison Calculator'!$E$11-CM322)&gt;=0,$C$1*$CI$66/12,IFERROR(-IPMT($CI$66/12,(CL322-60),($F$1-5)*12,$CI$65,0),0))</f>
        <v>0</v>
      </c>
      <c r="CP322" s="497">
        <f t="shared" si="126"/>
        <v>0</v>
      </c>
      <c r="CQ322" s="497">
        <f t="shared" si="139"/>
        <v>1800000</v>
      </c>
      <c r="CR322" s="493"/>
      <c r="CS322" s="493"/>
      <c r="CU322" s="492">
        <v>318</v>
      </c>
      <c r="CV322" s="492">
        <v>27</v>
      </c>
      <c r="CW322" s="497">
        <f>IF(('Comparison Calculator'!$E$11-CV322)&gt;=0,0,IFERROR(-PPMT($DA$66/12,(CU322-60),($F$1-5)*12,$DA$65),0))</f>
        <v>0</v>
      </c>
      <c r="CX322" s="497">
        <f>IF(('Comparison Calculator'!$E$11-CV322)&gt;=0,$C$1*$DA$66/12,IFERROR(-IPMT($DA$66/12,(CU322-60),($F$1-5)*12,$DA$65,0),0))</f>
        <v>0</v>
      </c>
      <c r="CY322" s="497">
        <f t="shared" si="127"/>
        <v>0</v>
      </c>
      <c r="CZ322" s="497">
        <f t="shared" si="140"/>
        <v>1800000</v>
      </c>
      <c r="DA322" s="493"/>
      <c r="DB322" s="493"/>
      <c r="DD322" s="492">
        <v>318</v>
      </c>
      <c r="DE322" s="492">
        <v>27</v>
      </c>
      <c r="DF322" s="497">
        <f>IF(('Comparison Calculator'!$E$11-DE322)&gt;=0,0,IFERROR(-PPMT($DJ$66/12,(DD322-60),($F$1-5)*12,$DJ$65),0))</f>
        <v>0</v>
      </c>
      <c r="DG322" s="497">
        <f>IF(('Comparison Calculator'!$E$11-DE322)&gt;=0,$C$1*$DJ$66/12,IFERROR(-IPMT($DJ$66/12,(DD322-60),($F$1-5)*12,$DJ$65,0),0))</f>
        <v>0</v>
      </c>
      <c r="DH322" s="497">
        <f t="shared" si="128"/>
        <v>0</v>
      </c>
      <c r="DI322" s="497">
        <f t="shared" si="141"/>
        <v>1800000</v>
      </c>
      <c r="DJ322" s="493"/>
      <c r="DK322" s="493"/>
    </row>
    <row r="323" spans="1:115">
      <c r="A323" s="492">
        <v>319</v>
      </c>
      <c r="B323" s="492">
        <v>27</v>
      </c>
      <c r="C323" s="497">
        <f>IF(('Comparison Calculator'!$E$11-B323)&gt;=0,0,IFERROR(-PPMT($G$66/12,(A323-60),($F$1-5)*12,$G$65),0))</f>
        <v>0</v>
      </c>
      <c r="D323" s="497">
        <f>IF(('Comparison Calculator'!$E$11-B323)&gt;=0,$C$1*$G$66/12,IFERROR(-IPMT($G$66/12,(A323-60),($F$1-5)*12,$G$65,0),0))</f>
        <v>0</v>
      </c>
      <c r="E323" s="497">
        <f t="shared" si="116"/>
        <v>0</v>
      </c>
      <c r="F323" s="497">
        <f t="shared" si="129"/>
        <v>1800000</v>
      </c>
      <c r="G323" s="493"/>
      <c r="H323" s="493"/>
      <c r="I323" s="489"/>
      <c r="J323" s="492">
        <v>319</v>
      </c>
      <c r="K323" s="492">
        <v>27</v>
      </c>
      <c r="L323" s="497">
        <f>IF(('Comparison Calculator'!$E$11-K323)&gt;=0,0,IFERROR(-PPMT($P$66/12,(J323-60),($F$1-5)*12,$P$65),0))</f>
        <v>0</v>
      </c>
      <c r="M323" s="497">
        <f>IF(('Comparison Calculator'!$E$11-K323)&gt;=0,$C$1*$P$66/12,IFERROR(-IPMT($P$66/12,(J323-60),($F$1-5)*12,$P$65,0),0))</f>
        <v>0</v>
      </c>
      <c r="N323" s="497">
        <f t="shared" si="117"/>
        <v>0</v>
      </c>
      <c r="O323" s="497">
        <f t="shared" si="130"/>
        <v>1800000</v>
      </c>
      <c r="P323" s="493"/>
      <c r="Q323" s="493"/>
      <c r="S323" s="492">
        <v>319</v>
      </c>
      <c r="T323" s="492">
        <v>27</v>
      </c>
      <c r="U323" s="497">
        <f>IF(('Comparison Calculator'!$E$11-T323)&gt;=0,0,IFERROR(-PPMT($Y$66/12,(S323-60),($F$1-5)*12,$Y$65),0))</f>
        <v>0</v>
      </c>
      <c r="V323" s="497">
        <f>IF(('Comparison Calculator'!$E$11-T323)&gt;=0,$C$1*$Y$66/12,IFERROR(-IPMT($Y$66/12,(S323-60),($F$1-5)*12,$Y$65,0),0))</f>
        <v>0</v>
      </c>
      <c r="W323" s="497">
        <f t="shared" si="118"/>
        <v>0</v>
      </c>
      <c r="X323" s="497">
        <f t="shared" si="131"/>
        <v>1800000</v>
      </c>
      <c r="Y323" s="493"/>
      <c r="Z323" s="493"/>
      <c r="AB323" s="492">
        <v>319</v>
      </c>
      <c r="AC323" s="492">
        <v>27</v>
      </c>
      <c r="AD323" s="497">
        <f>IF(('Comparison Calculator'!$E$11-AC323)&gt;=0,0,IFERROR(-PPMT($AH$66/12,(AB323-60),($F$1-5)*12,$AH$65),0))</f>
        <v>0</v>
      </c>
      <c r="AE323" s="497">
        <f>IF(('Comparison Calculator'!$E$11-AC323)&gt;=0,$C$1*$AH$66/12,IFERROR(-IPMT($AH$66/12,(AB323-60),($F$1-5)*12,$AH$65,0),0))</f>
        <v>0</v>
      </c>
      <c r="AF323" s="497">
        <f t="shared" si="119"/>
        <v>0</v>
      </c>
      <c r="AG323" s="497">
        <f t="shared" si="132"/>
        <v>1800000</v>
      </c>
      <c r="AH323" s="493"/>
      <c r="AI323" s="493"/>
      <c r="AK323" s="492">
        <v>319</v>
      </c>
      <c r="AL323" s="492">
        <v>27</v>
      </c>
      <c r="AM323" s="497">
        <f>IF(('Comparison Calculator'!$E$11-AL323)&gt;=0,0,IFERROR(-PPMT($AQ$66/12,(AK323-60),($F$1-5)*12,$AQ$65),0))</f>
        <v>0</v>
      </c>
      <c r="AN323" s="497">
        <f>IF(('Comparison Calculator'!$E$11-AL323)&gt;=0,$C$1*$AQ$66/12,IFERROR(-IPMT($AQ$66/12,(AK323-60),($F$1-5)*12,$AQ$65,0),0))</f>
        <v>0</v>
      </c>
      <c r="AO323" s="497">
        <f t="shared" si="120"/>
        <v>0</v>
      </c>
      <c r="AP323" s="497">
        <f t="shared" si="133"/>
        <v>1800000</v>
      </c>
      <c r="AQ323" s="493"/>
      <c r="AR323" s="493"/>
      <c r="AT323" s="492">
        <v>319</v>
      </c>
      <c r="AU323" s="492">
        <v>27</v>
      </c>
      <c r="AV323" s="497">
        <f>IF(('Comparison Calculator'!$E$11-AU323)&gt;=0,0,IFERROR(-PPMT($AZ$66/12,(AT323-60),($F$1-5)*12,$AZ$65),0))</f>
        <v>0</v>
      </c>
      <c r="AW323" s="497">
        <f>IF(('Comparison Calculator'!$E$11-AU323)&gt;=0,$C$1*$AZ$66/12,IFERROR(-IPMT($AZ$66/12,(AT323-60),($F$1-5)*12,$AZ$65,0),0))</f>
        <v>0</v>
      </c>
      <c r="AX323" s="497">
        <f t="shared" si="121"/>
        <v>0</v>
      </c>
      <c r="AY323" s="497">
        <f t="shared" si="134"/>
        <v>1800000</v>
      </c>
      <c r="AZ323" s="493"/>
      <c r="BA323" s="493"/>
      <c r="BC323" s="492">
        <v>319</v>
      </c>
      <c r="BD323" s="492">
        <v>27</v>
      </c>
      <c r="BE323" s="497">
        <f>IF(('Comparison Calculator'!$E$11-BD323)&gt;=0,0,IFERROR(-PPMT($BI$66/12,(BC323-60),($F$1-5)*12,$BI$65),0))</f>
        <v>0</v>
      </c>
      <c r="BF323" s="497">
        <f>IF(('Comparison Calculator'!$E$11-BD323)&gt;=0,$C$1*$BI$66/12,IFERROR(-IPMT($BI$66/12,(BC323-60),($F$1-5)*12,$BI$65,0),0))</f>
        <v>0</v>
      </c>
      <c r="BG323" s="497">
        <f t="shared" si="122"/>
        <v>0</v>
      </c>
      <c r="BH323" s="497">
        <f t="shared" si="135"/>
        <v>1800000</v>
      </c>
      <c r="BI323" s="493"/>
      <c r="BJ323" s="493"/>
      <c r="BK323" s="492">
        <v>319</v>
      </c>
      <c r="BL323" s="492">
        <v>27</v>
      </c>
      <c r="BM323" s="497">
        <f>IF(('Comparison Calculator'!$E$11-BL323)&gt;=0,0,IFERROR(-PPMT($BQ$66/12,(BK323-60),($F$1-5)*12,$BQ$65),0))</f>
        <v>0</v>
      </c>
      <c r="BN323" s="497">
        <f>IF(('Comparison Calculator'!$E$11-BL323)&gt;=0,$C$1*$BQ$66/12,IFERROR(-IPMT($BQ$66/12,(BK323-60),($F$1-5)*12,$BQ$65,0),0))</f>
        <v>0</v>
      </c>
      <c r="BO323" s="497">
        <f t="shared" si="123"/>
        <v>0</v>
      </c>
      <c r="BP323" s="497">
        <f t="shared" si="136"/>
        <v>1800000</v>
      </c>
      <c r="BQ323" s="493"/>
      <c r="BR323" s="493"/>
      <c r="BT323" s="492">
        <v>319</v>
      </c>
      <c r="BU323" s="492">
        <v>27</v>
      </c>
      <c r="BV323" s="497">
        <f>IF(('Comparison Calculator'!$E$11-BU323)&gt;=0,0,IFERROR(-PPMT($BZ$66/12,(BT323-60),($F$1-5)*12,$BZ$65),0))</f>
        <v>0</v>
      </c>
      <c r="BW323" s="497">
        <f>IF(('Comparison Calculator'!$E$11-BU323)&gt;=0,$C$1*$BZ$66/12,IFERROR(-IPMT($BZ$66/12,(BT323-60),($F$1-5)*12,$BZ$65,0),0))</f>
        <v>0</v>
      </c>
      <c r="BX323" s="497">
        <f t="shared" si="124"/>
        <v>0</v>
      </c>
      <c r="BY323" s="497">
        <f t="shared" si="137"/>
        <v>1800000</v>
      </c>
      <c r="BZ323" s="493"/>
      <c r="CA323" s="493"/>
      <c r="CC323" s="492">
        <v>319</v>
      </c>
      <c r="CD323" s="492">
        <v>27</v>
      </c>
      <c r="CE323" s="497">
        <f>IF(('Comparison Calculator'!$E$11-CD323)&gt;=0,0,IFERROR(-PPMT($CI$66/12,(CC323-60),($F$1-5)*12,$CI$65),0))</f>
        <v>0</v>
      </c>
      <c r="CF323" s="497">
        <f>IF(('Comparison Calculator'!$E$11-CD323)&gt;=0,$C$1*$CI$66/12,IFERROR(-IPMT($CI$66/12,(CC323-60),($F$1-5)*12,$CI$65,0),0))</f>
        <v>0</v>
      </c>
      <c r="CG323" s="497">
        <f t="shared" si="125"/>
        <v>0</v>
      </c>
      <c r="CH323" s="497">
        <f t="shared" si="138"/>
        <v>1800000</v>
      </c>
      <c r="CI323" s="493"/>
      <c r="CJ323" s="493"/>
      <c r="CL323" s="492">
        <v>319</v>
      </c>
      <c r="CM323" s="492">
        <v>27</v>
      </c>
      <c r="CN323" s="497">
        <f>IF(('Comparison Calculator'!$E$11-CM323)&gt;=0,0,IFERROR(-PPMT($CR$66/12,(CL323-60),($F$1-5)*12,$CR$65),0))</f>
        <v>0</v>
      </c>
      <c r="CO323" s="497">
        <f>IF(('Comparison Calculator'!$E$11-CM323)&gt;=0,$C$1*$CI$66/12,IFERROR(-IPMT($CI$66/12,(CL323-60),($F$1-5)*12,$CI$65,0),0))</f>
        <v>0</v>
      </c>
      <c r="CP323" s="497">
        <f t="shared" si="126"/>
        <v>0</v>
      </c>
      <c r="CQ323" s="497">
        <f t="shared" si="139"/>
        <v>1800000</v>
      </c>
      <c r="CR323" s="493"/>
      <c r="CS323" s="493"/>
      <c r="CU323" s="492">
        <v>319</v>
      </c>
      <c r="CV323" s="492">
        <v>27</v>
      </c>
      <c r="CW323" s="497">
        <f>IF(('Comparison Calculator'!$E$11-CV323)&gt;=0,0,IFERROR(-PPMT($DA$66/12,(CU323-60),($F$1-5)*12,$DA$65),0))</f>
        <v>0</v>
      </c>
      <c r="CX323" s="497">
        <f>IF(('Comparison Calculator'!$E$11-CV323)&gt;=0,$C$1*$DA$66/12,IFERROR(-IPMT($DA$66/12,(CU323-60),($F$1-5)*12,$DA$65,0),0))</f>
        <v>0</v>
      </c>
      <c r="CY323" s="497">
        <f t="shared" si="127"/>
        <v>0</v>
      </c>
      <c r="CZ323" s="497">
        <f t="shared" si="140"/>
        <v>1800000</v>
      </c>
      <c r="DA323" s="493"/>
      <c r="DB323" s="493"/>
      <c r="DD323" s="492">
        <v>319</v>
      </c>
      <c r="DE323" s="492">
        <v>27</v>
      </c>
      <c r="DF323" s="497">
        <f>IF(('Comparison Calculator'!$E$11-DE323)&gt;=0,0,IFERROR(-PPMT($DJ$66/12,(DD323-60),($F$1-5)*12,$DJ$65),0))</f>
        <v>0</v>
      </c>
      <c r="DG323" s="497">
        <f>IF(('Comparison Calculator'!$E$11-DE323)&gt;=0,$C$1*$DJ$66/12,IFERROR(-IPMT($DJ$66/12,(DD323-60),($F$1-5)*12,$DJ$65,0),0))</f>
        <v>0</v>
      </c>
      <c r="DH323" s="497">
        <f t="shared" si="128"/>
        <v>0</v>
      </c>
      <c r="DI323" s="497">
        <f t="shared" si="141"/>
        <v>1800000</v>
      </c>
      <c r="DJ323" s="493"/>
      <c r="DK323" s="493"/>
    </row>
    <row r="324" spans="1:115">
      <c r="A324" s="492">
        <v>320</v>
      </c>
      <c r="B324" s="492">
        <v>27</v>
      </c>
      <c r="C324" s="497">
        <f>IF(('Comparison Calculator'!$E$11-B324)&gt;=0,0,IFERROR(-PPMT($G$66/12,(A324-60),($F$1-5)*12,$G$65),0))</f>
        <v>0</v>
      </c>
      <c r="D324" s="497">
        <f>IF(('Comparison Calculator'!$E$11-B324)&gt;=0,$C$1*$G$66/12,IFERROR(-IPMT($G$66/12,(A324-60),($F$1-5)*12,$G$65,0),0))</f>
        <v>0</v>
      </c>
      <c r="E324" s="497">
        <f t="shared" si="116"/>
        <v>0</v>
      </c>
      <c r="F324" s="497">
        <f t="shared" si="129"/>
        <v>1800000</v>
      </c>
      <c r="G324" s="493"/>
      <c r="H324" s="493"/>
      <c r="I324" s="489"/>
      <c r="J324" s="492">
        <v>320</v>
      </c>
      <c r="K324" s="492">
        <v>27</v>
      </c>
      <c r="L324" s="497">
        <f>IF(('Comparison Calculator'!$E$11-K324)&gt;=0,0,IFERROR(-PPMT($P$66/12,(J324-60),($F$1-5)*12,$P$65),0))</f>
        <v>0</v>
      </c>
      <c r="M324" s="497">
        <f>IF(('Comparison Calculator'!$E$11-K324)&gt;=0,$C$1*$P$66/12,IFERROR(-IPMT($P$66/12,(J324-60),($F$1-5)*12,$P$65,0),0))</f>
        <v>0</v>
      </c>
      <c r="N324" s="497">
        <f t="shared" si="117"/>
        <v>0</v>
      </c>
      <c r="O324" s="497">
        <f t="shared" si="130"/>
        <v>1800000</v>
      </c>
      <c r="P324" s="493"/>
      <c r="Q324" s="493"/>
      <c r="S324" s="492">
        <v>320</v>
      </c>
      <c r="T324" s="492">
        <v>27</v>
      </c>
      <c r="U324" s="497">
        <f>IF(('Comparison Calculator'!$E$11-T324)&gt;=0,0,IFERROR(-PPMT($Y$66/12,(S324-60),($F$1-5)*12,$Y$65),0))</f>
        <v>0</v>
      </c>
      <c r="V324" s="497">
        <f>IF(('Comparison Calculator'!$E$11-T324)&gt;=0,$C$1*$Y$66/12,IFERROR(-IPMT($Y$66/12,(S324-60),($F$1-5)*12,$Y$65,0),0))</f>
        <v>0</v>
      </c>
      <c r="W324" s="497">
        <f t="shared" si="118"/>
        <v>0</v>
      </c>
      <c r="X324" s="497">
        <f t="shared" si="131"/>
        <v>1800000</v>
      </c>
      <c r="Y324" s="493"/>
      <c r="Z324" s="493"/>
      <c r="AB324" s="492">
        <v>320</v>
      </c>
      <c r="AC324" s="492">
        <v>27</v>
      </c>
      <c r="AD324" s="497">
        <f>IF(('Comparison Calculator'!$E$11-AC324)&gt;=0,0,IFERROR(-PPMT($AH$66/12,(AB324-60),($F$1-5)*12,$AH$65),0))</f>
        <v>0</v>
      </c>
      <c r="AE324" s="497">
        <f>IF(('Comparison Calculator'!$E$11-AC324)&gt;=0,$C$1*$AH$66/12,IFERROR(-IPMT($AH$66/12,(AB324-60),($F$1-5)*12,$AH$65,0),0))</f>
        <v>0</v>
      </c>
      <c r="AF324" s="497">
        <f t="shared" si="119"/>
        <v>0</v>
      </c>
      <c r="AG324" s="497">
        <f t="shared" si="132"/>
        <v>1800000</v>
      </c>
      <c r="AH324" s="493"/>
      <c r="AI324" s="493"/>
      <c r="AK324" s="492">
        <v>320</v>
      </c>
      <c r="AL324" s="492">
        <v>27</v>
      </c>
      <c r="AM324" s="497">
        <f>IF(('Comparison Calculator'!$E$11-AL324)&gt;=0,0,IFERROR(-PPMT($AQ$66/12,(AK324-60),($F$1-5)*12,$AQ$65),0))</f>
        <v>0</v>
      </c>
      <c r="AN324" s="497">
        <f>IF(('Comparison Calculator'!$E$11-AL324)&gt;=0,$C$1*$AQ$66/12,IFERROR(-IPMT($AQ$66/12,(AK324-60),($F$1-5)*12,$AQ$65,0),0))</f>
        <v>0</v>
      </c>
      <c r="AO324" s="497">
        <f t="shared" si="120"/>
        <v>0</v>
      </c>
      <c r="AP324" s="497">
        <f t="shared" si="133"/>
        <v>1800000</v>
      </c>
      <c r="AQ324" s="493"/>
      <c r="AR324" s="493"/>
      <c r="AT324" s="492">
        <v>320</v>
      </c>
      <c r="AU324" s="492">
        <v>27</v>
      </c>
      <c r="AV324" s="497">
        <f>IF(('Comparison Calculator'!$E$11-AU324)&gt;=0,0,IFERROR(-PPMT($AZ$66/12,(AT324-60),($F$1-5)*12,$AZ$65),0))</f>
        <v>0</v>
      </c>
      <c r="AW324" s="497">
        <f>IF(('Comparison Calculator'!$E$11-AU324)&gt;=0,$C$1*$AZ$66/12,IFERROR(-IPMT($AZ$66/12,(AT324-60),($F$1-5)*12,$AZ$65,0),0))</f>
        <v>0</v>
      </c>
      <c r="AX324" s="497">
        <f t="shared" si="121"/>
        <v>0</v>
      </c>
      <c r="AY324" s="497">
        <f t="shared" si="134"/>
        <v>1800000</v>
      </c>
      <c r="AZ324" s="493"/>
      <c r="BA324" s="493"/>
      <c r="BC324" s="492">
        <v>320</v>
      </c>
      <c r="BD324" s="492">
        <v>27</v>
      </c>
      <c r="BE324" s="497">
        <f>IF(('Comparison Calculator'!$E$11-BD324)&gt;=0,0,IFERROR(-PPMT($BI$66/12,(BC324-60),($F$1-5)*12,$BI$65),0))</f>
        <v>0</v>
      </c>
      <c r="BF324" s="497">
        <f>IF(('Comparison Calculator'!$E$11-BD324)&gt;=0,$C$1*$BI$66/12,IFERROR(-IPMT($BI$66/12,(BC324-60),($F$1-5)*12,$BI$65,0),0))</f>
        <v>0</v>
      </c>
      <c r="BG324" s="497">
        <f t="shared" si="122"/>
        <v>0</v>
      </c>
      <c r="BH324" s="497">
        <f t="shared" si="135"/>
        <v>1800000</v>
      </c>
      <c r="BI324" s="493"/>
      <c r="BJ324" s="493"/>
      <c r="BK324" s="492">
        <v>320</v>
      </c>
      <c r="BL324" s="492">
        <v>27</v>
      </c>
      <c r="BM324" s="497">
        <f>IF(('Comparison Calculator'!$E$11-BL324)&gt;=0,0,IFERROR(-PPMT($BQ$66/12,(BK324-60),($F$1-5)*12,$BQ$65),0))</f>
        <v>0</v>
      </c>
      <c r="BN324" s="497">
        <f>IF(('Comparison Calculator'!$E$11-BL324)&gt;=0,$C$1*$BQ$66/12,IFERROR(-IPMT($BQ$66/12,(BK324-60),($F$1-5)*12,$BQ$65,0),0))</f>
        <v>0</v>
      </c>
      <c r="BO324" s="497">
        <f t="shared" si="123"/>
        <v>0</v>
      </c>
      <c r="BP324" s="497">
        <f t="shared" si="136"/>
        <v>1800000</v>
      </c>
      <c r="BQ324" s="493"/>
      <c r="BR324" s="493"/>
      <c r="BT324" s="492">
        <v>320</v>
      </c>
      <c r="BU324" s="492">
        <v>27</v>
      </c>
      <c r="BV324" s="497">
        <f>IF(('Comparison Calculator'!$E$11-BU324)&gt;=0,0,IFERROR(-PPMT($BZ$66/12,(BT324-60),($F$1-5)*12,$BZ$65),0))</f>
        <v>0</v>
      </c>
      <c r="BW324" s="497">
        <f>IF(('Comparison Calculator'!$E$11-BU324)&gt;=0,$C$1*$BZ$66/12,IFERROR(-IPMT($BZ$66/12,(BT324-60),($F$1-5)*12,$BZ$65,0),0))</f>
        <v>0</v>
      </c>
      <c r="BX324" s="497">
        <f t="shared" si="124"/>
        <v>0</v>
      </c>
      <c r="BY324" s="497">
        <f t="shared" si="137"/>
        <v>1800000</v>
      </c>
      <c r="BZ324" s="493"/>
      <c r="CA324" s="493"/>
      <c r="CC324" s="492">
        <v>320</v>
      </c>
      <c r="CD324" s="492">
        <v>27</v>
      </c>
      <c r="CE324" s="497">
        <f>IF(('Comparison Calculator'!$E$11-CD324)&gt;=0,0,IFERROR(-PPMT($CI$66/12,(CC324-60),($F$1-5)*12,$CI$65),0))</f>
        <v>0</v>
      </c>
      <c r="CF324" s="497">
        <f>IF(('Comparison Calculator'!$E$11-CD324)&gt;=0,$C$1*$CI$66/12,IFERROR(-IPMT($CI$66/12,(CC324-60),($F$1-5)*12,$CI$65,0),0))</f>
        <v>0</v>
      </c>
      <c r="CG324" s="497">
        <f t="shared" si="125"/>
        <v>0</v>
      </c>
      <c r="CH324" s="497">
        <f t="shared" si="138"/>
        <v>1800000</v>
      </c>
      <c r="CI324" s="493"/>
      <c r="CJ324" s="493"/>
      <c r="CL324" s="492">
        <v>320</v>
      </c>
      <c r="CM324" s="492">
        <v>27</v>
      </c>
      <c r="CN324" s="497">
        <f>IF(('Comparison Calculator'!$E$11-CM324)&gt;=0,0,IFERROR(-PPMT($CR$66/12,(CL324-60),($F$1-5)*12,$CR$65),0))</f>
        <v>0</v>
      </c>
      <c r="CO324" s="497">
        <f>IF(('Comparison Calculator'!$E$11-CM324)&gt;=0,$C$1*$CI$66/12,IFERROR(-IPMT($CI$66/12,(CL324-60),($F$1-5)*12,$CI$65,0),0))</f>
        <v>0</v>
      </c>
      <c r="CP324" s="497">
        <f t="shared" si="126"/>
        <v>0</v>
      </c>
      <c r="CQ324" s="497">
        <f t="shared" si="139"/>
        <v>1800000</v>
      </c>
      <c r="CR324" s="493"/>
      <c r="CS324" s="493"/>
      <c r="CU324" s="492">
        <v>320</v>
      </c>
      <c r="CV324" s="492">
        <v>27</v>
      </c>
      <c r="CW324" s="497">
        <f>IF(('Comparison Calculator'!$E$11-CV324)&gt;=0,0,IFERROR(-PPMT($DA$66/12,(CU324-60),($F$1-5)*12,$DA$65),0))</f>
        <v>0</v>
      </c>
      <c r="CX324" s="497">
        <f>IF(('Comparison Calculator'!$E$11-CV324)&gt;=0,$C$1*$DA$66/12,IFERROR(-IPMT($DA$66/12,(CU324-60),($F$1-5)*12,$DA$65,0),0))</f>
        <v>0</v>
      </c>
      <c r="CY324" s="497">
        <f t="shared" si="127"/>
        <v>0</v>
      </c>
      <c r="CZ324" s="497">
        <f t="shared" si="140"/>
        <v>1800000</v>
      </c>
      <c r="DA324" s="493"/>
      <c r="DB324" s="493"/>
      <c r="DD324" s="492">
        <v>320</v>
      </c>
      <c r="DE324" s="492">
        <v>27</v>
      </c>
      <c r="DF324" s="497">
        <f>IF(('Comparison Calculator'!$E$11-DE324)&gt;=0,0,IFERROR(-PPMT($DJ$66/12,(DD324-60),($F$1-5)*12,$DJ$65),0))</f>
        <v>0</v>
      </c>
      <c r="DG324" s="497">
        <f>IF(('Comparison Calculator'!$E$11-DE324)&gt;=0,$C$1*$DJ$66/12,IFERROR(-IPMT($DJ$66/12,(DD324-60),($F$1-5)*12,$DJ$65,0),0))</f>
        <v>0</v>
      </c>
      <c r="DH324" s="497">
        <f t="shared" si="128"/>
        <v>0</v>
      </c>
      <c r="DI324" s="497">
        <f t="shared" si="141"/>
        <v>1800000</v>
      </c>
      <c r="DJ324" s="493"/>
      <c r="DK324" s="493"/>
    </row>
    <row r="325" spans="1:115">
      <c r="A325" s="492">
        <v>321</v>
      </c>
      <c r="B325" s="492">
        <v>27</v>
      </c>
      <c r="C325" s="497">
        <f>IF(('Comparison Calculator'!$E$11-B325)&gt;=0,0,IFERROR(-PPMT($G$66/12,(A325-60),($F$1-5)*12,$G$65),0))</f>
        <v>0</v>
      </c>
      <c r="D325" s="497">
        <f>IF(('Comparison Calculator'!$E$11-B325)&gt;=0,$C$1*$G$66/12,IFERROR(-IPMT($G$66/12,(A325-60),($F$1-5)*12,$G$65,0),0))</f>
        <v>0</v>
      </c>
      <c r="E325" s="497">
        <f t="shared" si="116"/>
        <v>0</v>
      </c>
      <c r="F325" s="497">
        <f t="shared" si="129"/>
        <v>1800000</v>
      </c>
      <c r="G325" s="493"/>
      <c r="H325" s="493"/>
      <c r="I325" s="489"/>
      <c r="J325" s="492">
        <v>321</v>
      </c>
      <c r="K325" s="492">
        <v>27</v>
      </c>
      <c r="L325" s="497">
        <f>IF(('Comparison Calculator'!$E$11-K325)&gt;=0,0,IFERROR(-PPMT($P$66/12,(J325-60),($F$1-5)*12,$P$65),0))</f>
        <v>0</v>
      </c>
      <c r="M325" s="497">
        <f>IF(('Comparison Calculator'!$E$11-K325)&gt;=0,$C$1*$P$66/12,IFERROR(-IPMT($P$66/12,(J325-60),($F$1-5)*12,$P$65,0),0))</f>
        <v>0</v>
      </c>
      <c r="N325" s="497">
        <f t="shared" si="117"/>
        <v>0</v>
      </c>
      <c r="O325" s="497">
        <f t="shared" si="130"/>
        <v>1800000</v>
      </c>
      <c r="P325" s="493"/>
      <c r="Q325" s="493"/>
      <c r="S325" s="492">
        <v>321</v>
      </c>
      <c r="T325" s="492">
        <v>27</v>
      </c>
      <c r="U325" s="497">
        <f>IF(('Comparison Calculator'!$E$11-T325)&gt;=0,0,IFERROR(-PPMT($Y$66/12,(S325-60),($F$1-5)*12,$Y$65),0))</f>
        <v>0</v>
      </c>
      <c r="V325" s="497">
        <f>IF(('Comparison Calculator'!$E$11-T325)&gt;=0,$C$1*$Y$66/12,IFERROR(-IPMT($Y$66/12,(S325-60),($F$1-5)*12,$Y$65,0),0))</f>
        <v>0</v>
      </c>
      <c r="W325" s="497">
        <f t="shared" si="118"/>
        <v>0</v>
      </c>
      <c r="X325" s="497">
        <f t="shared" si="131"/>
        <v>1800000</v>
      </c>
      <c r="Y325" s="493"/>
      <c r="Z325" s="493"/>
      <c r="AB325" s="492">
        <v>321</v>
      </c>
      <c r="AC325" s="492">
        <v>27</v>
      </c>
      <c r="AD325" s="497">
        <f>IF(('Comparison Calculator'!$E$11-AC325)&gt;=0,0,IFERROR(-PPMT($AH$66/12,(AB325-60),($F$1-5)*12,$AH$65),0))</f>
        <v>0</v>
      </c>
      <c r="AE325" s="497">
        <f>IF(('Comparison Calculator'!$E$11-AC325)&gt;=0,$C$1*$AH$66/12,IFERROR(-IPMT($AH$66/12,(AB325-60),($F$1-5)*12,$AH$65,0),0))</f>
        <v>0</v>
      </c>
      <c r="AF325" s="497">
        <f t="shared" si="119"/>
        <v>0</v>
      </c>
      <c r="AG325" s="497">
        <f t="shared" si="132"/>
        <v>1800000</v>
      </c>
      <c r="AH325" s="493"/>
      <c r="AI325" s="493"/>
      <c r="AK325" s="492">
        <v>321</v>
      </c>
      <c r="AL325" s="492">
        <v>27</v>
      </c>
      <c r="AM325" s="497">
        <f>IF(('Comparison Calculator'!$E$11-AL325)&gt;=0,0,IFERROR(-PPMT($AQ$66/12,(AK325-60),($F$1-5)*12,$AQ$65),0))</f>
        <v>0</v>
      </c>
      <c r="AN325" s="497">
        <f>IF(('Comparison Calculator'!$E$11-AL325)&gt;=0,$C$1*$AQ$66/12,IFERROR(-IPMT($AQ$66/12,(AK325-60),($F$1-5)*12,$AQ$65,0),0))</f>
        <v>0</v>
      </c>
      <c r="AO325" s="497">
        <f t="shared" si="120"/>
        <v>0</v>
      </c>
      <c r="AP325" s="497">
        <f t="shared" si="133"/>
        <v>1800000</v>
      </c>
      <c r="AQ325" s="493"/>
      <c r="AR325" s="493"/>
      <c r="AT325" s="492">
        <v>321</v>
      </c>
      <c r="AU325" s="492">
        <v>27</v>
      </c>
      <c r="AV325" s="497">
        <f>IF(('Comparison Calculator'!$E$11-AU325)&gt;=0,0,IFERROR(-PPMT($AZ$66/12,(AT325-60),($F$1-5)*12,$AZ$65),0))</f>
        <v>0</v>
      </c>
      <c r="AW325" s="497">
        <f>IF(('Comparison Calculator'!$E$11-AU325)&gt;=0,$C$1*$AZ$66/12,IFERROR(-IPMT($AZ$66/12,(AT325-60),($F$1-5)*12,$AZ$65,0),0))</f>
        <v>0</v>
      </c>
      <c r="AX325" s="497">
        <f t="shared" si="121"/>
        <v>0</v>
      </c>
      <c r="AY325" s="497">
        <f t="shared" si="134"/>
        <v>1800000</v>
      </c>
      <c r="AZ325" s="493"/>
      <c r="BA325" s="493"/>
      <c r="BC325" s="492">
        <v>321</v>
      </c>
      <c r="BD325" s="492">
        <v>27</v>
      </c>
      <c r="BE325" s="497">
        <f>IF(('Comparison Calculator'!$E$11-BD325)&gt;=0,0,IFERROR(-PPMT($BI$66/12,(BC325-60),($F$1-5)*12,$BI$65),0))</f>
        <v>0</v>
      </c>
      <c r="BF325" s="497">
        <f>IF(('Comparison Calculator'!$E$11-BD325)&gt;=0,$C$1*$BI$66/12,IFERROR(-IPMT($BI$66/12,(BC325-60),($F$1-5)*12,$BI$65,0),0))</f>
        <v>0</v>
      </c>
      <c r="BG325" s="497">
        <f t="shared" si="122"/>
        <v>0</v>
      </c>
      <c r="BH325" s="497">
        <f t="shared" si="135"/>
        <v>1800000</v>
      </c>
      <c r="BI325" s="493"/>
      <c r="BJ325" s="493"/>
      <c r="BK325" s="492">
        <v>321</v>
      </c>
      <c r="BL325" s="492">
        <v>27</v>
      </c>
      <c r="BM325" s="497">
        <f>IF(('Comparison Calculator'!$E$11-BL325)&gt;=0,0,IFERROR(-PPMT($BQ$66/12,(BK325-60),($F$1-5)*12,$BQ$65),0))</f>
        <v>0</v>
      </c>
      <c r="BN325" s="497">
        <f>IF(('Comparison Calculator'!$E$11-BL325)&gt;=0,$C$1*$BQ$66/12,IFERROR(-IPMT($BQ$66/12,(BK325-60),($F$1-5)*12,$BQ$65,0),0))</f>
        <v>0</v>
      </c>
      <c r="BO325" s="497">
        <f t="shared" si="123"/>
        <v>0</v>
      </c>
      <c r="BP325" s="497">
        <f t="shared" si="136"/>
        <v>1800000</v>
      </c>
      <c r="BQ325" s="493"/>
      <c r="BR325" s="493"/>
      <c r="BT325" s="492">
        <v>321</v>
      </c>
      <c r="BU325" s="492">
        <v>27</v>
      </c>
      <c r="BV325" s="497">
        <f>IF(('Comparison Calculator'!$E$11-BU325)&gt;=0,0,IFERROR(-PPMT($BZ$66/12,(BT325-60),($F$1-5)*12,$BZ$65),0))</f>
        <v>0</v>
      </c>
      <c r="BW325" s="497">
        <f>IF(('Comparison Calculator'!$E$11-BU325)&gt;=0,$C$1*$BZ$66/12,IFERROR(-IPMT($BZ$66/12,(BT325-60),($F$1-5)*12,$BZ$65,0),0))</f>
        <v>0</v>
      </c>
      <c r="BX325" s="497">
        <f t="shared" si="124"/>
        <v>0</v>
      </c>
      <c r="BY325" s="497">
        <f t="shared" si="137"/>
        <v>1800000</v>
      </c>
      <c r="BZ325" s="493"/>
      <c r="CA325" s="493"/>
      <c r="CC325" s="492">
        <v>321</v>
      </c>
      <c r="CD325" s="492">
        <v>27</v>
      </c>
      <c r="CE325" s="497">
        <f>IF(('Comparison Calculator'!$E$11-CD325)&gt;=0,0,IFERROR(-PPMT($CI$66/12,(CC325-60),($F$1-5)*12,$CI$65),0))</f>
        <v>0</v>
      </c>
      <c r="CF325" s="497">
        <f>IF(('Comparison Calculator'!$E$11-CD325)&gt;=0,$C$1*$CI$66/12,IFERROR(-IPMT($CI$66/12,(CC325-60),($F$1-5)*12,$CI$65,0),0))</f>
        <v>0</v>
      </c>
      <c r="CG325" s="497">
        <f t="shared" si="125"/>
        <v>0</v>
      </c>
      <c r="CH325" s="497">
        <f t="shared" si="138"/>
        <v>1800000</v>
      </c>
      <c r="CI325" s="493"/>
      <c r="CJ325" s="493"/>
      <c r="CL325" s="492">
        <v>321</v>
      </c>
      <c r="CM325" s="492">
        <v>27</v>
      </c>
      <c r="CN325" s="497">
        <f>IF(('Comparison Calculator'!$E$11-CM325)&gt;=0,0,IFERROR(-PPMT($CR$66/12,(CL325-60),($F$1-5)*12,$CR$65),0))</f>
        <v>0</v>
      </c>
      <c r="CO325" s="497">
        <f>IF(('Comparison Calculator'!$E$11-CM325)&gt;=0,$C$1*$CI$66/12,IFERROR(-IPMT($CI$66/12,(CL325-60),($F$1-5)*12,$CI$65,0),0))</f>
        <v>0</v>
      </c>
      <c r="CP325" s="497">
        <f t="shared" si="126"/>
        <v>0</v>
      </c>
      <c r="CQ325" s="497">
        <f t="shared" si="139"/>
        <v>1800000</v>
      </c>
      <c r="CR325" s="493"/>
      <c r="CS325" s="493"/>
      <c r="CU325" s="492">
        <v>321</v>
      </c>
      <c r="CV325" s="492">
        <v>27</v>
      </c>
      <c r="CW325" s="497">
        <f>IF(('Comparison Calculator'!$E$11-CV325)&gt;=0,0,IFERROR(-PPMT($DA$66/12,(CU325-60),($F$1-5)*12,$DA$65),0))</f>
        <v>0</v>
      </c>
      <c r="CX325" s="497">
        <f>IF(('Comparison Calculator'!$E$11-CV325)&gt;=0,$C$1*$DA$66/12,IFERROR(-IPMT($DA$66/12,(CU325-60),($F$1-5)*12,$DA$65,0),0))</f>
        <v>0</v>
      </c>
      <c r="CY325" s="497">
        <f t="shared" si="127"/>
        <v>0</v>
      </c>
      <c r="CZ325" s="497">
        <f t="shared" si="140"/>
        <v>1800000</v>
      </c>
      <c r="DA325" s="493"/>
      <c r="DB325" s="493"/>
      <c r="DD325" s="492">
        <v>321</v>
      </c>
      <c r="DE325" s="492">
        <v>27</v>
      </c>
      <c r="DF325" s="497">
        <f>IF(('Comparison Calculator'!$E$11-DE325)&gt;=0,0,IFERROR(-PPMT($DJ$66/12,(DD325-60),($F$1-5)*12,$DJ$65),0))</f>
        <v>0</v>
      </c>
      <c r="DG325" s="497">
        <f>IF(('Comparison Calculator'!$E$11-DE325)&gt;=0,$C$1*$DJ$66/12,IFERROR(-IPMT($DJ$66/12,(DD325-60),($F$1-5)*12,$DJ$65,0),0))</f>
        <v>0</v>
      </c>
      <c r="DH325" s="497">
        <f t="shared" si="128"/>
        <v>0</v>
      </c>
      <c r="DI325" s="497">
        <f t="shared" si="141"/>
        <v>1800000</v>
      </c>
      <c r="DJ325" s="493"/>
      <c r="DK325" s="493"/>
    </row>
    <row r="326" spans="1:115">
      <c r="A326" s="492">
        <v>322</v>
      </c>
      <c r="B326" s="492">
        <v>27</v>
      </c>
      <c r="C326" s="497">
        <f>IF(('Comparison Calculator'!$E$11-B326)&gt;=0,0,IFERROR(-PPMT($G$66/12,(A326-60),($F$1-5)*12,$G$65),0))</f>
        <v>0</v>
      </c>
      <c r="D326" s="497">
        <f>IF(('Comparison Calculator'!$E$11-B326)&gt;=0,$C$1*$G$66/12,IFERROR(-IPMT($G$66/12,(A326-60),($F$1-5)*12,$G$65,0),0))</f>
        <v>0</v>
      </c>
      <c r="E326" s="497">
        <f t="shared" ref="E326:E364" si="142">C326+D326</f>
        <v>0</v>
      </c>
      <c r="F326" s="497">
        <f t="shared" si="129"/>
        <v>1800000</v>
      </c>
      <c r="G326" s="493"/>
      <c r="H326" s="493"/>
      <c r="I326" s="489"/>
      <c r="J326" s="492">
        <v>322</v>
      </c>
      <c r="K326" s="492">
        <v>27</v>
      </c>
      <c r="L326" s="497">
        <f>IF(('Comparison Calculator'!$E$11-K326)&gt;=0,0,IFERROR(-PPMT($P$66/12,(J326-60),($F$1-5)*12,$P$65),0))</f>
        <v>0</v>
      </c>
      <c r="M326" s="497">
        <f>IF(('Comparison Calculator'!$E$11-K326)&gt;=0,$C$1*$P$66/12,IFERROR(-IPMT($P$66/12,(J326-60),($F$1-5)*12,$P$65,0),0))</f>
        <v>0</v>
      </c>
      <c r="N326" s="497">
        <f t="shared" ref="N326:N364" si="143">L326+M326</f>
        <v>0</v>
      </c>
      <c r="O326" s="497">
        <f t="shared" si="130"/>
        <v>1800000</v>
      </c>
      <c r="P326" s="493"/>
      <c r="Q326" s="493"/>
      <c r="S326" s="492">
        <v>322</v>
      </c>
      <c r="T326" s="492">
        <v>27</v>
      </c>
      <c r="U326" s="497">
        <f>IF(('Comparison Calculator'!$E$11-T326)&gt;=0,0,IFERROR(-PPMT($Y$66/12,(S326-60),($F$1-5)*12,$Y$65),0))</f>
        <v>0</v>
      </c>
      <c r="V326" s="497">
        <f>IF(('Comparison Calculator'!$E$11-T326)&gt;=0,$C$1*$Y$66/12,IFERROR(-IPMT($Y$66/12,(S326-60),($F$1-5)*12,$Y$65,0),0))</f>
        <v>0</v>
      </c>
      <c r="W326" s="497">
        <f t="shared" ref="W326:W364" si="144">U326+V326</f>
        <v>0</v>
      </c>
      <c r="X326" s="497">
        <f t="shared" si="131"/>
        <v>1800000</v>
      </c>
      <c r="Y326" s="493"/>
      <c r="Z326" s="493"/>
      <c r="AB326" s="492">
        <v>322</v>
      </c>
      <c r="AC326" s="492">
        <v>27</v>
      </c>
      <c r="AD326" s="497">
        <f>IF(('Comparison Calculator'!$E$11-AC326)&gt;=0,0,IFERROR(-PPMT($AH$66/12,(AB326-60),($F$1-5)*12,$AH$65),0))</f>
        <v>0</v>
      </c>
      <c r="AE326" s="497">
        <f>IF(('Comparison Calculator'!$E$11-AC326)&gt;=0,$C$1*$AH$66/12,IFERROR(-IPMT($AH$66/12,(AB326-60),($F$1-5)*12,$AH$65,0),0))</f>
        <v>0</v>
      </c>
      <c r="AF326" s="497">
        <f t="shared" ref="AF326:AF364" si="145">AD326+AE326</f>
        <v>0</v>
      </c>
      <c r="AG326" s="497">
        <f t="shared" si="132"/>
        <v>1800000</v>
      </c>
      <c r="AH326" s="493"/>
      <c r="AI326" s="493"/>
      <c r="AK326" s="492">
        <v>322</v>
      </c>
      <c r="AL326" s="492">
        <v>27</v>
      </c>
      <c r="AM326" s="497">
        <f>IF(('Comparison Calculator'!$E$11-AL326)&gt;=0,0,IFERROR(-PPMT($AQ$66/12,(AK326-60),($F$1-5)*12,$AQ$65),0))</f>
        <v>0</v>
      </c>
      <c r="AN326" s="497">
        <f>IF(('Comparison Calculator'!$E$11-AL326)&gt;=0,$C$1*$AQ$66/12,IFERROR(-IPMT($AQ$66/12,(AK326-60),($F$1-5)*12,$AQ$65,0),0))</f>
        <v>0</v>
      </c>
      <c r="AO326" s="497">
        <f t="shared" ref="AO326:AO363" si="146">AM326+AN326</f>
        <v>0</v>
      </c>
      <c r="AP326" s="497">
        <f t="shared" si="133"/>
        <v>1800000</v>
      </c>
      <c r="AQ326" s="493"/>
      <c r="AR326" s="493"/>
      <c r="AT326" s="492">
        <v>322</v>
      </c>
      <c r="AU326" s="492">
        <v>27</v>
      </c>
      <c r="AV326" s="497">
        <f>IF(('Comparison Calculator'!$E$11-AU326)&gt;=0,0,IFERROR(-PPMT($AZ$66/12,(AT326-60),($F$1-5)*12,$AZ$65),0))</f>
        <v>0</v>
      </c>
      <c r="AW326" s="497">
        <f>IF(('Comparison Calculator'!$E$11-AU326)&gt;=0,$C$1*$AZ$66/12,IFERROR(-IPMT($AZ$66/12,(AT326-60),($F$1-5)*12,$AZ$65,0),0))</f>
        <v>0</v>
      </c>
      <c r="AX326" s="497">
        <f t="shared" ref="AX326:AX363" si="147">AV326+AW326</f>
        <v>0</v>
      </c>
      <c r="AY326" s="497">
        <f t="shared" si="134"/>
        <v>1800000</v>
      </c>
      <c r="AZ326" s="493"/>
      <c r="BA326" s="493"/>
      <c r="BC326" s="492">
        <v>322</v>
      </c>
      <c r="BD326" s="492">
        <v>27</v>
      </c>
      <c r="BE326" s="497">
        <f>IF(('Comparison Calculator'!$E$11-BD326)&gt;=0,0,IFERROR(-PPMT($BI$66/12,(BC326-60),($F$1-5)*12,$BI$65),0))</f>
        <v>0</v>
      </c>
      <c r="BF326" s="497">
        <f>IF(('Comparison Calculator'!$E$11-BD326)&gt;=0,$C$1*$BI$66/12,IFERROR(-IPMT($BI$66/12,(BC326-60),($F$1-5)*12,$BI$65,0),0))</f>
        <v>0</v>
      </c>
      <c r="BG326" s="497">
        <f t="shared" ref="BG326:BG363" si="148">BE326+BF326</f>
        <v>0</v>
      </c>
      <c r="BH326" s="497">
        <f t="shared" si="135"/>
        <v>1800000</v>
      </c>
      <c r="BI326" s="493"/>
      <c r="BJ326" s="493"/>
      <c r="BK326" s="492">
        <v>322</v>
      </c>
      <c r="BL326" s="492">
        <v>27</v>
      </c>
      <c r="BM326" s="497">
        <f>IF(('Comparison Calculator'!$E$11-BL326)&gt;=0,0,IFERROR(-PPMT($BQ$66/12,(BK326-60),($F$1-5)*12,$BQ$65),0))</f>
        <v>0</v>
      </c>
      <c r="BN326" s="497">
        <f>IF(('Comparison Calculator'!$E$11-BL326)&gt;=0,$C$1*$BQ$66/12,IFERROR(-IPMT($BQ$66/12,(BK326-60),($F$1-5)*12,$BQ$65,0),0))</f>
        <v>0</v>
      </c>
      <c r="BO326" s="497">
        <f t="shared" ref="BO326:BO363" si="149">BM326+BN326</f>
        <v>0</v>
      </c>
      <c r="BP326" s="497">
        <f t="shared" si="136"/>
        <v>1800000</v>
      </c>
      <c r="BQ326" s="493"/>
      <c r="BR326" s="493"/>
      <c r="BT326" s="492">
        <v>322</v>
      </c>
      <c r="BU326" s="492">
        <v>27</v>
      </c>
      <c r="BV326" s="497">
        <f>IF(('Comparison Calculator'!$E$11-BU326)&gt;=0,0,IFERROR(-PPMT($BZ$66/12,(BT326-60),($F$1-5)*12,$BZ$65),0))</f>
        <v>0</v>
      </c>
      <c r="BW326" s="497">
        <f>IF(('Comparison Calculator'!$E$11-BU326)&gt;=0,$C$1*$BZ$66/12,IFERROR(-IPMT($BZ$66/12,(BT326-60),($F$1-5)*12,$BZ$65,0),0))</f>
        <v>0</v>
      </c>
      <c r="BX326" s="497">
        <f t="shared" ref="BX326:BX363" si="150">BV326+BW326</f>
        <v>0</v>
      </c>
      <c r="BY326" s="497">
        <f t="shared" si="137"/>
        <v>1800000</v>
      </c>
      <c r="BZ326" s="493"/>
      <c r="CA326" s="493"/>
      <c r="CC326" s="492">
        <v>322</v>
      </c>
      <c r="CD326" s="492">
        <v>27</v>
      </c>
      <c r="CE326" s="497">
        <f>IF(('Comparison Calculator'!$E$11-CD326)&gt;=0,0,IFERROR(-PPMT($CI$66/12,(CC326-60),($F$1-5)*12,$CI$65),0))</f>
        <v>0</v>
      </c>
      <c r="CF326" s="497">
        <f>IF(('Comparison Calculator'!$E$11-CD326)&gt;=0,$C$1*$CI$66/12,IFERROR(-IPMT($CI$66/12,(CC326-60),($F$1-5)*12,$CI$65,0),0))</f>
        <v>0</v>
      </c>
      <c r="CG326" s="497">
        <f t="shared" ref="CG326:CG363" si="151">CE326+CF326</f>
        <v>0</v>
      </c>
      <c r="CH326" s="497">
        <f t="shared" si="138"/>
        <v>1800000</v>
      </c>
      <c r="CI326" s="493"/>
      <c r="CJ326" s="493"/>
      <c r="CL326" s="492">
        <v>322</v>
      </c>
      <c r="CM326" s="492">
        <v>27</v>
      </c>
      <c r="CN326" s="497">
        <f>IF(('Comparison Calculator'!$E$11-CM326)&gt;=0,0,IFERROR(-PPMT($CR$66/12,(CL326-60),($F$1-5)*12,$CR$65),0))</f>
        <v>0</v>
      </c>
      <c r="CO326" s="497">
        <f>IF(('Comparison Calculator'!$E$11-CM326)&gt;=0,$C$1*$CI$66/12,IFERROR(-IPMT($CI$66/12,(CL326-60),($F$1-5)*12,$CI$65,0),0))</f>
        <v>0</v>
      </c>
      <c r="CP326" s="497">
        <f t="shared" ref="CP326:CP363" si="152">CN326+CO326</f>
        <v>0</v>
      </c>
      <c r="CQ326" s="497">
        <f t="shared" si="139"/>
        <v>1800000</v>
      </c>
      <c r="CR326" s="493"/>
      <c r="CS326" s="493"/>
      <c r="CU326" s="492">
        <v>322</v>
      </c>
      <c r="CV326" s="492">
        <v>27</v>
      </c>
      <c r="CW326" s="497">
        <f>IF(('Comparison Calculator'!$E$11-CV326)&gt;=0,0,IFERROR(-PPMT($DA$66/12,(CU326-60),($F$1-5)*12,$DA$65),0))</f>
        <v>0</v>
      </c>
      <c r="CX326" s="497">
        <f>IF(('Comparison Calculator'!$E$11-CV326)&gt;=0,$C$1*$DA$66/12,IFERROR(-IPMT($DA$66/12,(CU326-60),($F$1-5)*12,$DA$65,0),0))</f>
        <v>0</v>
      </c>
      <c r="CY326" s="497">
        <f t="shared" ref="CY326:CY362" si="153">CW326+CX326</f>
        <v>0</v>
      </c>
      <c r="CZ326" s="497">
        <f t="shared" si="140"/>
        <v>1800000</v>
      </c>
      <c r="DA326" s="493"/>
      <c r="DB326" s="493"/>
      <c r="DD326" s="492">
        <v>322</v>
      </c>
      <c r="DE326" s="492">
        <v>27</v>
      </c>
      <c r="DF326" s="497">
        <f>IF(('Comparison Calculator'!$E$11-DE326)&gt;=0,0,IFERROR(-PPMT($DJ$66/12,(DD326-60),($F$1-5)*12,$DJ$65),0))</f>
        <v>0</v>
      </c>
      <c r="DG326" s="497">
        <f>IF(('Comparison Calculator'!$E$11-DE326)&gt;=0,$C$1*$DJ$66/12,IFERROR(-IPMT($DJ$66/12,(DD326-60),($F$1-5)*12,$DJ$65,0),0))</f>
        <v>0</v>
      </c>
      <c r="DH326" s="497">
        <f t="shared" ref="DH326:DH362" si="154">DF326+DG326</f>
        <v>0</v>
      </c>
      <c r="DI326" s="497">
        <f t="shared" si="141"/>
        <v>1800000</v>
      </c>
      <c r="DJ326" s="493"/>
      <c r="DK326" s="493"/>
    </row>
    <row r="327" spans="1:115">
      <c r="A327" s="492">
        <v>323</v>
      </c>
      <c r="B327" s="492">
        <v>27</v>
      </c>
      <c r="C327" s="497">
        <f>IF(('Comparison Calculator'!$E$11-B327)&gt;=0,0,IFERROR(-PPMT($G$66/12,(A327-60),($F$1-5)*12,$G$65),0))</f>
        <v>0</v>
      </c>
      <c r="D327" s="497">
        <f>IF(('Comparison Calculator'!$E$11-B327)&gt;=0,$C$1*$G$66/12,IFERROR(-IPMT($G$66/12,(A327-60),($F$1-5)*12,$G$65,0),0))</f>
        <v>0</v>
      </c>
      <c r="E327" s="497">
        <f t="shared" si="142"/>
        <v>0</v>
      </c>
      <c r="F327" s="497">
        <f t="shared" ref="F327:F364" si="155">F326-C327</f>
        <v>1800000</v>
      </c>
      <c r="G327" s="493"/>
      <c r="H327" s="493"/>
      <c r="I327" s="489"/>
      <c r="J327" s="492">
        <v>323</v>
      </c>
      <c r="K327" s="492">
        <v>27</v>
      </c>
      <c r="L327" s="497">
        <f>IF(('Comparison Calculator'!$E$11-K327)&gt;=0,0,IFERROR(-PPMT($P$66/12,(J327-60),($F$1-5)*12,$P$65),0))</f>
        <v>0</v>
      </c>
      <c r="M327" s="497">
        <f>IF(('Comparison Calculator'!$E$11-K327)&gt;=0,$C$1*$P$66/12,IFERROR(-IPMT($P$66/12,(J327-60),($F$1-5)*12,$P$65,0),0))</f>
        <v>0</v>
      </c>
      <c r="N327" s="497">
        <f t="shared" si="143"/>
        <v>0</v>
      </c>
      <c r="O327" s="497">
        <f t="shared" si="130"/>
        <v>1800000</v>
      </c>
      <c r="P327" s="493"/>
      <c r="Q327" s="493"/>
      <c r="S327" s="492">
        <v>323</v>
      </c>
      <c r="T327" s="492">
        <v>27</v>
      </c>
      <c r="U327" s="497">
        <f>IF(('Comparison Calculator'!$E$11-T327)&gt;=0,0,IFERROR(-PPMT($Y$66/12,(S327-60),($F$1-5)*12,$Y$65),0))</f>
        <v>0</v>
      </c>
      <c r="V327" s="497">
        <f>IF(('Comparison Calculator'!$E$11-T327)&gt;=0,$C$1*$Y$66/12,IFERROR(-IPMT($Y$66/12,(S327-60),($F$1-5)*12,$Y$65,0),0))</f>
        <v>0</v>
      </c>
      <c r="W327" s="497">
        <f t="shared" si="144"/>
        <v>0</v>
      </c>
      <c r="X327" s="497">
        <f t="shared" si="131"/>
        <v>1800000</v>
      </c>
      <c r="Y327" s="493"/>
      <c r="Z327" s="493"/>
      <c r="AB327" s="492">
        <v>323</v>
      </c>
      <c r="AC327" s="492">
        <v>27</v>
      </c>
      <c r="AD327" s="497">
        <f>IF(('Comparison Calculator'!$E$11-AC327)&gt;=0,0,IFERROR(-PPMT($AH$66/12,(AB327-60),($F$1-5)*12,$AH$65),0))</f>
        <v>0</v>
      </c>
      <c r="AE327" s="497">
        <f>IF(('Comparison Calculator'!$E$11-AC327)&gt;=0,$C$1*$AH$66/12,IFERROR(-IPMT($AH$66/12,(AB327-60),($F$1-5)*12,$AH$65,0),0))</f>
        <v>0</v>
      </c>
      <c r="AF327" s="497">
        <f t="shared" si="145"/>
        <v>0</v>
      </c>
      <c r="AG327" s="497">
        <f t="shared" si="132"/>
        <v>1800000</v>
      </c>
      <c r="AH327" s="493"/>
      <c r="AI327" s="493"/>
      <c r="AK327" s="492">
        <v>323</v>
      </c>
      <c r="AL327" s="492">
        <v>27</v>
      </c>
      <c r="AM327" s="497">
        <f>IF(('Comparison Calculator'!$E$11-AL327)&gt;=0,0,IFERROR(-PPMT($AQ$66/12,(AK327-60),($F$1-5)*12,$AQ$65),0))</f>
        <v>0</v>
      </c>
      <c r="AN327" s="497">
        <f>IF(('Comparison Calculator'!$E$11-AL327)&gt;=0,$C$1*$AQ$66/12,IFERROR(-IPMT($AQ$66/12,(AK327-60),($F$1-5)*12,$AQ$65,0),0))</f>
        <v>0</v>
      </c>
      <c r="AO327" s="497">
        <f t="shared" si="146"/>
        <v>0</v>
      </c>
      <c r="AP327" s="497">
        <f t="shared" si="133"/>
        <v>1800000</v>
      </c>
      <c r="AQ327" s="493"/>
      <c r="AR327" s="493"/>
      <c r="AT327" s="492">
        <v>323</v>
      </c>
      <c r="AU327" s="492">
        <v>27</v>
      </c>
      <c r="AV327" s="497">
        <f>IF(('Comparison Calculator'!$E$11-AU327)&gt;=0,0,IFERROR(-PPMT($AZ$66/12,(AT327-60),($F$1-5)*12,$AZ$65),0))</f>
        <v>0</v>
      </c>
      <c r="AW327" s="497">
        <f>IF(('Comparison Calculator'!$E$11-AU327)&gt;=0,$C$1*$AZ$66/12,IFERROR(-IPMT($AZ$66/12,(AT327-60),($F$1-5)*12,$AZ$65,0),0))</f>
        <v>0</v>
      </c>
      <c r="AX327" s="497">
        <f t="shared" si="147"/>
        <v>0</v>
      </c>
      <c r="AY327" s="497">
        <f t="shared" si="134"/>
        <v>1800000</v>
      </c>
      <c r="AZ327" s="493"/>
      <c r="BA327" s="493"/>
      <c r="BC327" s="492">
        <v>323</v>
      </c>
      <c r="BD327" s="492">
        <v>27</v>
      </c>
      <c r="BE327" s="497">
        <f>IF(('Comparison Calculator'!$E$11-BD327)&gt;=0,0,IFERROR(-PPMT($BI$66/12,(BC327-60),($F$1-5)*12,$BI$65),0))</f>
        <v>0</v>
      </c>
      <c r="BF327" s="497">
        <f>IF(('Comparison Calculator'!$E$11-BD327)&gt;=0,$C$1*$BI$66/12,IFERROR(-IPMT($BI$66/12,(BC327-60),($F$1-5)*12,$BI$65,0),0))</f>
        <v>0</v>
      </c>
      <c r="BG327" s="497">
        <f t="shared" si="148"/>
        <v>0</v>
      </c>
      <c r="BH327" s="497">
        <f t="shared" si="135"/>
        <v>1800000</v>
      </c>
      <c r="BI327" s="493"/>
      <c r="BJ327" s="493"/>
      <c r="BK327" s="492">
        <v>323</v>
      </c>
      <c r="BL327" s="492">
        <v>27</v>
      </c>
      <c r="BM327" s="497">
        <f>IF(('Comparison Calculator'!$E$11-BL327)&gt;=0,0,IFERROR(-PPMT($BQ$66/12,(BK327-60),($F$1-5)*12,$BQ$65),0))</f>
        <v>0</v>
      </c>
      <c r="BN327" s="497">
        <f>IF(('Comparison Calculator'!$E$11-BL327)&gt;=0,$C$1*$BQ$66/12,IFERROR(-IPMT($BQ$66/12,(BK327-60),($F$1-5)*12,$BQ$65,0),0))</f>
        <v>0</v>
      </c>
      <c r="BO327" s="497">
        <f t="shared" si="149"/>
        <v>0</v>
      </c>
      <c r="BP327" s="497">
        <f t="shared" si="136"/>
        <v>1800000</v>
      </c>
      <c r="BQ327" s="493"/>
      <c r="BR327" s="493"/>
      <c r="BT327" s="492">
        <v>323</v>
      </c>
      <c r="BU327" s="492">
        <v>27</v>
      </c>
      <c r="BV327" s="497">
        <f>IF(('Comparison Calculator'!$E$11-BU327)&gt;=0,0,IFERROR(-PPMT($BZ$66/12,(BT327-60),($F$1-5)*12,$BZ$65),0))</f>
        <v>0</v>
      </c>
      <c r="BW327" s="497">
        <f>IF(('Comparison Calculator'!$E$11-BU327)&gt;=0,$C$1*$BZ$66/12,IFERROR(-IPMT($BZ$66/12,(BT327-60),($F$1-5)*12,$BZ$65,0),0))</f>
        <v>0</v>
      </c>
      <c r="BX327" s="497">
        <f t="shared" si="150"/>
        <v>0</v>
      </c>
      <c r="BY327" s="497">
        <f t="shared" si="137"/>
        <v>1800000</v>
      </c>
      <c r="BZ327" s="493"/>
      <c r="CA327" s="493"/>
      <c r="CC327" s="492">
        <v>323</v>
      </c>
      <c r="CD327" s="492">
        <v>27</v>
      </c>
      <c r="CE327" s="497">
        <f>IF(('Comparison Calculator'!$E$11-CD327)&gt;=0,0,IFERROR(-PPMT($CI$66/12,(CC327-60),($F$1-5)*12,$CI$65),0))</f>
        <v>0</v>
      </c>
      <c r="CF327" s="497">
        <f>IF(('Comparison Calculator'!$E$11-CD327)&gt;=0,$C$1*$CI$66/12,IFERROR(-IPMT($CI$66/12,(CC327-60),($F$1-5)*12,$CI$65,0),0))</f>
        <v>0</v>
      </c>
      <c r="CG327" s="497">
        <f t="shared" si="151"/>
        <v>0</v>
      </c>
      <c r="CH327" s="497">
        <f t="shared" si="138"/>
        <v>1800000</v>
      </c>
      <c r="CI327" s="493"/>
      <c r="CJ327" s="493"/>
      <c r="CL327" s="492">
        <v>323</v>
      </c>
      <c r="CM327" s="492">
        <v>27</v>
      </c>
      <c r="CN327" s="497">
        <f>IF(('Comparison Calculator'!$E$11-CM327)&gt;=0,0,IFERROR(-PPMT($CR$66/12,(CL327-60),($F$1-5)*12,$CR$65),0))</f>
        <v>0</v>
      </c>
      <c r="CO327" s="497">
        <f>IF(('Comparison Calculator'!$E$11-CM327)&gt;=0,$C$1*$CI$66/12,IFERROR(-IPMT($CI$66/12,(CL327-60),($F$1-5)*12,$CI$65,0),0))</f>
        <v>0</v>
      </c>
      <c r="CP327" s="497">
        <f t="shared" si="152"/>
        <v>0</v>
      </c>
      <c r="CQ327" s="497">
        <f t="shared" si="139"/>
        <v>1800000</v>
      </c>
      <c r="CR327" s="493"/>
      <c r="CS327" s="493"/>
      <c r="CU327" s="492">
        <v>323</v>
      </c>
      <c r="CV327" s="492">
        <v>27</v>
      </c>
      <c r="CW327" s="497">
        <f>IF(('Comparison Calculator'!$E$11-CV327)&gt;=0,0,IFERROR(-PPMT($DA$66/12,(CU327-60),($F$1-5)*12,$DA$65),0))</f>
        <v>0</v>
      </c>
      <c r="CX327" s="497">
        <f>IF(('Comparison Calculator'!$E$11-CV327)&gt;=0,$C$1*$DA$66/12,IFERROR(-IPMT($DA$66/12,(CU327-60),($F$1-5)*12,$DA$65,0),0))</f>
        <v>0</v>
      </c>
      <c r="CY327" s="497">
        <f t="shared" si="153"/>
        <v>0</v>
      </c>
      <c r="CZ327" s="497">
        <f t="shared" si="140"/>
        <v>1800000</v>
      </c>
      <c r="DA327" s="493"/>
      <c r="DB327" s="493"/>
      <c r="DD327" s="492">
        <v>323</v>
      </c>
      <c r="DE327" s="492">
        <v>27</v>
      </c>
      <c r="DF327" s="497">
        <f>IF(('Comparison Calculator'!$E$11-DE327)&gt;=0,0,IFERROR(-PPMT($DJ$66/12,(DD327-60),($F$1-5)*12,$DJ$65),0))</f>
        <v>0</v>
      </c>
      <c r="DG327" s="497">
        <f>IF(('Comparison Calculator'!$E$11-DE327)&gt;=0,$C$1*$DJ$66/12,IFERROR(-IPMT($DJ$66/12,(DD327-60),($F$1-5)*12,$DJ$65,0),0))</f>
        <v>0</v>
      </c>
      <c r="DH327" s="497">
        <f t="shared" si="154"/>
        <v>0</v>
      </c>
      <c r="DI327" s="497">
        <f t="shared" si="141"/>
        <v>1800000</v>
      </c>
      <c r="DJ327" s="493"/>
      <c r="DK327" s="493"/>
    </row>
    <row r="328" spans="1:115">
      <c r="A328" s="492">
        <v>324</v>
      </c>
      <c r="B328" s="492">
        <v>27</v>
      </c>
      <c r="C328" s="497">
        <f>IF(('Comparison Calculator'!$E$11-B328)&gt;=0,0,IFERROR(-PPMT($G$66/12,(A328-60),($F$1-5)*12,$G$65),0))</f>
        <v>0</v>
      </c>
      <c r="D328" s="497">
        <f>IF(('Comparison Calculator'!$E$11-B328)&gt;=0,$C$1*$G$66/12,IFERROR(-IPMT($G$66/12,(A328-60),($F$1-5)*12,$G$65,0),0))</f>
        <v>0</v>
      </c>
      <c r="E328" s="497">
        <f t="shared" si="142"/>
        <v>0</v>
      </c>
      <c r="F328" s="497">
        <f t="shared" si="155"/>
        <v>1800000</v>
      </c>
      <c r="G328" s="493"/>
      <c r="H328" s="493"/>
      <c r="I328" s="489"/>
      <c r="J328" s="492">
        <v>324</v>
      </c>
      <c r="K328" s="492">
        <v>27</v>
      </c>
      <c r="L328" s="497">
        <f>IF(('Comparison Calculator'!$E$11-K328)&gt;=0,0,IFERROR(-PPMT($P$66/12,(J328-60),($F$1-5)*12,$P$65),0))</f>
        <v>0</v>
      </c>
      <c r="M328" s="497">
        <f>IF(('Comparison Calculator'!$E$11-K328)&gt;=0,$C$1*$P$66/12,IFERROR(-IPMT($P$66/12,(J328-60),($F$1-5)*12,$P$65,0),0))</f>
        <v>0</v>
      </c>
      <c r="N328" s="497">
        <f t="shared" si="143"/>
        <v>0</v>
      </c>
      <c r="O328" s="497">
        <f t="shared" si="130"/>
        <v>1800000</v>
      </c>
      <c r="P328" s="493"/>
      <c r="Q328" s="493"/>
      <c r="S328" s="492">
        <v>324</v>
      </c>
      <c r="T328" s="492">
        <v>27</v>
      </c>
      <c r="U328" s="497">
        <f>IF(('Comparison Calculator'!$E$11-T328)&gt;=0,0,IFERROR(-PPMT($Y$66/12,(S328-60),($F$1-5)*12,$Y$65),0))</f>
        <v>0</v>
      </c>
      <c r="V328" s="497">
        <f>IF(('Comparison Calculator'!$E$11-T328)&gt;=0,$C$1*$Y$66/12,IFERROR(-IPMT($Y$66/12,(S328-60),($F$1-5)*12,$Y$65,0),0))</f>
        <v>0</v>
      </c>
      <c r="W328" s="497">
        <f t="shared" si="144"/>
        <v>0</v>
      </c>
      <c r="X328" s="497">
        <f t="shared" si="131"/>
        <v>1800000</v>
      </c>
      <c r="Y328" s="493"/>
      <c r="Z328" s="493"/>
      <c r="AB328" s="492">
        <v>324</v>
      </c>
      <c r="AC328" s="492">
        <v>27</v>
      </c>
      <c r="AD328" s="497">
        <f>IF(('Comparison Calculator'!$E$11-AC328)&gt;=0,0,IFERROR(-PPMT($AH$66/12,(AB328-60),($F$1-5)*12,$AH$65),0))</f>
        <v>0</v>
      </c>
      <c r="AE328" s="497">
        <f>IF(('Comparison Calculator'!$E$11-AC328)&gt;=0,$C$1*$AH$66/12,IFERROR(-IPMT($AH$66/12,(AB328-60),($F$1-5)*12,$AH$65,0),0))</f>
        <v>0</v>
      </c>
      <c r="AF328" s="497">
        <f t="shared" si="145"/>
        <v>0</v>
      </c>
      <c r="AG328" s="497">
        <f t="shared" si="132"/>
        <v>1800000</v>
      </c>
      <c r="AH328" s="493"/>
      <c r="AI328" s="493"/>
      <c r="AK328" s="492">
        <v>324</v>
      </c>
      <c r="AL328" s="492">
        <v>27</v>
      </c>
      <c r="AM328" s="497">
        <f>IF(('Comparison Calculator'!$E$11-AL328)&gt;=0,0,IFERROR(-PPMT($AQ$66/12,(AK328-60),($F$1-5)*12,$AQ$65),0))</f>
        <v>0</v>
      </c>
      <c r="AN328" s="497">
        <f>IF(('Comparison Calculator'!$E$11-AL328)&gt;=0,$C$1*$AQ$66/12,IFERROR(-IPMT($AQ$66/12,(AK328-60),($F$1-5)*12,$AQ$65,0),0))</f>
        <v>0</v>
      </c>
      <c r="AO328" s="497">
        <f t="shared" si="146"/>
        <v>0</v>
      </c>
      <c r="AP328" s="497">
        <f t="shared" si="133"/>
        <v>1800000</v>
      </c>
      <c r="AQ328" s="493"/>
      <c r="AR328" s="493"/>
      <c r="AT328" s="492">
        <v>324</v>
      </c>
      <c r="AU328" s="492">
        <v>27</v>
      </c>
      <c r="AV328" s="497">
        <f>IF(('Comparison Calculator'!$E$11-AU328)&gt;=0,0,IFERROR(-PPMT($AZ$66/12,(AT328-60),($F$1-5)*12,$AZ$65),0))</f>
        <v>0</v>
      </c>
      <c r="AW328" s="497">
        <f>IF(('Comparison Calculator'!$E$11-AU328)&gt;=0,$C$1*$AZ$66/12,IFERROR(-IPMT($AZ$66/12,(AT328-60),($F$1-5)*12,$AZ$65,0),0))</f>
        <v>0</v>
      </c>
      <c r="AX328" s="497">
        <f t="shared" si="147"/>
        <v>0</v>
      </c>
      <c r="AY328" s="497">
        <f t="shared" si="134"/>
        <v>1800000</v>
      </c>
      <c r="AZ328" s="493"/>
      <c r="BA328" s="493"/>
      <c r="BC328" s="492">
        <v>324</v>
      </c>
      <c r="BD328" s="492">
        <v>27</v>
      </c>
      <c r="BE328" s="497">
        <f>IF(('Comparison Calculator'!$E$11-BD328)&gt;=0,0,IFERROR(-PPMT($BI$66/12,(BC328-60),($F$1-5)*12,$BI$65),0))</f>
        <v>0</v>
      </c>
      <c r="BF328" s="497">
        <f>IF(('Comparison Calculator'!$E$11-BD328)&gt;=0,$C$1*$BI$66/12,IFERROR(-IPMT($BI$66/12,(BC328-60),($F$1-5)*12,$BI$65,0),0))</f>
        <v>0</v>
      </c>
      <c r="BG328" s="497">
        <f t="shared" si="148"/>
        <v>0</v>
      </c>
      <c r="BH328" s="497">
        <f t="shared" si="135"/>
        <v>1800000</v>
      </c>
      <c r="BI328" s="493"/>
      <c r="BJ328" s="493"/>
      <c r="BK328" s="492">
        <v>324</v>
      </c>
      <c r="BL328" s="492">
        <v>27</v>
      </c>
      <c r="BM328" s="497">
        <f>IF(('Comparison Calculator'!$E$11-BL328)&gt;=0,0,IFERROR(-PPMT($BQ$66/12,(BK328-60),($F$1-5)*12,$BQ$65),0))</f>
        <v>0</v>
      </c>
      <c r="BN328" s="497">
        <f>IF(('Comparison Calculator'!$E$11-BL328)&gt;=0,$C$1*$BQ$66/12,IFERROR(-IPMT($BQ$66/12,(BK328-60),($F$1-5)*12,$BQ$65,0),0))</f>
        <v>0</v>
      </c>
      <c r="BO328" s="497">
        <f t="shared" si="149"/>
        <v>0</v>
      </c>
      <c r="BP328" s="497">
        <f t="shared" si="136"/>
        <v>1800000</v>
      </c>
      <c r="BQ328" s="493"/>
      <c r="BR328" s="493"/>
      <c r="BT328" s="492">
        <v>324</v>
      </c>
      <c r="BU328" s="492">
        <v>27</v>
      </c>
      <c r="BV328" s="497">
        <f>IF(('Comparison Calculator'!$E$11-BU328)&gt;=0,0,IFERROR(-PPMT($BZ$66/12,(BT328-60),($F$1-5)*12,$BZ$65),0))</f>
        <v>0</v>
      </c>
      <c r="BW328" s="497">
        <f>IF(('Comparison Calculator'!$E$11-BU328)&gt;=0,$C$1*$BZ$66/12,IFERROR(-IPMT($BZ$66/12,(BT328-60),($F$1-5)*12,$BZ$65,0),0))</f>
        <v>0</v>
      </c>
      <c r="BX328" s="497">
        <f t="shared" si="150"/>
        <v>0</v>
      </c>
      <c r="BY328" s="497">
        <f t="shared" si="137"/>
        <v>1800000</v>
      </c>
      <c r="BZ328" s="493"/>
      <c r="CA328" s="493"/>
      <c r="CC328" s="492">
        <v>324</v>
      </c>
      <c r="CD328" s="492">
        <v>27</v>
      </c>
      <c r="CE328" s="497">
        <f>IF(('Comparison Calculator'!$E$11-CD328)&gt;=0,0,IFERROR(-PPMT($CI$66/12,(CC328-60),($F$1-5)*12,$CI$65),0))</f>
        <v>0</v>
      </c>
      <c r="CF328" s="497">
        <f>IF(('Comparison Calculator'!$E$11-CD328)&gt;=0,$C$1*$CI$66/12,IFERROR(-IPMT($CI$66/12,(CC328-60),($F$1-5)*12,$CI$65,0),0))</f>
        <v>0</v>
      </c>
      <c r="CG328" s="497">
        <f t="shared" si="151"/>
        <v>0</v>
      </c>
      <c r="CH328" s="497">
        <f t="shared" si="138"/>
        <v>1800000</v>
      </c>
      <c r="CI328" s="493"/>
      <c r="CJ328" s="493"/>
      <c r="CL328" s="492">
        <v>324</v>
      </c>
      <c r="CM328" s="492">
        <v>27</v>
      </c>
      <c r="CN328" s="497">
        <f>IF(('Comparison Calculator'!$E$11-CM328)&gt;=0,0,IFERROR(-PPMT($CR$66/12,(CL328-60),($F$1-5)*12,$CR$65),0))</f>
        <v>0</v>
      </c>
      <c r="CO328" s="497">
        <f>IF(('Comparison Calculator'!$E$11-CM328)&gt;=0,$C$1*$CI$66/12,IFERROR(-IPMT($CI$66/12,(CL328-60),($F$1-5)*12,$CI$65,0),0))</f>
        <v>0</v>
      </c>
      <c r="CP328" s="497">
        <f t="shared" si="152"/>
        <v>0</v>
      </c>
      <c r="CQ328" s="497">
        <f t="shared" si="139"/>
        <v>1800000</v>
      </c>
      <c r="CR328" s="493"/>
      <c r="CS328" s="493"/>
      <c r="CU328" s="492">
        <v>324</v>
      </c>
      <c r="CV328" s="492">
        <v>27</v>
      </c>
      <c r="CW328" s="497">
        <f>IF(('Comparison Calculator'!$E$11-CV328)&gt;=0,0,IFERROR(-PPMT($DA$66/12,(CU328-60),($F$1-5)*12,$DA$65),0))</f>
        <v>0</v>
      </c>
      <c r="CX328" s="497">
        <f>IF(('Comparison Calculator'!$E$11-CV328)&gt;=0,$C$1*$DA$66/12,IFERROR(-IPMT($DA$66/12,(CU328-60),($F$1-5)*12,$DA$65,0),0))</f>
        <v>0</v>
      </c>
      <c r="CY328" s="497">
        <f t="shared" si="153"/>
        <v>0</v>
      </c>
      <c r="CZ328" s="497">
        <f t="shared" si="140"/>
        <v>1800000</v>
      </c>
      <c r="DA328" s="493"/>
      <c r="DB328" s="493"/>
      <c r="DD328" s="492">
        <v>324</v>
      </c>
      <c r="DE328" s="492">
        <v>27</v>
      </c>
      <c r="DF328" s="497">
        <f>IF(('Comparison Calculator'!$E$11-DE328)&gt;=0,0,IFERROR(-PPMT($DJ$66/12,(DD328-60),($F$1-5)*12,$DJ$65),0))</f>
        <v>0</v>
      </c>
      <c r="DG328" s="497">
        <f>IF(('Comparison Calculator'!$E$11-DE328)&gt;=0,$C$1*$DJ$66/12,IFERROR(-IPMT($DJ$66/12,(DD328-60),($F$1-5)*12,$DJ$65,0),0))</f>
        <v>0</v>
      </c>
      <c r="DH328" s="497">
        <f t="shared" si="154"/>
        <v>0</v>
      </c>
      <c r="DI328" s="497">
        <f t="shared" si="141"/>
        <v>1800000</v>
      </c>
      <c r="DJ328" s="493"/>
      <c r="DK328" s="493"/>
    </row>
    <row r="329" spans="1:115">
      <c r="A329" s="492">
        <v>325</v>
      </c>
      <c r="B329" s="492">
        <v>28</v>
      </c>
      <c r="C329" s="497">
        <f>IF(('Comparison Calculator'!$E$11-B329)&gt;=0,0,IFERROR(-PPMT($G$66/12,(A329-60),($F$1-5)*12,$G$65),0))</f>
        <v>0</v>
      </c>
      <c r="D329" s="497">
        <f>IF(('Comparison Calculator'!$E$11-B329)&gt;=0,$C$1*$G$66/12,IFERROR(-IPMT($G$66/12,(A329-60),($F$1-5)*12,$G$65,0),0))</f>
        <v>0</v>
      </c>
      <c r="E329" s="497">
        <f t="shared" si="142"/>
        <v>0</v>
      </c>
      <c r="F329" s="497">
        <f t="shared" si="155"/>
        <v>1800000</v>
      </c>
      <c r="G329" s="493"/>
      <c r="H329" s="493"/>
      <c r="I329" s="489"/>
      <c r="J329" s="492">
        <v>325</v>
      </c>
      <c r="K329" s="492">
        <v>28</v>
      </c>
      <c r="L329" s="497">
        <f>IF(('Comparison Calculator'!$E$11-K329)&gt;=0,0,IFERROR(-PPMT($P$66/12,(J329-60),($F$1-5)*12,$P$65),0))</f>
        <v>0</v>
      </c>
      <c r="M329" s="497">
        <f>IF(('Comparison Calculator'!$E$11-K329)&gt;=0,$C$1*$P$66/12,IFERROR(-IPMT($P$66/12,(J329-60),($F$1-5)*12,$P$65,0),0))</f>
        <v>0</v>
      </c>
      <c r="N329" s="497">
        <f t="shared" si="143"/>
        <v>0</v>
      </c>
      <c r="O329" s="497">
        <f t="shared" si="130"/>
        <v>1800000</v>
      </c>
      <c r="P329" s="493"/>
      <c r="Q329" s="493"/>
      <c r="S329" s="492">
        <v>325</v>
      </c>
      <c r="T329" s="492">
        <v>28</v>
      </c>
      <c r="U329" s="497">
        <f>IF(('Comparison Calculator'!$E$11-T329)&gt;=0,0,IFERROR(-PPMT($Y$66/12,(S329-60),($F$1-5)*12,$Y$65),0))</f>
        <v>0</v>
      </c>
      <c r="V329" s="497">
        <f>IF(('Comparison Calculator'!$E$11-T329)&gt;=0,$C$1*$Y$66/12,IFERROR(-IPMT($Y$66/12,(S329-60),($F$1-5)*12,$Y$65,0),0))</f>
        <v>0</v>
      </c>
      <c r="W329" s="497">
        <f t="shared" si="144"/>
        <v>0</v>
      </c>
      <c r="X329" s="497">
        <f t="shared" si="131"/>
        <v>1800000</v>
      </c>
      <c r="Y329" s="493"/>
      <c r="Z329" s="493"/>
      <c r="AB329" s="492">
        <v>325</v>
      </c>
      <c r="AC329" s="492">
        <v>28</v>
      </c>
      <c r="AD329" s="497">
        <f>IF(('Comparison Calculator'!$E$11-AC329)&gt;=0,0,IFERROR(-PPMT($AH$66/12,(AB329-60),($F$1-5)*12,$AH$65),0))</f>
        <v>0</v>
      </c>
      <c r="AE329" s="497">
        <f>IF(('Comparison Calculator'!$E$11-AC329)&gt;=0,$C$1*$AH$66/12,IFERROR(-IPMT($AH$66/12,(AB329-60),($F$1-5)*12,$AH$65,0),0))</f>
        <v>0</v>
      </c>
      <c r="AF329" s="497">
        <f t="shared" si="145"/>
        <v>0</v>
      </c>
      <c r="AG329" s="497">
        <f t="shared" si="132"/>
        <v>1800000</v>
      </c>
      <c r="AH329" s="493"/>
      <c r="AI329" s="493"/>
      <c r="AK329" s="492">
        <v>325</v>
      </c>
      <c r="AL329" s="492">
        <v>28</v>
      </c>
      <c r="AM329" s="497">
        <f>IF(('Comparison Calculator'!$E$11-AL329)&gt;=0,0,IFERROR(-PPMT($AQ$66/12,(AK329-60),($F$1-5)*12,$AQ$65),0))</f>
        <v>0</v>
      </c>
      <c r="AN329" s="497">
        <f>IF(('Comparison Calculator'!$E$11-AL329)&gt;=0,$C$1*$AQ$66/12,IFERROR(-IPMT($AQ$66/12,(AK329-60),($F$1-5)*12,$AQ$65,0),0))</f>
        <v>0</v>
      </c>
      <c r="AO329" s="497">
        <f t="shared" si="146"/>
        <v>0</v>
      </c>
      <c r="AP329" s="497">
        <f t="shared" si="133"/>
        <v>1800000</v>
      </c>
      <c r="AQ329" s="493"/>
      <c r="AR329" s="493"/>
      <c r="AT329" s="492">
        <v>325</v>
      </c>
      <c r="AU329" s="492">
        <v>28</v>
      </c>
      <c r="AV329" s="497">
        <f>IF(('Comparison Calculator'!$E$11-AU329)&gt;=0,0,IFERROR(-PPMT($AZ$66/12,(AT329-60),($F$1-5)*12,$AZ$65),0))</f>
        <v>0</v>
      </c>
      <c r="AW329" s="497">
        <f>IF(('Comparison Calculator'!$E$11-AU329)&gt;=0,$C$1*$AZ$66/12,IFERROR(-IPMT($AZ$66/12,(AT329-60),($F$1-5)*12,$AZ$65,0),0))</f>
        <v>0</v>
      </c>
      <c r="AX329" s="497">
        <f t="shared" si="147"/>
        <v>0</v>
      </c>
      <c r="AY329" s="497">
        <f t="shared" si="134"/>
        <v>1800000</v>
      </c>
      <c r="AZ329" s="493"/>
      <c r="BA329" s="493"/>
      <c r="BC329" s="492">
        <v>325</v>
      </c>
      <c r="BD329" s="492">
        <v>28</v>
      </c>
      <c r="BE329" s="497">
        <f>IF(('Comparison Calculator'!$E$11-BD329)&gt;=0,0,IFERROR(-PPMT($BI$66/12,(BC329-60),($F$1-5)*12,$BI$65),0))</f>
        <v>0</v>
      </c>
      <c r="BF329" s="497">
        <f>IF(('Comparison Calculator'!$E$11-BD329)&gt;=0,$C$1*$BI$66/12,IFERROR(-IPMT($BI$66/12,(BC329-60),($F$1-5)*12,$BI$65,0),0))</f>
        <v>0</v>
      </c>
      <c r="BG329" s="497">
        <f t="shared" si="148"/>
        <v>0</v>
      </c>
      <c r="BH329" s="497">
        <f t="shared" si="135"/>
        <v>1800000</v>
      </c>
      <c r="BI329" s="493"/>
      <c r="BJ329" s="493"/>
      <c r="BK329" s="492">
        <v>325</v>
      </c>
      <c r="BL329" s="492">
        <v>28</v>
      </c>
      <c r="BM329" s="497">
        <f>IF(('Comparison Calculator'!$E$11-BL329)&gt;=0,0,IFERROR(-PPMT($BQ$66/12,(BK329-60),($F$1-5)*12,$BQ$65),0))</f>
        <v>0</v>
      </c>
      <c r="BN329" s="497">
        <f>IF(('Comparison Calculator'!$E$11-BL329)&gt;=0,$C$1*$BQ$66/12,IFERROR(-IPMT($BQ$66/12,(BK329-60),($F$1-5)*12,$BQ$65,0),0))</f>
        <v>0</v>
      </c>
      <c r="BO329" s="497">
        <f t="shared" si="149"/>
        <v>0</v>
      </c>
      <c r="BP329" s="497">
        <f t="shared" si="136"/>
        <v>1800000</v>
      </c>
      <c r="BQ329" s="493"/>
      <c r="BR329" s="493"/>
      <c r="BT329" s="492">
        <v>325</v>
      </c>
      <c r="BU329" s="492">
        <v>28</v>
      </c>
      <c r="BV329" s="497">
        <f>IF(('Comparison Calculator'!$E$11-BU329)&gt;=0,0,IFERROR(-PPMT($BZ$66/12,(BT329-60),($F$1-5)*12,$BZ$65),0))</f>
        <v>0</v>
      </c>
      <c r="BW329" s="497">
        <f>IF(('Comparison Calculator'!$E$11-BU329)&gt;=0,$C$1*$BZ$66/12,IFERROR(-IPMT($BZ$66/12,(BT329-60),($F$1-5)*12,$BZ$65,0),0))</f>
        <v>0</v>
      </c>
      <c r="BX329" s="497">
        <f t="shared" si="150"/>
        <v>0</v>
      </c>
      <c r="BY329" s="497">
        <f t="shared" si="137"/>
        <v>1800000</v>
      </c>
      <c r="BZ329" s="493"/>
      <c r="CA329" s="493"/>
      <c r="CC329" s="492">
        <v>325</v>
      </c>
      <c r="CD329" s="492">
        <v>28</v>
      </c>
      <c r="CE329" s="497">
        <f>IF(('Comparison Calculator'!$E$11-CD329)&gt;=0,0,IFERROR(-PPMT($CI$66/12,(CC329-60),($F$1-5)*12,$CI$65),0))</f>
        <v>0</v>
      </c>
      <c r="CF329" s="497">
        <f>IF(('Comparison Calculator'!$E$11-CD329)&gt;=0,$C$1*$CI$66/12,IFERROR(-IPMT($CI$66/12,(CC329-60),($F$1-5)*12,$CI$65,0),0))</f>
        <v>0</v>
      </c>
      <c r="CG329" s="497">
        <f t="shared" si="151"/>
        <v>0</v>
      </c>
      <c r="CH329" s="497">
        <f t="shared" si="138"/>
        <v>1800000</v>
      </c>
      <c r="CI329" s="493"/>
      <c r="CJ329" s="493"/>
      <c r="CL329" s="492">
        <v>325</v>
      </c>
      <c r="CM329" s="492">
        <v>28</v>
      </c>
      <c r="CN329" s="497">
        <f>IF(('Comparison Calculator'!$E$11-CM329)&gt;=0,0,IFERROR(-PPMT($CR$66/12,(CL329-60),($F$1-5)*12,$CR$65),0))</f>
        <v>0</v>
      </c>
      <c r="CO329" s="497">
        <f>IF(('Comparison Calculator'!$E$11-CM329)&gt;=0,$C$1*$CI$66/12,IFERROR(-IPMT($CI$66/12,(CL329-60),($F$1-5)*12,$CI$65,0),0))</f>
        <v>0</v>
      </c>
      <c r="CP329" s="497">
        <f t="shared" si="152"/>
        <v>0</v>
      </c>
      <c r="CQ329" s="497">
        <f t="shared" si="139"/>
        <v>1800000</v>
      </c>
      <c r="CR329" s="493"/>
      <c r="CS329" s="493"/>
      <c r="CU329" s="492">
        <v>325</v>
      </c>
      <c r="CV329" s="492">
        <v>28</v>
      </c>
      <c r="CW329" s="497">
        <f>IF(('Comparison Calculator'!$E$11-CV329)&gt;=0,0,IFERROR(-PPMT($DA$66/12,(CU329-60),($F$1-5)*12,$DA$65),0))</f>
        <v>0</v>
      </c>
      <c r="CX329" s="497">
        <f>IF(('Comparison Calculator'!$E$11-CV329)&gt;=0,$C$1*$DA$66/12,IFERROR(-IPMT($DA$66/12,(CU329-60),($F$1-5)*12,$DA$65,0),0))</f>
        <v>0</v>
      </c>
      <c r="CY329" s="497">
        <f t="shared" si="153"/>
        <v>0</v>
      </c>
      <c r="CZ329" s="497">
        <f t="shared" si="140"/>
        <v>1800000</v>
      </c>
      <c r="DA329" s="493"/>
      <c r="DB329" s="493"/>
      <c r="DD329" s="492">
        <v>325</v>
      </c>
      <c r="DE329" s="492">
        <v>28</v>
      </c>
      <c r="DF329" s="497">
        <f>IF(('Comparison Calculator'!$E$11-DE329)&gt;=0,0,IFERROR(-PPMT($DJ$66/12,(DD329-60),($F$1-5)*12,$DJ$65),0))</f>
        <v>0</v>
      </c>
      <c r="DG329" s="497">
        <f>IF(('Comparison Calculator'!$E$11-DE329)&gt;=0,$C$1*$DJ$66/12,IFERROR(-IPMT($DJ$66/12,(DD329-60),($F$1-5)*12,$DJ$65,0),0))</f>
        <v>0</v>
      </c>
      <c r="DH329" s="497">
        <f t="shared" si="154"/>
        <v>0</v>
      </c>
      <c r="DI329" s="497">
        <f t="shared" si="141"/>
        <v>1800000</v>
      </c>
      <c r="DJ329" s="493"/>
      <c r="DK329" s="493"/>
    </row>
    <row r="330" spans="1:115">
      <c r="A330" s="492">
        <v>326</v>
      </c>
      <c r="B330" s="492">
        <v>28</v>
      </c>
      <c r="C330" s="497">
        <f>IF(('Comparison Calculator'!$E$11-B330)&gt;=0,0,IFERROR(-PPMT($G$66/12,(A330-60),($F$1-5)*12,$G$65),0))</f>
        <v>0</v>
      </c>
      <c r="D330" s="497">
        <f>IF(('Comparison Calculator'!$E$11-B330)&gt;=0,$C$1*$G$66/12,IFERROR(-IPMT($G$66/12,(A330-60),($F$1-5)*12,$G$65,0),0))</f>
        <v>0</v>
      </c>
      <c r="E330" s="497">
        <f t="shared" si="142"/>
        <v>0</v>
      </c>
      <c r="F330" s="497">
        <f t="shared" si="155"/>
        <v>1800000</v>
      </c>
      <c r="G330" s="493"/>
      <c r="H330" s="493"/>
      <c r="I330" s="489"/>
      <c r="J330" s="492">
        <v>326</v>
      </c>
      <c r="K330" s="492">
        <v>28</v>
      </c>
      <c r="L330" s="497">
        <f>IF(('Comparison Calculator'!$E$11-K330)&gt;=0,0,IFERROR(-PPMT($P$66/12,(J330-60),($F$1-5)*12,$P$65),0))</f>
        <v>0</v>
      </c>
      <c r="M330" s="497">
        <f>IF(('Comparison Calculator'!$E$11-K330)&gt;=0,$C$1*$P$66/12,IFERROR(-IPMT($P$66/12,(J330-60),($F$1-5)*12,$P$65,0),0))</f>
        <v>0</v>
      </c>
      <c r="N330" s="497">
        <f t="shared" si="143"/>
        <v>0</v>
      </c>
      <c r="O330" s="497">
        <f t="shared" si="130"/>
        <v>1800000</v>
      </c>
      <c r="P330" s="493"/>
      <c r="Q330" s="493"/>
      <c r="S330" s="492">
        <v>326</v>
      </c>
      <c r="T330" s="492">
        <v>28</v>
      </c>
      <c r="U330" s="497">
        <f>IF(('Comparison Calculator'!$E$11-T330)&gt;=0,0,IFERROR(-PPMT($Y$66/12,(S330-60),($F$1-5)*12,$Y$65),0))</f>
        <v>0</v>
      </c>
      <c r="V330" s="497">
        <f>IF(('Comparison Calculator'!$E$11-T330)&gt;=0,$C$1*$Y$66/12,IFERROR(-IPMT($Y$66/12,(S330-60),($F$1-5)*12,$Y$65,0),0))</f>
        <v>0</v>
      </c>
      <c r="W330" s="497">
        <f t="shared" si="144"/>
        <v>0</v>
      </c>
      <c r="X330" s="497">
        <f t="shared" si="131"/>
        <v>1800000</v>
      </c>
      <c r="Y330" s="493"/>
      <c r="Z330" s="493"/>
      <c r="AB330" s="492">
        <v>326</v>
      </c>
      <c r="AC330" s="492">
        <v>28</v>
      </c>
      <c r="AD330" s="497">
        <f>IF(('Comparison Calculator'!$E$11-AC330)&gt;=0,0,IFERROR(-PPMT($AH$66/12,(AB330-60),($F$1-5)*12,$AH$65),0))</f>
        <v>0</v>
      </c>
      <c r="AE330" s="497">
        <f>IF(('Comparison Calculator'!$E$11-AC330)&gt;=0,$C$1*$AH$66/12,IFERROR(-IPMT($AH$66/12,(AB330-60),($F$1-5)*12,$AH$65,0),0))</f>
        <v>0</v>
      </c>
      <c r="AF330" s="497">
        <f t="shared" si="145"/>
        <v>0</v>
      </c>
      <c r="AG330" s="497">
        <f t="shared" si="132"/>
        <v>1800000</v>
      </c>
      <c r="AH330" s="493"/>
      <c r="AI330" s="493"/>
      <c r="AK330" s="492">
        <v>326</v>
      </c>
      <c r="AL330" s="492">
        <v>28</v>
      </c>
      <c r="AM330" s="497">
        <f>IF(('Comparison Calculator'!$E$11-AL330)&gt;=0,0,IFERROR(-PPMT($AQ$66/12,(AK330-60),($F$1-5)*12,$AQ$65),0))</f>
        <v>0</v>
      </c>
      <c r="AN330" s="497">
        <f>IF(('Comparison Calculator'!$E$11-AL330)&gt;=0,$C$1*$AQ$66/12,IFERROR(-IPMT($AQ$66/12,(AK330-60),($F$1-5)*12,$AQ$65,0),0))</f>
        <v>0</v>
      </c>
      <c r="AO330" s="497">
        <f t="shared" si="146"/>
        <v>0</v>
      </c>
      <c r="AP330" s="497">
        <f t="shared" si="133"/>
        <v>1800000</v>
      </c>
      <c r="AQ330" s="493"/>
      <c r="AR330" s="493"/>
      <c r="AT330" s="492">
        <v>326</v>
      </c>
      <c r="AU330" s="492">
        <v>28</v>
      </c>
      <c r="AV330" s="497">
        <f>IF(('Comparison Calculator'!$E$11-AU330)&gt;=0,0,IFERROR(-PPMT($AZ$66/12,(AT330-60),($F$1-5)*12,$AZ$65),0))</f>
        <v>0</v>
      </c>
      <c r="AW330" s="497">
        <f>IF(('Comparison Calculator'!$E$11-AU330)&gt;=0,$C$1*$AZ$66/12,IFERROR(-IPMT($AZ$66/12,(AT330-60),($F$1-5)*12,$AZ$65,0),0))</f>
        <v>0</v>
      </c>
      <c r="AX330" s="497">
        <f t="shared" si="147"/>
        <v>0</v>
      </c>
      <c r="AY330" s="497">
        <f t="shared" si="134"/>
        <v>1800000</v>
      </c>
      <c r="AZ330" s="493"/>
      <c r="BA330" s="493"/>
      <c r="BC330" s="492">
        <v>326</v>
      </c>
      <c r="BD330" s="492">
        <v>28</v>
      </c>
      <c r="BE330" s="497">
        <f>IF(('Comparison Calculator'!$E$11-BD330)&gt;=0,0,IFERROR(-PPMT($BI$66/12,(BC330-60),($F$1-5)*12,$BI$65),0))</f>
        <v>0</v>
      </c>
      <c r="BF330" s="497">
        <f>IF(('Comparison Calculator'!$E$11-BD330)&gt;=0,$C$1*$BI$66/12,IFERROR(-IPMT($BI$66/12,(BC330-60),($F$1-5)*12,$BI$65,0),0))</f>
        <v>0</v>
      </c>
      <c r="BG330" s="497">
        <f t="shared" si="148"/>
        <v>0</v>
      </c>
      <c r="BH330" s="497">
        <f t="shared" si="135"/>
        <v>1800000</v>
      </c>
      <c r="BI330" s="493"/>
      <c r="BJ330" s="493"/>
      <c r="BK330" s="492">
        <v>326</v>
      </c>
      <c r="BL330" s="492">
        <v>28</v>
      </c>
      <c r="BM330" s="497">
        <f>IF(('Comparison Calculator'!$E$11-BL330)&gt;=0,0,IFERROR(-PPMT($BQ$66/12,(BK330-60),($F$1-5)*12,$BQ$65),0))</f>
        <v>0</v>
      </c>
      <c r="BN330" s="497">
        <f>IF(('Comparison Calculator'!$E$11-BL330)&gt;=0,$C$1*$BQ$66/12,IFERROR(-IPMT($BQ$66/12,(BK330-60),($F$1-5)*12,$BQ$65,0),0))</f>
        <v>0</v>
      </c>
      <c r="BO330" s="497">
        <f t="shared" si="149"/>
        <v>0</v>
      </c>
      <c r="BP330" s="497">
        <f t="shared" si="136"/>
        <v>1800000</v>
      </c>
      <c r="BQ330" s="493"/>
      <c r="BR330" s="493"/>
      <c r="BT330" s="492">
        <v>326</v>
      </c>
      <c r="BU330" s="492">
        <v>28</v>
      </c>
      <c r="BV330" s="497">
        <f>IF(('Comparison Calculator'!$E$11-BU330)&gt;=0,0,IFERROR(-PPMT($BZ$66/12,(BT330-60),($F$1-5)*12,$BZ$65),0))</f>
        <v>0</v>
      </c>
      <c r="BW330" s="497">
        <f>IF(('Comparison Calculator'!$E$11-BU330)&gt;=0,$C$1*$BZ$66/12,IFERROR(-IPMT($BZ$66/12,(BT330-60),($F$1-5)*12,$BZ$65,0),0))</f>
        <v>0</v>
      </c>
      <c r="BX330" s="497">
        <f t="shared" si="150"/>
        <v>0</v>
      </c>
      <c r="BY330" s="497">
        <f t="shared" si="137"/>
        <v>1800000</v>
      </c>
      <c r="BZ330" s="493"/>
      <c r="CA330" s="493"/>
      <c r="CC330" s="492">
        <v>326</v>
      </c>
      <c r="CD330" s="492">
        <v>28</v>
      </c>
      <c r="CE330" s="497">
        <f>IF(('Comparison Calculator'!$E$11-CD330)&gt;=0,0,IFERROR(-PPMT($CI$66/12,(CC330-60),($F$1-5)*12,$CI$65),0))</f>
        <v>0</v>
      </c>
      <c r="CF330" s="497">
        <f>IF(('Comparison Calculator'!$E$11-CD330)&gt;=0,$C$1*$CI$66/12,IFERROR(-IPMT($CI$66/12,(CC330-60),($F$1-5)*12,$CI$65,0),0))</f>
        <v>0</v>
      </c>
      <c r="CG330" s="497">
        <f t="shared" si="151"/>
        <v>0</v>
      </c>
      <c r="CH330" s="497">
        <f t="shared" si="138"/>
        <v>1800000</v>
      </c>
      <c r="CI330" s="493"/>
      <c r="CJ330" s="493"/>
      <c r="CL330" s="492">
        <v>326</v>
      </c>
      <c r="CM330" s="492">
        <v>28</v>
      </c>
      <c r="CN330" s="497">
        <f>IF(('Comparison Calculator'!$E$11-CM330)&gt;=0,0,IFERROR(-PPMT($CR$66/12,(CL330-60),($F$1-5)*12,$CR$65),0))</f>
        <v>0</v>
      </c>
      <c r="CO330" s="497">
        <f>IF(('Comparison Calculator'!$E$11-CM330)&gt;=0,$C$1*$CI$66/12,IFERROR(-IPMT($CI$66/12,(CL330-60),($F$1-5)*12,$CI$65,0),0))</f>
        <v>0</v>
      </c>
      <c r="CP330" s="497">
        <f t="shared" si="152"/>
        <v>0</v>
      </c>
      <c r="CQ330" s="497">
        <f t="shared" si="139"/>
        <v>1800000</v>
      </c>
      <c r="CR330" s="493"/>
      <c r="CS330" s="493"/>
      <c r="CU330" s="492">
        <v>326</v>
      </c>
      <c r="CV330" s="492">
        <v>28</v>
      </c>
      <c r="CW330" s="497">
        <f>IF(('Comparison Calculator'!$E$11-CV330)&gt;=0,0,IFERROR(-PPMT($DA$66/12,(CU330-60),($F$1-5)*12,$DA$65),0))</f>
        <v>0</v>
      </c>
      <c r="CX330" s="497">
        <f>IF(('Comparison Calculator'!$E$11-CV330)&gt;=0,$C$1*$DA$66/12,IFERROR(-IPMT($DA$66/12,(CU330-60),($F$1-5)*12,$DA$65,0),0))</f>
        <v>0</v>
      </c>
      <c r="CY330" s="497">
        <f t="shared" si="153"/>
        <v>0</v>
      </c>
      <c r="CZ330" s="497">
        <f t="shared" si="140"/>
        <v>1800000</v>
      </c>
      <c r="DA330" s="493"/>
      <c r="DB330" s="493"/>
      <c r="DD330" s="492">
        <v>326</v>
      </c>
      <c r="DE330" s="492">
        <v>28</v>
      </c>
      <c r="DF330" s="497">
        <f>IF(('Comparison Calculator'!$E$11-DE330)&gt;=0,0,IFERROR(-PPMT($DJ$66/12,(DD330-60),($F$1-5)*12,$DJ$65),0))</f>
        <v>0</v>
      </c>
      <c r="DG330" s="497">
        <f>IF(('Comparison Calculator'!$E$11-DE330)&gt;=0,$C$1*$DJ$66/12,IFERROR(-IPMT($DJ$66/12,(DD330-60),($F$1-5)*12,$DJ$65,0),0))</f>
        <v>0</v>
      </c>
      <c r="DH330" s="497">
        <f t="shared" si="154"/>
        <v>0</v>
      </c>
      <c r="DI330" s="497">
        <f t="shared" si="141"/>
        <v>1800000</v>
      </c>
      <c r="DJ330" s="493"/>
      <c r="DK330" s="493"/>
    </row>
    <row r="331" spans="1:115">
      <c r="A331" s="492">
        <v>327</v>
      </c>
      <c r="B331" s="492">
        <v>28</v>
      </c>
      <c r="C331" s="497">
        <f>IF(('Comparison Calculator'!$E$11-B331)&gt;=0,0,IFERROR(-PPMT($G$66/12,(A331-60),($F$1-5)*12,$G$65),0))</f>
        <v>0</v>
      </c>
      <c r="D331" s="497">
        <f>IF(('Comparison Calculator'!$E$11-B331)&gt;=0,$C$1*$G$66/12,IFERROR(-IPMT($G$66/12,(A331-60),($F$1-5)*12,$G$65,0),0))</f>
        <v>0</v>
      </c>
      <c r="E331" s="497">
        <f t="shared" si="142"/>
        <v>0</v>
      </c>
      <c r="F331" s="497">
        <f t="shared" si="155"/>
        <v>1800000</v>
      </c>
      <c r="G331" s="493"/>
      <c r="H331" s="493"/>
      <c r="I331" s="489"/>
      <c r="J331" s="492">
        <v>327</v>
      </c>
      <c r="K331" s="492">
        <v>28</v>
      </c>
      <c r="L331" s="497">
        <f>IF(('Comparison Calculator'!$E$11-K331)&gt;=0,0,IFERROR(-PPMT($P$66/12,(J331-60),($F$1-5)*12,$P$65),0))</f>
        <v>0</v>
      </c>
      <c r="M331" s="497">
        <f>IF(('Comparison Calculator'!$E$11-K331)&gt;=0,$C$1*$P$66/12,IFERROR(-IPMT($P$66/12,(J331-60),($F$1-5)*12,$P$65,0),0))</f>
        <v>0</v>
      </c>
      <c r="N331" s="497">
        <f t="shared" si="143"/>
        <v>0</v>
      </c>
      <c r="O331" s="497">
        <f t="shared" si="130"/>
        <v>1800000</v>
      </c>
      <c r="P331" s="493"/>
      <c r="Q331" s="493"/>
      <c r="S331" s="492">
        <v>327</v>
      </c>
      <c r="T331" s="492">
        <v>28</v>
      </c>
      <c r="U331" s="497">
        <f>IF(('Comparison Calculator'!$E$11-T331)&gt;=0,0,IFERROR(-PPMT($Y$66/12,(S331-60),($F$1-5)*12,$Y$65),0))</f>
        <v>0</v>
      </c>
      <c r="V331" s="497">
        <f>IF(('Comparison Calculator'!$E$11-T331)&gt;=0,$C$1*$Y$66/12,IFERROR(-IPMT($Y$66/12,(S331-60),($F$1-5)*12,$Y$65,0),0))</f>
        <v>0</v>
      </c>
      <c r="W331" s="497">
        <f t="shared" si="144"/>
        <v>0</v>
      </c>
      <c r="X331" s="497">
        <f t="shared" si="131"/>
        <v>1800000</v>
      </c>
      <c r="Y331" s="493"/>
      <c r="Z331" s="493"/>
      <c r="AB331" s="492">
        <v>327</v>
      </c>
      <c r="AC331" s="492">
        <v>28</v>
      </c>
      <c r="AD331" s="497">
        <f>IF(('Comparison Calculator'!$E$11-AC331)&gt;=0,0,IFERROR(-PPMT($AH$66/12,(AB331-60),($F$1-5)*12,$AH$65),0))</f>
        <v>0</v>
      </c>
      <c r="AE331" s="497">
        <f>IF(('Comparison Calculator'!$E$11-AC331)&gt;=0,$C$1*$AH$66/12,IFERROR(-IPMT($AH$66/12,(AB331-60),($F$1-5)*12,$AH$65,0),0))</f>
        <v>0</v>
      </c>
      <c r="AF331" s="497">
        <f t="shared" si="145"/>
        <v>0</v>
      </c>
      <c r="AG331" s="497">
        <f t="shared" si="132"/>
        <v>1800000</v>
      </c>
      <c r="AH331" s="493"/>
      <c r="AI331" s="493"/>
      <c r="AK331" s="492">
        <v>327</v>
      </c>
      <c r="AL331" s="492">
        <v>28</v>
      </c>
      <c r="AM331" s="497">
        <f>IF(('Comparison Calculator'!$E$11-AL331)&gt;=0,0,IFERROR(-PPMT($AQ$66/12,(AK331-60),($F$1-5)*12,$AQ$65),0))</f>
        <v>0</v>
      </c>
      <c r="AN331" s="497">
        <f>IF(('Comparison Calculator'!$E$11-AL331)&gt;=0,$C$1*$AQ$66/12,IFERROR(-IPMT($AQ$66/12,(AK331-60),($F$1-5)*12,$AQ$65,0),0))</f>
        <v>0</v>
      </c>
      <c r="AO331" s="497">
        <f t="shared" si="146"/>
        <v>0</v>
      </c>
      <c r="AP331" s="497">
        <f t="shared" si="133"/>
        <v>1800000</v>
      </c>
      <c r="AQ331" s="493"/>
      <c r="AR331" s="493"/>
      <c r="AT331" s="492">
        <v>327</v>
      </c>
      <c r="AU331" s="492">
        <v>28</v>
      </c>
      <c r="AV331" s="497">
        <f>IF(('Comparison Calculator'!$E$11-AU331)&gt;=0,0,IFERROR(-PPMT($AZ$66/12,(AT331-60),($F$1-5)*12,$AZ$65),0))</f>
        <v>0</v>
      </c>
      <c r="AW331" s="497">
        <f>IF(('Comparison Calculator'!$E$11-AU331)&gt;=0,$C$1*$AZ$66/12,IFERROR(-IPMT($AZ$66/12,(AT331-60),($F$1-5)*12,$AZ$65,0),0))</f>
        <v>0</v>
      </c>
      <c r="AX331" s="497">
        <f t="shared" si="147"/>
        <v>0</v>
      </c>
      <c r="AY331" s="497">
        <f t="shared" si="134"/>
        <v>1800000</v>
      </c>
      <c r="AZ331" s="493"/>
      <c r="BA331" s="493"/>
      <c r="BC331" s="492">
        <v>327</v>
      </c>
      <c r="BD331" s="492">
        <v>28</v>
      </c>
      <c r="BE331" s="497">
        <f>IF(('Comparison Calculator'!$E$11-BD331)&gt;=0,0,IFERROR(-PPMT($BI$66/12,(BC331-60),($F$1-5)*12,$BI$65),0))</f>
        <v>0</v>
      </c>
      <c r="BF331" s="497">
        <f>IF(('Comparison Calculator'!$E$11-BD331)&gt;=0,$C$1*$BI$66/12,IFERROR(-IPMT($BI$66/12,(BC331-60),($F$1-5)*12,$BI$65,0),0))</f>
        <v>0</v>
      </c>
      <c r="BG331" s="497">
        <f t="shared" si="148"/>
        <v>0</v>
      </c>
      <c r="BH331" s="497">
        <f t="shared" si="135"/>
        <v>1800000</v>
      </c>
      <c r="BI331" s="493"/>
      <c r="BJ331" s="493"/>
      <c r="BK331" s="492">
        <v>327</v>
      </c>
      <c r="BL331" s="492">
        <v>28</v>
      </c>
      <c r="BM331" s="497">
        <f>IF(('Comparison Calculator'!$E$11-BL331)&gt;=0,0,IFERROR(-PPMT($BQ$66/12,(BK331-60),($F$1-5)*12,$BQ$65),0))</f>
        <v>0</v>
      </c>
      <c r="BN331" s="497">
        <f>IF(('Comparison Calculator'!$E$11-BL331)&gt;=0,$C$1*$BQ$66/12,IFERROR(-IPMT($BQ$66/12,(BK331-60),($F$1-5)*12,$BQ$65,0),0))</f>
        <v>0</v>
      </c>
      <c r="BO331" s="497">
        <f t="shared" si="149"/>
        <v>0</v>
      </c>
      <c r="BP331" s="497">
        <f t="shared" si="136"/>
        <v>1800000</v>
      </c>
      <c r="BQ331" s="493"/>
      <c r="BR331" s="493"/>
      <c r="BT331" s="492">
        <v>327</v>
      </c>
      <c r="BU331" s="492">
        <v>28</v>
      </c>
      <c r="BV331" s="497">
        <f>IF(('Comparison Calculator'!$E$11-BU331)&gt;=0,0,IFERROR(-PPMT($BZ$66/12,(BT331-60),($F$1-5)*12,$BZ$65),0))</f>
        <v>0</v>
      </c>
      <c r="BW331" s="497">
        <f>IF(('Comparison Calculator'!$E$11-BU331)&gt;=0,$C$1*$BZ$66/12,IFERROR(-IPMT($BZ$66/12,(BT331-60),($F$1-5)*12,$BZ$65,0),0))</f>
        <v>0</v>
      </c>
      <c r="BX331" s="497">
        <f t="shared" si="150"/>
        <v>0</v>
      </c>
      <c r="BY331" s="497">
        <f t="shared" si="137"/>
        <v>1800000</v>
      </c>
      <c r="BZ331" s="493"/>
      <c r="CA331" s="493"/>
      <c r="CC331" s="492">
        <v>327</v>
      </c>
      <c r="CD331" s="492">
        <v>28</v>
      </c>
      <c r="CE331" s="497">
        <f>IF(('Comparison Calculator'!$E$11-CD331)&gt;=0,0,IFERROR(-PPMT($CI$66/12,(CC331-60),($F$1-5)*12,$CI$65),0))</f>
        <v>0</v>
      </c>
      <c r="CF331" s="497">
        <f>IF(('Comparison Calculator'!$E$11-CD331)&gt;=0,$C$1*$CI$66/12,IFERROR(-IPMT($CI$66/12,(CC331-60),($F$1-5)*12,$CI$65,0),0))</f>
        <v>0</v>
      </c>
      <c r="CG331" s="497">
        <f t="shared" si="151"/>
        <v>0</v>
      </c>
      <c r="CH331" s="497">
        <f t="shared" si="138"/>
        <v>1800000</v>
      </c>
      <c r="CI331" s="493"/>
      <c r="CJ331" s="493"/>
      <c r="CL331" s="492">
        <v>327</v>
      </c>
      <c r="CM331" s="492">
        <v>28</v>
      </c>
      <c r="CN331" s="497">
        <f>IF(('Comparison Calculator'!$E$11-CM331)&gt;=0,0,IFERROR(-PPMT($CR$66/12,(CL331-60),($F$1-5)*12,$CR$65),0))</f>
        <v>0</v>
      </c>
      <c r="CO331" s="497">
        <f>IF(('Comparison Calculator'!$E$11-CM331)&gt;=0,$C$1*$CI$66/12,IFERROR(-IPMT($CI$66/12,(CL331-60),($F$1-5)*12,$CI$65,0),0))</f>
        <v>0</v>
      </c>
      <c r="CP331" s="497">
        <f t="shared" si="152"/>
        <v>0</v>
      </c>
      <c r="CQ331" s="497">
        <f t="shared" si="139"/>
        <v>1800000</v>
      </c>
      <c r="CR331" s="493"/>
      <c r="CS331" s="493"/>
      <c r="CU331" s="492">
        <v>327</v>
      </c>
      <c r="CV331" s="492">
        <v>28</v>
      </c>
      <c r="CW331" s="497">
        <f>IF(('Comparison Calculator'!$E$11-CV331)&gt;=0,0,IFERROR(-PPMT($DA$66/12,(CU331-60),($F$1-5)*12,$DA$65),0))</f>
        <v>0</v>
      </c>
      <c r="CX331" s="497">
        <f>IF(('Comparison Calculator'!$E$11-CV331)&gt;=0,$C$1*$DA$66/12,IFERROR(-IPMT($DA$66/12,(CU331-60),($F$1-5)*12,$DA$65,0),0))</f>
        <v>0</v>
      </c>
      <c r="CY331" s="497">
        <f t="shared" si="153"/>
        <v>0</v>
      </c>
      <c r="CZ331" s="497">
        <f t="shared" si="140"/>
        <v>1800000</v>
      </c>
      <c r="DA331" s="493"/>
      <c r="DB331" s="493"/>
      <c r="DD331" s="492">
        <v>327</v>
      </c>
      <c r="DE331" s="492">
        <v>28</v>
      </c>
      <c r="DF331" s="497">
        <f>IF(('Comparison Calculator'!$E$11-DE331)&gt;=0,0,IFERROR(-PPMT($DJ$66/12,(DD331-60),($F$1-5)*12,$DJ$65),0))</f>
        <v>0</v>
      </c>
      <c r="DG331" s="497">
        <f>IF(('Comparison Calculator'!$E$11-DE331)&gt;=0,$C$1*$DJ$66/12,IFERROR(-IPMT($DJ$66/12,(DD331-60),($F$1-5)*12,$DJ$65,0),0))</f>
        <v>0</v>
      </c>
      <c r="DH331" s="497">
        <f t="shared" si="154"/>
        <v>0</v>
      </c>
      <c r="DI331" s="497">
        <f t="shared" si="141"/>
        <v>1800000</v>
      </c>
      <c r="DJ331" s="493"/>
      <c r="DK331" s="493"/>
    </row>
    <row r="332" spans="1:115">
      <c r="A332" s="492">
        <v>328</v>
      </c>
      <c r="B332" s="492">
        <v>28</v>
      </c>
      <c r="C332" s="497">
        <f>IF(('Comparison Calculator'!$E$11-B332)&gt;=0,0,IFERROR(-PPMT($G$66/12,(A332-60),($F$1-5)*12,$G$65),0))</f>
        <v>0</v>
      </c>
      <c r="D332" s="497">
        <f>IF(('Comparison Calculator'!$E$11-B332)&gt;=0,$C$1*$G$66/12,IFERROR(-IPMT($G$66/12,(A332-60),($F$1-5)*12,$G$65,0),0))</f>
        <v>0</v>
      </c>
      <c r="E332" s="497">
        <f t="shared" si="142"/>
        <v>0</v>
      </c>
      <c r="F332" s="497">
        <f t="shared" si="155"/>
        <v>1800000</v>
      </c>
      <c r="G332" s="493"/>
      <c r="H332" s="493"/>
      <c r="I332" s="489"/>
      <c r="J332" s="492">
        <v>328</v>
      </c>
      <c r="K332" s="492">
        <v>28</v>
      </c>
      <c r="L332" s="497">
        <f>IF(('Comparison Calculator'!$E$11-K332)&gt;=0,0,IFERROR(-PPMT($P$66/12,(J332-60),($F$1-5)*12,$P$65),0))</f>
        <v>0</v>
      </c>
      <c r="M332" s="497">
        <f>IF(('Comparison Calculator'!$E$11-K332)&gt;=0,$C$1*$P$66/12,IFERROR(-IPMT($P$66/12,(J332-60),($F$1-5)*12,$P$65,0),0))</f>
        <v>0</v>
      </c>
      <c r="N332" s="497">
        <f t="shared" si="143"/>
        <v>0</v>
      </c>
      <c r="O332" s="497">
        <f t="shared" si="130"/>
        <v>1800000</v>
      </c>
      <c r="P332" s="493"/>
      <c r="Q332" s="493"/>
      <c r="S332" s="492">
        <v>328</v>
      </c>
      <c r="T332" s="492">
        <v>28</v>
      </c>
      <c r="U332" s="497">
        <f>IF(('Comparison Calculator'!$E$11-T332)&gt;=0,0,IFERROR(-PPMT($Y$66/12,(S332-60),($F$1-5)*12,$Y$65),0))</f>
        <v>0</v>
      </c>
      <c r="V332" s="497">
        <f>IF(('Comparison Calculator'!$E$11-T332)&gt;=0,$C$1*$Y$66/12,IFERROR(-IPMT($Y$66/12,(S332-60),($F$1-5)*12,$Y$65,0),0))</f>
        <v>0</v>
      </c>
      <c r="W332" s="497">
        <f t="shared" si="144"/>
        <v>0</v>
      </c>
      <c r="X332" s="497">
        <f t="shared" si="131"/>
        <v>1800000</v>
      </c>
      <c r="Y332" s="493"/>
      <c r="Z332" s="493"/>
      <c r="AB332" s="492">
        <v>328</v>
      </c>
      <c r="AC332" s="492">
        <v>28</v>
      </c>
      <c r="AD332" s="497">
        <f>IF(('Comparison Calculator'!$E$11-AC332)&gt;=0,0,IFERROR(-PPMT($AH$66/12,(AB332-60),($F$1-5)*12,$AH$65),0))</f>
        <v>0</v>
      </c>
      <c r="AE332" s="497">
        <f>IF(('Comparison Calculator'!$E$11-AC332)&gt;=0,$C$1*$AH$66/12,IFERROR(-IPMT($AH$66/12,(AB332-60),($F$1-5)*12,$AH$65,0),0))</f>
        <v>0</v>
      </c>
      <c r="AF332" s="497">
        <f t="shared" si="145"/>
        <v>0</v>
      </c>
      <c r="AG332" s="497">
        <f t="shared" si="132"/>
        <v>1800000</v>
      </c>
      <c r="AH332" s="493"/>
      <c r="AI332" s="493"/>
      <c r="AK332" s="492">
        <v>328</v>
      </c>
      <c r="AL332" s="492">
        <v>28</v>
      </c>
      <c r="AM332" s="497">
        <f>IF(('Comparison Calculator'!$E$11-AL332)&gt;=0,0,IFERROR(-PPMT($AQ$66/12,(AK332-60),($F$1-5)*12,$AQ$65),0))</f>
        <v>0</v>
      </c>
      <c r="AN332" s="497">
        <f>IF(('Comparison Calculator'!$E$11-AL332)&gt;=0,$C$1*$AQ$66/12,IFERROR(-IPMT($AQ$66/12,(AK332-60),($F$1-5)*12,$AQ$65,0),0))</f>
        <v>0</v>
      </c>
      <c r="AO332" s="497">
        <f t="shared" si="146"/>
        <v>0</v>
      </c>
      <c r="AP332" s="497">
        <f t="shared" si="133"/>
        <v>1800000</v>
      </c>
      <c r="AQ332" s="493"/>
      <c r="AR332" s="493"/>
      <c r="AT332" s="492">
        <v>328</v>
      </c>
      <c r="AU332" s="492">
        <v>28</v>
      </c>
      <c r="AV332" s="497">
        <f>IF(('Comparison Calculator'!$E$11-AU332)&gt;=0,0,IFERROR(-PPMT($AZ$66/12,(AT332-60),($F$1-5)*12,$AZ$65),0))</f>
        <v>0</v>
      </c>
      <c r="AW332" s="497">
        <f>IF(('Comparison Calculator'!$E$11-AU332)&gt;=0,$C$1*$AZ$66/12,IFERROR(-IPMT($AZ$66/12,(AT332-60),($F$1-5)*12,$AZ$65,0),0))</f>
        <v>0</v>
      </c>
      <c r="AX332" s="497">
        <f t="shared" si="147"/>
        <v>0</v>
      </c>
      <c r="AY332" s="497">
        <f t="shared" si="134"/>
        <v>1800000</v>
      </c>
      <c r="AZ332" s="493"/>
      <c r="BA332" s="493"/>
      <c r="BC332" s="492">
        <v>328</v>
      </c>
      <c r="BD332" s="492">
        <v>28</v>
      </c>
      <c r="BE332" s="497">
        <f>IF(('Comparison Calculator'!$E$11-BD332)&gt;=0,0,IFERROR(-PPMT($BI$66/12,(BC332-60),($F$1-5)*12,$BI$65),0))</f>
        <v>0</v>
      </c>
      <c r="BF332" s="497">
        <f>IF(('Comparison Calculator'!$E$11-BD332)&gt;=0,$C$1*$BI$66/12,IFERROR(-IPMT($BI$66/12,(BC332-60),($F$1-5)*12,$BI$65,0),0))</f>
        <v>0</v>
      </c>
      <c r="BG332" s="497">
        <f t="shared" si="148"/>
        <v>0</v>
      </c>
      <c r="BH332" s="497">
        <f t="shared" si="135"/>
        <v>1800000</v>
      </c>
      <c r="BI332" s="493"/>
      <c r="BJ332" s="493"/>
      <c r="BK332" s="492">
        <v>328</v>
      </c>
      <c r="BL332" s="492">
        <v>28</v>
      </c>
      <c r="BM332" s="497">
        <f>IF(('Comparison Calculator'!$E$11-BL332)&gt;=0,0,IFERROR(-PPMT($BQ$66/12,(BK332-60),($F$1-5)*12,$BQ$65),0))</f>
        <v>0</v>
      </c>
      <c r="BN332" s="497">
        <f>IF(('Comparison Calculator'!$E$11-BL332)&gt;=0,$C$1*$BQ$66/12,IFERROR(-IPMT($BQ$66/12,(BK332-60),($F$1-5)*12,$BQ$65,0),0))</f>
        <v>0</v>
      </c>
      <c r="BO332" s="497">
        <f t="shared" si="149"/>
        <v>0</v>
      </c>
      <c r="BP332" s="497">
        <f t="shared" si="136"/>
        <v>1800000</v>
      </c>
      <c r="BQ332" s="493"/>
      <c r="BR332" s="493"/>
      <c r="BT332" s="492">
        <v>328</v>
      </c>
      <c r="BU332" s="492">
        <v>28</v>
      </c>
      <c r="BV332" s="497">
        <f>IF(('Comparison Calculator'!$E$11-BU332)&gt;=0,0,IFERROR(-PPMT($BZ$66/12,(BT332-60),($F$1-5)*12,$BZ$65),0))</f>
        <v>0</v>
      </c>
      <c r="BW332" s="497">
        <f>IF(('Comparison Calculator'!$E$11-BU332)&gt;=0,$C$1*$BZ$66/12,IFERROR(-IPMT($BZ$66/12,(BT332-60),($F$1-5)*12,$BZ$65,0),0))</f>
        <v>0</v>
      </c>
      <c r="BX332" s="497">
        <f t="shared" si="150"/>
        <v>0</v>
      </c>
      <c r="BY332" s="497">
        <f t="shared" si="137"/>
        <v>1800000</v>
      </c>
      <c r="BZ332" s="493"/>
      <c r="CA332" s="493"/>
      <c r="CC332" s="492">
        <v>328</v>
      </c>
      <c r="CD332" s="492">
        <v>28</v>
      </c>
      <c r="CE332" s="497">
        <f>IF(('Comparison Calculator'!$E$11-CD332)&gt;=0,0,IFERROR(-PPMT($CI$66/12,(CC332-60),($F$1-5)*12,$CI$65),0))</f>
        <v>0</v>
      </c>
      <c r="CF332" s="497">
        <f>IF(('Comparison Calculator'!$E$11-CD332)&gt;=0,$C$1*$CI$66/12,IFERROR(-IPMT($CI$66/12,(CC332-60),($F$1-5)*12,$CI$65,0),0))</f>
        <v>0</v>
      </c>
      <c r="CG332" s="497">
        <f t="shared" si="151"/>
        <v>0</v>
      </c>
      <c r="CH332" s="497">
        <f t="shared" si="138"/>
        <v>1800000</v>
      </c>
      <c r="CI332" s="493"/>
      <c r="CJ332" s="493"/>
      <c r="CL332" s="492">
        <v>328</v>
      </c>
      <c r="CM332" s="492">
        <v>28</v>
      </c>
      <c r="CN332" s="497">
        <f>IF(('Comparison Calculator'!$E$11-CM332)&gt;=0,0,IFERROR(-PPMT($CR$66/12,(CL332-60),($F$1-5)*12,$CR$65),0))</f>
        <v>0</v>
      </c>
      <c r="CO332" s="497">
        <f>IF(('Comparison Calculator'!$E$11-CM332)&gt;=0,$C$1*$CI$66/12,IFERROR(-IPMT($CI$66/12,(CL332-60),($F$1-5)*12,$CI$65,0),0))</f>
        <v>0</v>
      </c>
      <c r="CP332" s="497">
        <f t="shared" si="152"/>
        <v>0</v>
      </c>
      <c r="CQ332" s="497">
        <f t="shared" si="139"/>
        <v>1800000</v>
      </c>
      <c r="CR332" s="493"/>
      <c r="CS332" s="493"/>
      <c r="CU332" s="492">
        <v>328</v>
      </c>
      <c r="CV332" s="492">
        <v>28</v>
      </c>
      <c r="CW332" s="497">
        <f>IF(('Comparison Calculator'!$E$11-CV332)&gt;=0,0,IFERROR(-PPMT($DA$66/12,(CU332-60),($F$1-5)*12,$DA$65),0))</f>
        <v>0</v>
      </c>
      <c r="CX332" s="497">
        <f>IF(('Comparison Calculator'!$E$11-CV332)&gt;=0,$C$1*$DA$66/12,IFERROR(-IPMT($DA$66/12,(CU332-60),($F$1-5)*12,$DA$65,0),0))</f>
        <v>0</v>
      </c>
      <c r="CY332" s="497">
        <f t="shared" si="153"/>
        <v>0</v>
      </c>
      <c r="CZ332" s="497">
        <f t="shared" si="140"/>
        <v>1800000</v>
      </c>
      <c r="DA332" s="493"/>
      <c r="DB332" s="493"/>
      <c r="DD332" s="492">
        <v>328</v>
      </c>
      <c r="DE332" s="492">
        <v>28</v>
      </c>
      <c r="DF332" s="497">
        <f>IF(('Comparison Calculator'!$E$11-DE332)&gt;=0,0,IFERROR(-PPMT($DJ$66/12,(DD332-60),($F$1-5)*12,$DJ$65),0))</f>
        <v>0</v>
      </c>
      <c r="DG332" s="497">
        <f>IF(('Comparison Calculator'!$E$11-DE332)&gt;=0,$C$1*$DJ$66/12,IFERROR(-IPMT($DJ$66/12,(DD332-60),($F$1-5)*12,$DJ$65,0),0))</f>
        <v>0</v>
      </c>
      <c r="DH332" s="497">
        <f t="shared" si="154"/>
        <v>0</v>
      </c>
      <c r="DI332" s="497">
        <f t="shared" si="141"/>
        <v>1800000</v>
      </c>
      <c r="DJ332" s="493"/>
      <c r="DK332" s="493"/>
    </row>
    <row r="333" spans="1:115">
      <c r="A333" s="492">
        <v>329</v>
      </c>
      <c r="B333" s="492">
        <v>28</v>
      </c>
      <c r="C333" s="497">
        <f>IF(('Comparison Calculator'!$E$11-B333)&gt;=0,0,IFERROR(-PPMT($G$66/12,(A333-60),($F$1-5)*12,$G$65),0))</f>
        <v>0</v>
      </c>
      <c r="D333" s="497">
        <f>IF(('Comparison Calculator'!$E$11-B333)&gt;=0,$C$1*$G$66/12,IFERROR(-IPMT($G$66/12,(A333-60),($F$1-5)*12,$G$65,0),0))</f>
        <v>0</v>
      </c>
      <c r="E333" s="497">
        <f t="shared" si="142"/>
        <v>0</v>
      </c>
      <c r="F333" s="497">
        <f t="shared" si="155"/>
        <v>1800000</v>
      </c>
      <c r="G333" s="493"/>
      <c r="H333" s="493"/>
      <c r="I333" s="489"/>
      <c r="J333" s="492">
        <v>329</v>
      </c>
      <c r="K333" s="492">
        <v>28</v>
      </c>
      <c r="L333" s="497">
        <f>IF(('Comparison Calculator'!$E$11-K333)&gt;=0,0,IFERROR(-PPMT($P$66/12,(J333-60),($F$1-5)*12,$P$65),0))</f>
        <v>0</v>
      </c>
      <c r="M333" s="497">
        <f>IF(('Comparison Calculator'!$E$11-K333)&gt;=0,$C$1*$P$66/12,IFERROR(-IPMT($P$66/12,(J333-60),($F$1-5)*12,$P$65,0),0))</f>
        <v>0</v>
      </c>
      <c r="N333" s="497">
        <f t="shared" si="143"/>
        <v>0</v>
      </c>
      <c r="O333" s="497">
        <f t="shared" si="130"/>
        <v>1800000</v>
      </c>
      <c r="P333" s="493"/>
      <c r="Q333" s="493"/>
      <c r="S333" s="492">
        <v>329</v>
      </c>
      <c r="T333" s="492">
        <v>28</v>
      </c>
      <c r="U333" s="497">
        <f>IF(('Comparison Calculator'!$E$11-T333)&gt;=0,0,IFERROR(-PPMT($Y$66/12,(S333-60),($F$1-5)*12,$Y$65),0))</f>
        <v>0</v>
      </c>
      <c r="V333" s="497">
        <f>IF(('Comparison Calculator'!$E$11-T333)&gt;=0,$C$1*$Y$66/12,IFERROR(-IPMT($Y$66/12,(S333-60),($F$1-5)*12,$Y$65,0),0))</f>
        <v>0</v>
      </c>
      <c r="W333" s="497">
        <f t="shared" si="144"/>
        <v>0</v>
      </c>
      <c r="X333" s="497">
        <f t="shared" si="131"/>
        <v>1800000</v>
      </c>
      <c r="Y333" s="493"/>
      <c r="Z333" s="493"/>
      <c r="AB333" s="492">
        <v>329</v>
      </c>
      <c r="AC333" s="492">
        <v>28</v>
      </c>
      <c r="AD333" s="497">
        <f>IF(('Comparison Calculator'!$E$11-AC333)&gt;=0,0,IFERROR(-PPMT($AH$66/12,(AB333-60),($F$1-5)*12,$AH$65),0))</f>
        <v>0</v>
      </c>
      <c r="AE333" s="497">
        <f>IF(('Comparison Calculator'!$E$11-AC333)&gt;=0,$C$1*$AH$66/12,IFERROR(-IPMT($AH$66/12,(AB333-60),($F$1-5)*12,$AH$65,0),0))</f>
        <v>0</v>
      </c>
      <c r="AF333" s="497">
        <f t="shared" si="145"/>
        <v>0</v>
      </c>
      <c r="AG333" s="497">
        <f t="shared" si="132"/>
        <v>1800000</v>
      </c>
      <c r="AH333" s="493"/>
      <c r="AI333" s="493"/>
      <c r="AK333" s="492">
        <v>329</v>
      </c>
      <c r="AL333" s="492">
        <v>28</v>
      </c>
      <c r="AM333" s="497">
        <f>IF(('Comparison Calculator'!$E$11-AL333)&gt;=0,0,IFERROR(-PPMT($AQ$66/12,(AK333-60),($F$1-5)*12,$AQ$65),0))</f>
        <v>0</v>
      </c>
      <c r="AN333" s="497">
        <f>IF(('Comparison Calculator'!$E$11-AL333)&gt;=0,$C$1*$AQ$66/12,IFERROR(-IPMT($AQ$66/12,(AK333-60),($F$1-5)*12,$AQ$65,0),0))</f>
        <v>0</v>
      </c>
      <c r="AO333" s="497">
        <f t="shared" si="146"/>
        <v>0</v>
      </c>
      <c r="AP333" s="497">
        <f t="shared" si="133"/>
        <v>1800000</v>
      </c>
      <c r="AQ333" s="493"/>
      <c r="AR333" s="493"/>
      <c r="AT333" s="492">
        <v>329</v>
      </c>
      <c r="AU333" s="492">
        <v>28</v>
      </c>
      <c r="AV333" s="497">
        <f>IF(('Comparison Calculator'!$E$11-AU333)&gt;=0,0,IFERROR(-PPMT($AZ$66/12,(AT333-60),($F$1-5)*12,$AZ$65),0))</f>
        <v>0</v>
      </c>
      <c r="AW333" s="497">
        <f>IF(('Comparison Calculator'!$E$11-AU333)&gt;=0,$C$1*$AZ$66/12,IFERROR(-IPMT($AZ$66/12,(AT333-60),($F$1-5)*12,$AZ$65,0),0))</f>
        <v>0</v>
      </c>
      <c r="AX333" s="497">
        <f t="shared" si="147"/>
        <v>0</v>
      </c>
      <c r="AY333" s="497">
        <f t="shared" si="134"/>
        <v>1800000</v>
      </c>
      <c r="AZ333" s="493"/>
      <c r="BA333" s="493"/>
      <c r="BC333" s="492">
        <v>329</v>
      </c>
      <c r="BD333" s="492">
        <v>28</v>
      </c>
      <c r="BE333" s="497">
        <f>IF(('Comparison Calculator'!$E$11-BD333)&gt;=0,0,IFERROR(-PPMT($BI$66/12,(BC333-60),($F$1-5)*12,$BI$65),0))</f>
        <v>0</v>
      </c>
      <c r="BF333" s="497">
        <f>IF(('Comparison Calculator'!$E$11-BD333)&gt;=0,$C$1*$BI$66/12,IFERROR(-IPMT($BI$66/12,(BC333-60),($F$1-5)*12,$BI$65,0),0))</f>
        <v>0</v>
      </c>
      <c r="BG333" s="497">
        <f t="shared" si="148"/>
        <v>0</v>
      </c>
      <c r="BH333" s="497">
        <f t="shared" si="135"/>
        <v>1800000</v>
      </c>
      <c r="BI333" s="493"/>
      <c r="BJ333" s="493"/>
      <c r="BK333" s="492">
        <v>329</v>
      </c>
      <c r="BL333" s="492">
        <v>28</v>
      </c>
      <c r="BM333" s="497">
        <f>IF(('Comparison Calculator'!$E$11-BL333)&gt;=0,0,IFERROR(-PPMT($BQ$66/12,(BK333-60),($F$1-5)*12,$BQ$65),0))</f>
        <v>0</v>
      </c>
      <c r="BN333" s="497">
        <f>IF(('Comparison Calculator'!$E$11-BL333)&gt;=0,$C$1*$BQ$66/12,IFERROR(-IPMT($BQ$66/12,(BK333-60),($F$1-5)*12,$BQ$65,0),0))</f>
        <v>0</v>
      </c>
      <c r="BO333" s="497">
        <f t="shared" si="149"/>
        <v>0</v>
      </c>
      <c r="BP333" s="497">
        <f t="shared" si="136"/>
        <v>1800000</v>
      </c>
      <c r="BQ333" s="493"/>
      <c r="BR333" s="493"/>
      <c r="BT333" s="492">
        <v>329</v>
      </c>
      <c r="BU333" s="492">
        <v>28</v>
      </c>
      <c r="BV333" s="497">
        <f>IF(('Comparison Calculator'!$E$11-BU333)&gt;=0,0,IFERROR(-PPMT($BZ$66/12,(BT333-60),($F$1-5)*12,$BZ$65),0))</f>
        <v>0</v>
      </c>
      <c r="BW333" s="497">
        <f>IF(('Comparison Calculator'!$E$11-BU333)&gt;=0,$C$1*$BZ$66/12,IFERROR(-IPMT($BZ$66/12,(BT333-60),($F$1-5)*12,$BZ$65,0),0))</f>
        <v>0</v>
      </c>
      <c r="BX333" s="497">
        <f t="shared" si="150"/>
        <v>0</v>
      </c>
      <c r="BY333" s="497">
        <f t="shared" si="137"/>
        <v>1800000</v>
      </c>
      <c r="BZ333" s="493"/>
      <c r="CA333" s="493"/>
      <c r="CC333" s="492">
        <v>329</v>
      </c>
      <c r="CD333" s="492">
        <v>28</v>
      </c>
      <c r="CE333" s="497">
        <f>IF(('Comparison Calculator'!$E$11-CD333)&gt;=0,0,IFERROR(-PPMT($CI$66/12,(CC333-60),($F$1-5)*12,$CI$65),0))</f>
        <v>0</v>
      </c>
      <c r="CF333" s="497">
        <f>IF(('Comparison Calculator'!$E$11-CD333)&gt;=0,$C$1*$CI$66/12,IFERROR(-IPMT($CI$66/12,(CC333-60),($F$1-5)*12,$CI$65,0),0))</f>
        <v>0</v>
      </c>
      <c r="CG333" s="497">
        <f t="shared" si="151"/>
        <v>0</v>
      </c>
      <c r="CH333" s="497">
        <f t="shared" si="138"/>
        <v>1800000</v>
      </c>
      <c r="CI333" s="493"/>
      <c r="CJ333" s="493"/>
      <c r="CL333" s="492">
        <v>329</v>
      </c>
      <c r="CM333" s="492">
        <v>28</v>
      </c>
      <c r="CN333" s="497">
        <f>IF(('Comparison Calculator'!$E$11-CM333)&gt;=0,0,IFERROR(-PPMT($CR$66/12,(CL333-60),($F$1-5)*12,$CR$65),0))</f>
        <v>0</v>
      </c>
      <c r="CO333" s="497">
        <f>IF(('Comparison Calculator'!$E$11-CM333)&gt;=0,$C$1*$CI$66/12,IFERROR(-IPMT($CI$66/12,(CL333-60),($F$1-5)*12,$CI$65,0),0))</f>
        <v>0</v>
      </c>
      <c r="CP333" s="497">
        <f t="shared" si="152"/>
        <v>0</v>
      </c>
      <c r="CQ333" s="497">
        <f t="shared" si="139"/>
        <v>1800000</v>
      </c>
      <c r="CR333" s="493"/>
      <c r="CS333" s="493"/>
      <c r="CU333" s="492">
        <v>329</v>
      </c>
      <c r="CV333" s="492">
        <v>28</v>
      </c>
      <c r="CW333" s="497">
        <f>IF(('Comparison Calculator'!$E$11-CV333)&gt;=0,0,IFERROR(-PPMT($DA$66/12,(CU333-60),($F$1-5)*12,$DA$65),0))</f>
        <v>0</v>
      </c>
      <c r="CX333" s="497">
        <f>IF(('Comparison Calculator'!$E$11-CV333)&gt;=0,$C$1*$DA$66/12,IFERROR(-IPMT($DA$66/12,(CU333-60),($F$1-5)*12,$DA$65,0),0))</f>
        <v>0</v>
      </c>
      <c r="CY333" s="497">
        <f t="shared" si="153"/>
        <v>0</v>
      </c>
      <c r="CZ333" s="497">
        <f t="shared" si="140"/>
        <v>1800000</v>
      </c>
      <c r="DA333" s="493"/>
      <c r="DB333" s="493"/>
      <c r="DD333" s="492">
        <v>329</v>
      </c>
      <c r="DE333" s="492">
        <v>28</v>
      </c>
      <c r="DF333" s="497">
        <f>IF(('Comparison Calculator'!$E$11-DE333)&gt;=0,0,IFERROR(-PPMT($DJ$66/12,(DD333-60),($F$1-5)*12,$DJ$65),0))</f>
        <v>0</v>
      </c>
      <c r="DG333" s="497">
        <f>IF(('Comparison Calculator'!$E$11-DE333)&gt;=0,$C$1*$DJ$66/12,IFERROR(-IPMT($DJ$66/12,(DD333-60),($F$1-5)*12,$DJ$65,0),0))</f>
        <v>0</v>
      </c>
      <c r="DH333" s="497">
        <f t="shared" si="154"/>
        <v>0</v>
      </c>
      <c r="DI333" s="497">
        <f t="shared" si="141"/>
        <v>1800000</v>
      </c>
      <c r="DJ333" s="493"/>
      <c r="DK333" s="493"/>
    </row>
    <row r="334" spans="1:115">
      <c r="A334" s="492">
        <v>330</v>
      </c>
      <c r="B334" s="492">
        <v>28</v>
      </c>
      <c r="C334" s="497">
        <f>IF(('Comparison Calculator'!$E$11-B334)&gt;=0,0,IFERROR(-PPMT($G$66/12,(A334-60),($F$1-5)*12,$G$65),0))</f>
        <v>0</v>
      </c>
      <c r="D334" s="497">
        <f>IF(('Comparison Calculator'!$E$11-B334)&gt;=0,$C$1*$G$66/12,IFERROR(-IPMT($G$66/12,(A334-60),($F$1-5)*12,$G$65,0),0))</f>
        <v>0</v>
      </c>
      <c r="E334" s="497">
        <f t="shared" si="142"/>
        <v>0</v>
      </c>
      <c r="F334" s="497">
        <f t="shared" si="155"/>
        <v>1800000</v>
      </c>
      <c r="G334" s="493"/>
      <c r="H334" s="493"/>
      <c r="I334" s="489"/>
      <c r="J334" s="492">
        <v>330</v>
      </c>
      <c r="K334" s="492">
        <v>28</v>
      </c>
      <c r="L334" s="497">
        <f>IF(('Comparison Calculator'!$E$11-K334)&gt;=0,0,IFERROR(-PPMT($P$66/12,(J334-60),($F$1-5)*12,$P$65),0))</f>
        <v>0</v>
      </c>
      <c r="M334" s="497">
        <f>IF(('Comparison Calculator'!$E$11-K334)&gt;=0,$C$1*$P$66/12,IFERROR(-IPMT($P$66/12,(J334-60),($F$1-5)*12,$P$65,0),0))</f>
        <v>0</v>
      </c>
      <c r="N334" s="497">
        <f t="shared" si="143"/>
        <v>0</v>
      </c>
      <c r="O334" s="497">
        <f t="shared" si="130"/>
        <v>1800000</v>
      </c>
      <c r="P334" s="493"/>
      <c r="Q334" s="493"/>
      <c r="S334" s="492">
        <v>330</v>
      </c>
      <c r="T334" s="492">
        <v>28</v>
      </c>
      <c r="U334" s="497">
        <f>IF(('Comparison Calculator'!$E$11-T334)&gt;=0,0,IFERROR(-PPMT($Y$66/12,(S334-60),($F$1-5)*12,$Y$65),0))</f>
        <v>0</v>
      </c>
      <c r="V334" s="497">
        <f>IF(('Comparison Calculator'!$E$11-T334)&gt;=0,$C$1*$Y$66/12,IFERROR(-IPMT($Y$66/12,(S334-60),($F$1-5)*12,$Y$65,0),0))</f>
        <v>0</v>
      </c>
      <c r="W334" s="497">
        <f t="shared" si="144"/>
        <v>0</v>
      </c>
      <c r="X334" s="497">
        <f t="shared" si="131"/>
        <v>1800000</v>
      </c>
      <c r="Y334" s="493"/>
      <c r="Z334" s="493"/>
      <c r="AB334" s="492">
        <v>330</v>
      </c>
      <c r="AC334" s="492">
        <v>28</v>
      </c>
      <c r="AD334" s="497">
        <f>IF(('Comparison Calculator'!$E$11-AC334)&gt;=0,0,IFERROR(-PPMT($AH$66/12,(AB334-60),($F$1-5)*12,$AH$65),0))</f>
        <v>0</v>
      </c>
      <c r="AE334" s="497">
        <f>IF(('Comparison Calculator'!$E$11-AC334)&gt;=0,$C$1*$AH$66/12,IFERROR(-IPMT($AH$66/12,(AB334-60),($F$1-5)*12,$AH$65,0),0))</f>
        <v>0</v>
      </c>
      <c r="AF334" s="497">
        <f t="shared" si="145"/>
        <v>0</v>
      </c>
      <c r="AG334" s="497">
        <f t="shared" si="132"/>
        <v>1800000</v>
      </c>
      <c r="AH334" s="493"/>
      <c r="AI334" s="493"/>
      <c r="AK334" s="492">
        <v>330</v>
      </c>
      <c r="AL334" s="492">
        <v>28</v>
      </c>
      <c r="AM334" s="497">
        <f>IF(('Comparison Calculator'!$E$11-AL334)&gt;=0,0,IFERROR(-PPMT($AQ$66/12,(AK334-60),($F$1-5)*12,$AQ$65),0))</f>
        <v>0</v>
      </c>
      <c r="AN334" s="497">
        <f>IF(('Comparison Calculator'!$E$11-AL334)&gt;=0,$C$1*$AQ$66/12,IFERROR(-IPMT($AQ$66/12,(AK334-60),($F$1-5)*12,$AQ$65,0),0))</f>
        <v>0</v>
      </c>
      <c r="AO334" s="497">
        <f t="shared" si="146"/>
        <v>0</v>
      </c>
      <c r="AP334" s="497">
        <f t="shared" si="133"/>
        <v>1800000</v>
      </c>
      <c r="AQ334" s="493"/>
      <c r="AR334" s="493"/>
      <c r="AT334" s="492">
        <v>330</v>
      </c>
      <c r="AU334" s="492">
        <v>28</v>
      </c>
      <c r="AV334" s="497">
        <f>IF(('Comparison Calculator'!$E$11-AU334)&gt;=0,0,IFERROR(-PPMT($AZ$66/12,(AT334-60),($F$1-5)*12,$AZ$65),0))</f>
        <v>0</v>
      </c>
      <c r="AW334" s="497">
        <f>IF(('Comparison Calculator'!$E$11-AU334)&gt;=0,$C$1*$AZ$66/12,IFERROR(-IPMT($AZ$66/12,(AT334-60),($F$1-5)*12,$AZ$65,0),0))</f>
        <v>0</v>
      </c>
      <c r="AX334" s="497">
        <f t="shared" si="147"/>
        <v>0</v>
      </c>
      <c r="AY334" s="497">
        <f t="shared" si="134"/>
        <v>1800000</v>
      </c>
      <c r="AZ334" s="493"/>
      <c r="BA334" s="493"/>
      <c r="BC334" s="492">
        <v>330</v>
      </c>
      <c r="BD334" s="492">
        <v>28</v>
      </c>
      <c r="BE334" s="497">
        <f>IF(('Comparison Calculator'!$E$11-BD334)&gt;=0,0,IFERROR(-PPMT($BI$66/12,(BC334-60),($F$1-5)*12,$BI$65),0))</f>
        <v>0</v>
      </c>
      <c r="BF334" s="497">
        <f>IF(('Comparison Calculator'!$E$11-BD334)&gt;=0,$C$1*$BI$66/12,IFERROR(-IPMT($BI$66/12,(BC334-60),($F$1-5)*12,$BI$65,0),0))</f>
        <v>0</v>
      </c>
      <c r="BG334" s="497">
        <f t="shared" si="148"/>
        <v>0</v>
      </c>
      <c r="BH334" s="497">
        <f t="shared" si="135"/>
        <v>1800000</v>
      </c>
      <c r="BI334" s="493"/>
      <c r="BJ334" s="493"/>
      <c r="BK334" s="492">
        <v>330</v>
      </c>
      <c r="BL334" s="492">
        <v>28</v>
      </c>
      <c r="BM334" s="497">
        <f>IF(('Comparison Calculator'!$E$11-BL334)&gt;=0,0,IFERROR(-PPMT($BQ$66/12,(BK334-60),($F$1-5)*12,$BQ$65),0))</f>
        <v>0</v>
      </c>
      <c r="BN334" s="497">
        <f>IF(('Comparison Calculator'!$E$11-BL334)&gt;=0,$C$1*$BQ$66/12,IFERROR(-IPMT($BQ$66/12,(BK334-60),($F$1-5)*12,$BQ$65,0),0))</f>
        <v>0</v>
      </c>
      <c r="BO334" s="497">
        <f t="shared" si="149"/>
        <v>0</v>
      </c>
      <c r="BP334" s="497">
        <f t="shared" si="136"/>
        <v>1800000</v>
      </c>
      <c r="BQ334" s="493"/>
      <c r="BR334" s="493"/>
      <c r="BT334" s="492">
        <v>330</v>
      </c>
      <c r="BU334" s="492">
        <v>28</v>
      </c>
      <c r="BV334" s="497">
        <f>IF(('Comparison Calculator'!$E$11-BU334)&gt;=0,0,IFERROR(-PPMT($BZ$66/12,(BT334-60),($F$1-5)*12,$BZ$65),0))</f>
        <v>0</v>
      </c>
      <c r="BW334" s="497">
        <f>IF(('Comparison Calculator'!$E$11-BU334)&gt;=0,$C$1*$BZ$66/12,IFERROR(-IPMT($BZ$66/12,(BT334-60),($F$1-5)*12,$BZ$65,0),0))</f>
        <v>0</v>
      </c>
      <c r="BX334" s="497">
        <f t="shared" si="150"/>
        <v>0</v>
      </c>
      <c r="BY334" s="497">
        <f t="shared" si="137"/>
        <v>1800000</v>
      </c>
      <c r="BZ334" s="493"/>
      <c r="CA334" s="493"/>
      <c r="CC334" s="492">
        <v>330</v>
      </c>
      <c r="CD334" s="492">
        <v>28</v>
      </c>
      <c r="CE334" s="497">
        <f>IF(('Comparison Calculator'!$E$11-CD334)&gt;=0,0,IFERROR(-PPMT($CI$66/12,(CC334-60),($F$1-5)*12,$CI$65),0))</f>
        <v>0</v>
      </c>
      <c r="CF334" s="497">
        <f>IF(('Comparison Calculator'!$E$11-CD334)&gt;=0,$C$1*$CI$66/12,IFERROR(-IPMT($CI$66/12,(CC334-60),($F$1-5)*12,$CI$65,0),0))</f>
        <v>0</v>
      </c>
      <c r="CG334" s="497">
        <f t="shared" si="151"/>
        <v>0</v>
      </c>
      <c r="CH334" s="497">
        <f t="shared" si="138"/>
        <v>1800000</v>
      </c>
      <c r="CI334" s="493"/>
      <c r="CJ334" s="493"/>
      <c r="CL334" s="492">
        <v>330</v>
      </c>
      <c r="CM334" s="492">
        <v>28</v>
      </c>
      <c r="CN334" s="497">
        <f>IF(('Comparison Calculator'!$E$11-CM334)&gt;=0,0,IFERROR(-PPMT($CR$66/12,(CL334-60),($F$1-5)*12,$CR$65),0))</f>
        <v>0</v>
      </c>
      <c r="CO334" s="497">
        <f>IF(('Comparison Calculator'!$E$11-CM334)&gt;=0,$C$1*$CI$66/12,IFERROR(-IPMT($CI$66/12,(CL334-60),($F$1-5)*12,$CI$65,0),0))</f>
        <v>0</v>
      </c>
      <c r="CP334" s="497">
        <f t="shared" si="152"/>
        <v>0</v>
      </c>
      <c r="CQ334" s="497">
        <f t="shared" si="139"/>
        <v>1800000</v>
      </c>
      <c r="CR334" s="493"/>
      <c r="CS334" s="493"/>
      <c r="CU334" s="492">
        <v>330</v>
      </c>
      <c r="CV334" s="492">
        <v>28</v>
      </c>
      <c r="CW334" s="497">
        <f>IF(('Comparison Calculator'!$E$11-CV334)&gt;=0,0,IFERROR(-PPMT($DA$66/12,(CU334-60),($F$1-5)*12,$DA$65),0))</f>
        <v>0</v>
      </c>
      <c r="CX334" s="497">
        <f>IF(('Comparison Calculator'!$E$11-CV334)&gt;=0,$C$1*$DA$66/12,IFERROR(-IPMT($DA$66/12,(CU334-60),($F$1-5)*12,$DA$65,0),0))</f>
        <v>0</v>
      </c>
      <c r="CY334" s="497">
        <f t="shared" si="153"/>
        <v>0</v>
      </c>
      <c r="CZ334" s="497">
        <f t="shared" si="140"/>
        <v>1800000</v>
      </c>
      <c r="DA334" s="493"/>
      <c r="DB334" s="493"/>
      <c r="DD334" s="492">
        <v>330</v>
      </c>
      <c r="DE334" s="492">
        <v>28</v>
      </c>
      <c r="DF334" s="497">
        <f>IF(('Comparison Calculator'!$E$11-DE334)&gt;=0,0,IFERROR(-PPMT($DJ$66/12,(DD334-60),($F$1-5)*12,$DJ$65),0))</f>
        <v>0</v>
      </c>
      <c r="DG334" s="497">
        <f>IF(('Comparison Calculator'!$E$11-DE334)&gt;=0,$C$1*$DJ$66/12,IFERROR(-IPMT($DJ$66/12,(DD334-60),($F$1-5)*12,$DJ$65,0),0))</f>
        <v>0</v>
      </c>
      <c r="DH334" s="497">
        <f t="shared" si="154"/>
        <v>0</v>
      </c>
      <c r="DI334" s="497">
        <f t="shared" si="141"/>
        <v>1800000</v>
      </c>
      <c r="DJ334" s="493"/>
      <c r="DK334" s="493"/>
    </row>
    <row r="335" spans="1:115">
      <c r="A335" s="492">
        <v>331</v>
      </c>
      <c r="B335" s="492">
        <v>28</v>
      </c>
      <c r="C335" s="497">
        <f>IF(('Comparison Calculator'!$E$11-B335)&gt;=0,0,IFERROR(-PPMT($G$66/12,(A335-60),($F$1-5)*12,$G$65),0))</f>
        <v>0</v>
      </c>
      <c r="D335" s="497">
        <f>IF(('Comparison Calculator'!$E$11-B335)&gt;=0,$C$1*$G$66/12,IFERROR(-IPMT($G$66/12,(A335-60),($F$1-5)*12,$G$65,0),0))</f>
        <v>0</v>
      </c>
      <c r="E335" s="497">
        <f t="shared" si="142"/>
        <v>0</v>
      </c>
      <c r="F335" s="497">
        <f t="shared" si="155"/>
        <v>1800000</v>
      </c>
      <c r="G335" s="493"/>
      <c r="H335" s="493"/>
      <c r="I335" s="489"/>
      <c r="J335" s="492">
        <v>331</v>
      </c>
      <c r="K335" s="492">
        <v>28</v>
      </c>
      <c r="L335" s="497">
        <f>IF(('Comparison Calculator'!$E$11-K335)&gt;=0,0,IFERROR(-PPMT($P$66/12,(J335-60),($F$1-5)*12,$P$65),0))</f>
        <v>0</v>
      </c>
      <c r="M335" s="497">
        <f>IF(('Comparison Calculator'!$E$11-K335)&gt;=0,$C$1*$P$66/12,IFERROR(-IPMT($P$66/12,(J335-60),($F$1-5)*12,$P$65,0),0))</f>
        <v>0</v>
      </c>
      <c r="N335" s="497">
        <f t="shared" si="143"/>
        <v>0</v>
      </c>
      <c r="O335" s="497">
        <f t="shared" si="130"/>
        <v>1800000</v>
      </c>
      <c r="P335" s="493"/>
      <c r="Q335" s="493"/>
      <c r="S335" s="492">
        <v>331</v>
      </c>
      <c r="T335" s="492">
        <v>28</v>
      </c>
      <c r="U335" s="497">
        <f>IF(('Comparison Calculator'!$E$11-T335)&gt;=0,0,IFERROR(-PPMT($Y$66/12,(S335-60),($F$1-5)*12,$Y$65),0))</f>
        <v>0</v>
      </c>
      <c r="V335" s="497">
        <f>IF(('Comparison Calculator'!$E$11-T335)&gt;=0,$C$1*$Y$66/12,IFERROR(-IPMT($Y$66/12,(S335-60),($F$1-5)*12,$Y$65,0),0))</f>
        <v>0</v>
      </c>
      <c r="W335" s="497">
        <f t="shared" si="144"/>
        <v>0</v>
      </c>
      <c r="X335" s="497">
        <f t="shared" si="131"/>
        <v>1800000</v>
      </c>
      <c r="Y335" s="493"/>
      <c r="Z335" s="493"/>
      <c r="AB335" s="492">
        <v>331</v>
      </c>
      <c r="AC335" s="492">
        <v>28</v>
      </c>
      <c r="AD335" s="497">
        <f>IF(('Comparison Calculator'!$E$11-AC335)&gt;=0,0,IFERROR(-PPMT($AH$66/12,(AB335-60),($F$1-5)*12,$AH$65),0))</f>
        <v>0</v>
      </c>
      <c r="AE335" s="497">
        <f>IF(('Comparison Calculator'!$E$11-AC335)&gt;=0,$C$1*$AH$66/12,IFERROR(-IPMT($AH$66/12,(AB335-60),($F$1-5)*12,$AH$65,0),0))</f>
        <v>0</v>
      </c>
      <c r="AF335" s="497">
        <f t="shared" si="145"/>
        <v>0</v>
      </c>
      <c r="AG335" s="497">
        <f t="shared" si="132"/>
        <v>1800000</v>
      </c>
      <c r="AH335" s="493"/>
      <c r="AI335" s="493"/>
      <c r="AK335" s="492">
        <v>331</v>
      </c>
      <c r="AL335" s="492">
        <v>28</v>
      </c>
      <c r="AM335" s="497">
        <f>IF(('Comparison Calculator'!$E$11-AL335)&gt;=0,0,IFERROR(-PPMT($AQ$66/12,(AK335-60),($F$1-5)*12,$AQ$65),0))</f>
        <v>0</v>
      </c>
      <c r="AN335" s="497">
        <f>IF(('Comparison Calculator'!$E$11-AL335)&gt;=0,$C$1*$AQ$66/12,IFERROR(-IPMT($AQ$66/12,(AK335-60),($F$1-5)*12,$AQ$65,0),0))</f>
        <v>0</v>
      </c>
      <c r="AO335" s="497">
        <f t="shared" si="146"/>
        <v>0</v>
      </c>
      <c r="AP335" s="497">
        <f t="shared" si="133"/>
        <v>1800000</v>
      </c>
      <c r="AQ335" s="493"/>
      <c r="AR335" s="493"/>
      <c r="AT335" s="492">
        <v>331</v>
      </c>
      <c r="AU335" s="492">
        <v>28</v>
      </c>
      <c r="AV335" s="497">
        <f>IF(('Comparison Calculator'!$E$11-AU335)&gt;=0,0,IFERROR(-PPMT($AZ$66/12,(AT335-60),($F$1-5)*12,$AZ$65),0))</f>
        <v>0</v>
      </c>
      <c r="AW335" s="497">
        <f>IF(('Comparison Calculator'!$E$11-AU335)&gt;=0,$C$1*$AZ$66/12,IFERROR(-IPMT($AZ$66/12,(AT335-60),($F$1-5)*12,$AZ$65,0),0))</f>
        <v>0</v>
      </c>
      <c r="AX335" s="497">
        <f t="shared" si="147"/>
        <v>0</v>
      </c>
      <c r="AY335" s="497">
        <f t="shared" si="134"/>
        <v>1800000</v>
      </c>
      <c r="AZ335" s="493"/>
      <c r="BA335" s="493"/>
      <c r="BC335" s="492">
        <v>331</v>
      </c>
      <c r="BD335" s="492">
        <v>28</v>
      </c>
      <c r="BE335" s="497">
        <f>IF(('Comparison Calculator'!$E$11-BD335)&gt;=0,0,IFERROR(-PPMT($BI$66/12,(BC335-60),($F$1-5)*12,$BI$65),0))</f>
        <v>0</v>
      </c>
      <c r="BF335" s="497">
        <f>IF(('Comparison Calculator'!$E$11-BD335)&gt;=0,$C$1*$BI$66/12,IFERROR(-IPMT($BI$66/12,(BC335-60),($F$1-5)*12,$BI$65,0),0))</f>
        <v>0</v>
      </c>
      <c r="BG335" s="497">
        <f t="shared" si="148"/>
        <v>0</v>
      </c>
      <c r="BH335" s="497">
        <f t="shared" si="135"/>
        <v>1800000</v>
      </c>
      <c r="BI335" s="493"/>
      <c r="BJ335" s="493"/>
      <c r="BK335" s="492">
        <v>331</v>
      </c>
      <c r="BL335" s="492">
        <v>28</v>
      </c>
      <c r="BM335" s="497">
        <f>IF(('Comparison Calculator'!$E$11-BL335)&gt;=0,0,IFERROR(-PPMT($BQ$66/12,(BK335-60),($F$1-5)*12,$BQ$65),0))</f>
        <v>0</v>
      </c>
      <c r="BN335" s="497">
        <f>IF(('Comparison Calculator'!$E$11-BL335)&gt;=0,$C$1*$BQ$66/12,IFERROR(-IPMT($BQ$66/12,(BK335-60),($F$1-5)*12,$BQ$65,0),0))</f>
        <v>0</v>
      </c>
      <c r="BO335" s="497">
        <f t="shared" si="149"/>
        <v>0</v>
      </c>
      <c r="BP335" s="497">
        <f t="shared" si="136"/>
        <v>1800000</v>
      </c>
      <c r="BQ335" s="493"/>
      <c r="BR335" s="493"/>
      <c r="BT335" s="492">
        <v>331</v>
      </c>
      <c r="BU335" s="492">
        <v>28</v>
      </c>
      <c r="BV335" s="497">
        <f>IF(('Comparison Calculator'!$E$11-BU335)&gt;=0,0,IFERROR(-PPMT($BZ$66/12,(BT335-60),($F$1-5)*12,$BZ$65),0))</f>
        <v>0</v>
      </c>
      <c r="BW335" s="497">
        <f>IF(('Comparison Calculator'!$E$11-BU335)&gt;=0,$C$1*$BZ$66/12,IFERROR(-IPMT($BZ$66/12,(BT335-60),($F$1-5)*12,$BZ$65,0),0))</f>
        <v>0</v>
      </c>
      <c r="BX335" s="497">
        <f t="shared" si="150"/>
        <v>0</v>
      </c>
      <c r="BY335" s="497">
        <f t="shared" si="137"/>
        <v>1800000</v>
      </c>
      <c r="BZ335" s="493"/>
      <c r="CA335" s="493"/>
      <c r="CC335" s="492">
        <v>331</v>
      </c>
      <c r="CD335" s="492">
        <v>28</v>
      </c>
      <c r="CE335" s="497">
        <f>IF(('Comparison Calculator'!$E$11-CD335)&gt;=0,0,IFERROR(-PPMT($CI$66/12,(CC335-60),($F$1-5)*12,$CI$65),0))</f>
        <v>0</v>
      </c>
      <c r="CF335" s="497">
        <f>IF(('Comparison Calculator'!$E$11-CD335)&gt;=0,$C$1*$CI$66/12,IFERROR(-IPMT($CI$66/12,(CC335-60),($F$1-5)*12,$CI$65,0),0))</f>
        <v>0</v>
      </c>
      <c r="CG335" s="497">
        <f t="shared" si="151"/>
        <v>0</v>
      </c>
      <c r="CH335" s="497">
        <f t="shared" si="138"/>
        <v>1800000</v>
      </c>
      <c r="CI335" s="493"/>
      <c r="CJ335" s="493"/>
      <c r="CL335" s="492">
        <v>331</v>
      </c>
      <c r="CM335" s="492">
        <v>28</v>
      </c>
      <c r="CN335" s="497">
        <f>IF(('Comparison Calculator'!$E$11-CM335)&gt;=0,0,IFERROR(-PPMT($CR$66/12,(CL335-60),($F$1-5)*12,$CR$65),0))</f>
        <v>0</v>
      </c>
      <c r="CO335" s="497">
        <f>IF(('Comparison Calculator'!$E$11-CM335)&gt;=0,$C$1*$CI$66/12,IFERROR(-IPMT($CI$66/12,(CL335-60),($F$1-5)*12,$CI$65,0),0))</f>
        <v>0</v>
      </c>
      <c r="CP335" s="497">
        <f t="shared" si="152"/>
        <v>0</v>
      </c>
      <c r="CQ335" s="497">
        <f t="shared" si="139"/>
        <v>1800000</v>
      </c>
      <c r="CR335" s="493"/>
      <c r="CS335" s="493"/>
      <c r="CU335" s="492">
        <v>331</v>
      </c>
      <c r="CV335" s="492">
        <v>28</v>
      </c>
      <c r="CW335" s="497">
        <f>IF(('Comparison Calculator'!$E$11-CV335)&gt;=0,0,IFERROR(-PPMT($DA$66/12,(CU335-60),($F$1-5)*12,$DA$65),0))</f>
        <v>0</v>
      </c>
      <c r="CX335" s="497">
        <f>IF(('Comparison Calculator'!$E$11-CV335)&gt;=0,$C$1*$DA$66/12,IFERROR(-IPMT($DA$66/12,(CU335-60),($F$1-5)*12,$DA$65,0),0))</f>
        <v>0</v>
      </c>
      <c r="CY335" s="497">
        <f t="shared" si="153"/>
        <v>0</v>
      </c>
      <c r="CZ335" s="497">
        <f t="shared" si="140"/>
        <v>1800000</v>
      </c>
      <c r="DA335" s="493"/>
      <c r="DB335" s="493"/>
      <c r="DD335" s="492">
        <v>331</v>
      </c>
      <c r="DE335" s="492">
        <v>28</v>
      </c>
      <c r="DF335" s="497">
        <f>IF(('Comparison Calculator'!$E$11-DE335)&gt;=0,0,IFERROR(-PPMT($DJ$66/12,(DD335-60),($F$1-5)*12,$DJ$65),0))</f>
        <v>0</v>
      </c>
      <c r="DG335" s="497">
        <f>IF(('Comparison Calculator'!$E$11-DE335)&gt;=0,$C$1*$DJ$66/12,IFERROR(-IPMT($DJ$66/12,(DD335-60),($F$1-5)*12,$DJ$65,0),0))</f>
        <v>0</v>
      </c>
      <c r="DH335" s="497">
        <f t="shared" si="154"/>
        <v>0</v>
      </c>
      <c r="DI335" s="497">
        <f t="shared" si="141"/>
        <v>1800000</v>
      </c>
      <c r="DJ335" s="493"/>
      <c r="DK335" s="493"/>
    </row>
    <row r="336" spans="1:115">
      <c r="A336" s="492">
        <v>332</v>
      </c>
      <c r="B336" s="492">
        <v>28</v>
      </c>
      <c r="C336" s="497">
        <f>IF(('Comparison Calculator'!$E$11-B336)&gt;=0,0,IFERROR(-PPMT($G$66/12,(A336-60),($F$1-5)*12,$G$65),0))</f>
        <v>0</v>
      </c>
      <c r="D336" s="497">
        <f>IF(('Comparison Calculator'!$E$11-B336)&gt;=0,$C$1*$G$66/12,IFERROR(-IPMT($G$66/12,(A336-60),($F$1-5)*12,$G$65,0),0))</f>
        <v>0</v>
      </c>
      <c r="E336" s="497">
        <f t="shared" si="142"/>
        <v>0</v>
      </c>
      <c r="F336" s="497">
        <f t="shared" si="155"/>
        <v>1800000</v>
      </c>
      <c r="G336" s="493"/>
      <c r="H336" s="493"/>
      <c r="I336" s="489"/>
      <c r="J336" s="492">
        <v>332</v>
      </c>
      <c r="K336" s="492">
        <v>28</v>
      </c>
      <c r="L336" s="497">
        <f>IF(('Comparison Calculator'!$E$11-K336)&gt;=0,0,IFERROR(-PPMT($P$66/12,(J336-60),($F$1-5)*12,$P$65),0))</f>
        <v>0</v>
      </c>
      <c r="M336" s="497">
        <f>IF(('Comparison Calculator'!$E$11-K336)&gt;=0,$C$1*$P$66/12,IFERROR(-IPMT($P$66/12,(J336-60),($F$1-5)*12,$P$65,0),0))</f>
        <v>0</v>
      </c>
      <c r="N336" s="497">
        <f t="shared" si="143"/>
        <v>0</v>
      </c>
      <c r="O336" s="497">
        <f t="shared" si="130"/>
        <v>1800000</v>
      </c>
      <c r="P336" s="493"/>
      <c r="Q336" s="493"/>
      <c r="S336" s="492">
        <v>332</v>
      </c>
      <c r="T336" s="492">
        <v>28</v>
      </c>
      <c r="U336" s="497">
        <f>IF(('Comparison Calculator'!$E$11-T336)&gt;=0,0,IFERROR(-PPMT($Y$66/12,(S336-60),($F$1-5)*12,$Y$65),0))</f>
        <v>0</v>
      </c>
      <c r="V336" s="497">
        <f>IF(('Comparison Calculator'!$E$11-T336)&gt;=0,$C$1*$Y$66/12,IFERROR(-IPMT($Y$66/12,(S336-60),($F$1-5)*12,$Y$65,0),0))</f>
        <v>0</v>
      </c>
      <c r="W336" s="497">
        <f t="shared" si="144"/>
        <v>0</v>
      </c>
      <c r="X336" s="497">
        <f t="shared" si="131"/>
        <v>1800000</v>
      </c>
      <c r="Y336" s="493"/>
      <c r="Z336" s="493"/>
      <c r="AB336" s="492">
        <v>332</v>
      </c>
      <c r="AC336" s="492">
        <v>28</v>
      </c>
      <c r="AD336" s="497">
        <f>IF(('Comparison Calculator'!$E$11-AC336)&gt;=0,0,IFERROR(-PPMT($AH$66/12,(AB336-60),($F$1-5)*12,$AH$65),0))</f>
        <v>0</v>
      </c>
      <c r="AE336" s="497">
        <f>IF(('Comparison Calculator'!$E$11-AC336)&gt;=0,$C$1*$AH$66/12,IFERROR(-IPMT($AH$66/12,(AB336-60),($F$1-5)*12,$AH$65,0),0))</f>
        <v>0</v>
      </c>
      <c r="AF336" s="497">
        <f t="shared" si="145"/>
        <v>0</v>
      </c>
      <c r="AG336" s="497">
        <f t="shared" si="132"/>
        <v>1800000</v>
      </c>
      <c r="AH336" s="493"/>
      <c r="AI336" s="493"/>
      <c r="AK336" s="492">
        <v>332</v>
      </c>
      <c r="AL336" s="492">
        <v>28</v>
      </c>
      <c r="AM336" s="497">
        <f>IF(('Comparison Calculator'!$E$11-AL336)&gt;=0,0,IFERROR(-PPMT($AQ$66/12,(AK336-60),($F$1-5)*12,$AQ$65),0))</f>
        <v>0</v>
      </c>
      <c r="AN336" s="497">
        <f>IF(('Comparison Calculator'!$E$11-AL336)&gt;=0,$C$1*$AQ$66/12,IFERROR(-IPMT($AQ$66/12,(AK336-60),($F$1-5)*12,$AQ$65,0),0))</f>
        <v>0</v>
      </c>
      <c r="AO336" s="497">
        <f t="shared" si="146"/>
        <v>0</v>
      </c>
      <c r="AP336" s="497">
        <f t="shared" si="133"/>
        <v>1800000</v>
      </c>
      <c r="AQ336" s="493"/>
      <c r="AR336" s="493"/>
      <c r="AT336" s="492">
        <v>332</v>
      </c>
      <c r="AU336" s="492">
        <v>28</v>
      </c>
      <c r="AV336" s="497">
        <f>IF(('Comparison Calculator'!$E$11-AU336)&gt;=0,0,IFERROR(-PPMT($AZ$66/12,(AT336-60),($F$1-5)*12,$AZ$65),0))</f>
        <v>0</v>
      </c>
      <c r="AW336" s="497">
        <f>IF(('Comparison Calculator'!$E$11-AU336)&gt;=0,$C$1*$AZ$66/12,IFERROR(-IPMT($AZ$66/12,(AT336-60),($F$1-5)*12,$AZ$65,0),0))</f>
        <v>0</v>
      </c>
      <c r="AX336" s="497">
        <f t="shared" si="147"/>
        <v>0</v>
      </c>
      <c r="AY336" s="497">
        <f t="shared" si="134"/>
        <v>1800000</v>
      </c>
      <c r="AZ336" s="493"/>
      <c r="BA336" s="493"/>
      <c r="BC336" s="492">
        <v>332</v>
      </c>
      <c r="BD336" s="492">
        <v>28</v>
      </c>
      <c r="BE336" s="497">
        <f>IF(('Comparison Calculator'!$E$11-BD336)&gt;=0,0,IFERROR(-PPMT($BI$66/12,(BC336-60),($F$1-5)*12,$BI$65),0))</f>
        <v>0</v>
      </c>
      <c r="BF336" s="497">
        <f>IF(('Comparison Calculator'!$E$11-BD336)&gt;=0,$C$1*$BI$66/12,IFERROR(-IPMT($BI$66/12,(BC336-60),($F$1-5)*12,$BI$65,0),0))</f>
        <v>0</v>
      </c>
      <c r="BG336" s="497">
        <f t="shared" si="148"/>
        <v>0</v>
      </c>
      <c r="BH336" s="497">
        <f t="shared" si="135"/>
        <v>1800000</v>
      </c>
      <c r="BI336" s="493"/>
      <c r="BJ336" s="493"/>
      <c r="BK336" s="492">
        <v>332</v>
      </c>
      <c r="BL336" s="492">
        <v>28</v>
      </c>
      <c r="BM336" s="497">
        <f>IF(('Comparison Calculator'!$E$11-BL336)&gt;=0,0,IFERROR(-PPMT($BQ$66/12,(BK336-60),($F$1-5)*12,$BQ$65),0))</f>
        <v>0</v>
      </c>
      <c r="BN336" s="497">
        <f>IF(('Comparison Calculator'!$E$11-BL336)&gt;=0,$C$1*$BQ$66/12,IFERROR(-IPMT($BQ$66/12,(BK336-60),($F$1-5)*12,$BQ$65,0),0))</f>
        <v>0</v>
      </c>
      <c r="BO336" s="497">
        <f t="shared" si="149"/>
        <v>0</v>
      </c>
      <c r="BP336" s="497">
        <f t="shared" si="136"/>
        <v>1800000</v>
      </c>
      <c r="BQ336" s="493"/>
      <c r="BR336" s="493"/>
      <c r="BT336" s="492">
        <v>332</v>
      </c>
      <c r="BU336" s="492">
        <v>28</v>
      </c>
      <c r="BV336" s="497">
        <f>IF(('Comparison Calculator'!$E$11-BU336)&gt;=0,0,IFERROR(-PPMT($BZ$66/12,(BT336-60),($F$1-5)*12,$BZ$65),0))</f>
        <v>0</v>
      </c>
      <c r="BW336" s="497">
        <f>IF(('Comparison Calculator'!$E$11-BU336)&gt;=0,$C$1*$BZ$66/12,IFERROR(-IPMT($BZ$66/12,(BT336-60),($F$1-5)*12,$BZ$65,0),0))</f>
        <v>0</v>
      </c>
      <c r="BX336" s="497">
        <f t="shared" si="150"/>
        <v>0</v>
      </c>
      <c r="BY336" s="497">
        <f t="shared" si="137"/>
        <v>1800000</v>
      </c>
      <c r="BZ336" s="493"/>
      <c r="CA336" s="493"/>
      <c r="CC336" s="492">
        <v>332</v>
      </c>
      <c r="CD336" s="492">
        <v>28</v>
      </c>
      <c r="CE336" s="497">
        <f>IF(('Comparison Calculator'!$E$11-CD336)&gt;=0,0,IFERROR(-PPMT($CI$66/12,(CC336-60),($F$1-5)*12,$CI$65),0))</f>
        <v>0</v>
      </c>
      <c r="CF336" s="497">
        <f>IF(('Comparison Calculator'!$E$11-CD336)&gt;=0,$C$1*$CI$66/12,IFERROR(-IPMT($CI$66/12,(CC336-60),($F$1-5)*12,$CI$65,0),0))</f>
        <v>0</v>
      </c>
      <c r="CG336" s="497">
        <f t="shared" si="151"/>
        <v>0</v>
      </c>
      <c r="CH336" s="497">
        <f t="shared" si="138"/>
        <v>1800000</v>
      </c>
      <c r="CI336" s="493"/>
      <c r="CJ336" s="493"/>
      <c r="CL336" s="492">
        <v>332</v>
      </c>
      <c r="CM336" s="492">
        <v>28</v>
      </c>
      <c r="CN336" s="497">
        <f>IF(('Comparison Calculator'!$E$11-CM336)&gt;=0,0,IFERROR(-PPMT($CR$66/12,(CL336-60),($F$1-5)*12,$CR$65),0))</f>
        <v>0</v>
      </c>
      <c r="CO336" s="497">
        <f>IF(('Comparison Calculator'!$E$11-CM336)&gt;=0,$C$1*$CI$66/12,IFERROR(-IPMT($CI$66/12,(CL336-60),($F$1-5)*12,$CI$65,0),0))</f>
        <v>0</v>
      </c>
      <c r="CP336" s="497">
        <f t="shared" si="152"/>
        <v>0</v>
      </c>
      <c r="CQ336" s="497">
        <f t="shared" si="139"/>
        <v>1800000</v>
      </c>
      <c r="CR336" s="493"/>
      <c r="CS336" s="493"/>
      <c r="CU336" s="492">
        <v>332</v>
      </c>
      <c r="CV336" s="492">
        <v>28</v>
      </c>
      <c r="CW336" s="497">
        <f>IF(('Comparison Calculator'!$E$11-CV336)&gt;=0,0,IFERROR(-PPMT($DA$66/12,(CU336-60),($F$1-5)*12,$DA$65),0))</f>
        <v>0</v>
      </c>
      <c r="CX336" s="497">
        <f>IF(('Comparison Calculator'!$E$11-CV336)&gt;=0,$C$1*$DA$66/12,IFERROR(-IPMT($DA$66/12,(CU336-60),($F$1-5)*12,$DA$65,0),0))</f>
        <v>0</v>
      </c>
      <c r="CY336" s="497">
        <f t="shared" si="153"/>
        <v>0</v>
      </c>
      <c r="CZ336" s="497">
        <f t="shared" si="140"/>
        <v>1800000</v>
      </c>
      <c r="DA336" s="493"/>
      <c r="DB336" s="493"/>
      <c r="DD336" s="492">
        <v>332</v>
      </c>
      <c r="DE336" s="492">
        <v>28</v>
      </c>
      <c r="DF336" s="497">
        <f>IF(('Comparison Calculator'!$E$11-DE336)&gt;=0,0,IFERROR(-PPMT($DJ$66/12,(DD336-60),($F$1-5)*12,$DJ$65),0))</f>
        <v>0</v>
      </c>
      <c r="DG336" s="497">
        <f>IF(('Comparison Calculator'!$E$11-DE336)&gt;=0,$C$1*$DJ$66/12,IFERROR(-IPMT($DJ$66/12,(DD336-60),($F$1-5)*12,$DJ$65,0),0))</f>
        <v>0</v>
      </c>
      <c r="DH336" s="497">
        <f t="shared" si="154"/>
        <v>0</v>
      </c>
      <c r="DI336" s="497">
        <f t="shared" si="141"/>
        <v>1800000</v>
      </c>
      <c r="DJ336" s="493"/>
      <c r="DK336" s="493"/>
    </row>
    <row r="337" spans="1:115">
      <c r="A337" s="492">
        <v>333</v>
      </c>
      <c r="B337" s="492">
        <v>28</v>
      </c>
      <c r="C337" s="497">
        <f>IF(('Comparison Calculator'!$E$11-B337)&gt;=0,0,IFERROR(-PPMT($G$66/12,(A337-60),($F$1-5)*12,$G$65),0))</f>
        <v>0</v>
      </c>
      <c r="D337" s="497">
        <f>IF(('Comparison Calculator'!$E$11-B337)&gt;=0,$C$1*$G$66/12,IFERROR(-IPMT($G$66/12,(A337-60),($F$1-5)*12,$G$65,0),0))</f>
        <v>0</v>
      </c>
      <c r="E337" s="497">
        <f t="shared" si="142"/>
        <v>0</v>
      </c>
      <c r="F337" s="497">
        <f t="shared" si="155"/>
        <v>1800000</v>
      </c>
      <c r="G337" s="493"/>
      <c r="H337" s="493"/>
      <c r="I337" s="489"/>
      <c r="J337" s="492">
        <v>333</v>
      </c>
      <c r="K337" s="492">
        <v>28</v>
      </c>
      <c r="L337" s="497">
        <f>IF(('Comparison Calculator'!$E$11-K337)&gt;=0,0,IFERROR(-PPMT($P$66/12,(J337-60),($F$1-5)*12,$P$65),0))</f>
        <v>0</v>
      </c>
      <c r="M337" s="497">
        <f>IF(('Comparison Calculator'!$E$11-K337)&gt;=0,$C$1*$P$66/12,IFERROR(-IPMT($P$66/12,(J337-60),($F$1-5)*12,$P$65,0),0))</f>
        <v>0</v>
      </c>
      <c r="N337" s="497">
        <f t="shared" si="143"/>
        <v>0</v>
      </c>
      <c r="O337" s="497">
        <f t="shared" si="130"/>
        <v>1800000</v>
      </c>
      <c r="P337" s="493"/>
      <c r="Q337" s="493"/>
      <c r="S337" s="492">
        <v>333</v>
      </c>
      <c r="T337" s="492">
        <v>28</v>
      </c>
      <c r="U337" s="497">
        <f>IF(('Comparison Calculator'!$E$11-T337)&gt;=0,0,IFERROR(-PPMT($Y$66/12,(S337-60),($F$1-5)*12,$Y$65),0))</f>
        <v>0</v>
      </c>
      <c r="V337" s="497">
        <f>IF(('Comparison Calculator'!$E$11-T337)&gt;=0,$C$1*$Y$66/12,IFERROR(-IPMT($Y$66/12,(S337-60),($F$1-5)*12,$Y$65,0),0))</f>
        <v>0</v>
      </c>
      <c r="W337" s="497">
        <f t="shared" si="144"/>
        <v>0</v>
      </c>
      <c r="X337" s="497">
        <f t="shared" si="131"/>
        <v>1800000</v>
      </c>
      <c r="Y337" s="493"/>
      <c r="Z337" s="493"/>
      <c r="AB337" s="492">
        <v>333</v>
      </c>
      <c r="AC337" s="492">
        <v>28</v>
      </c>
      <c r="AD337" s="497">
        <f>IF(('Comparison Calculator'!$E$11-AC337)&gt;=0,0,IFERROR(-PPMT($AH$66/12,(AB337-60),($F$1-5)*12,$AH$65),0))</f>
        <v>0</v>
      </c>
      <c r="AE337" s="497">
        <f>IF(('Comparison Calculator'!$E$11-AC337)&gt;=0,$C$1*$AH$66/12,IFERROR(-IPMT($AH$66/12,(AB337-60),($F$1-5)*12,$AH$65,0),0))</f>
        <v>0</v>
      </c>
      <c r="AF337" s="497">
        <f t="shared" si="145"/>
        <v>0</v>
      </c>
      <c r="AG337" s="497">
        <f t="shared" si="132"/>
        <v>1800000</v>
      </c>
      <c r="AH337" s="493"/>
      <c r="AI337" s="493"/>
      <c r="AK337" s="492">
        <v>333</v>
      </c>
      <c r="AL337" s="492">
        <v>28</v>
      </c>
      <c r="AM337" s="497">
        <f>IF(('Comparison Calculator'!$E$11-AL337)&gt;=0,0,IFERROR(-PPMT($AQ$66/12,(AK337-60),($F$1-5)*12,$AQ$65),0))</f>
        <v>0</v>
      </c>
      <c r="AN337" s="497">
        <f>IF(('Comparison Calculator'!$E$11-AL337)&gt;=0,$C$1*$AQ$66/12,IFERROR(-IPMT($AQ$66/12,(AK337-60),($F$1-5)*12,$AQ$65,0),0))</f>
        <v>0</v>
      </c>
      <c r="AO337" s="497">
        <f t="shared" si="146"/>
        <v>0</v>
      </c>
      <c r="AP337" s="497">
        <f t="shared" si="133"/>
        <v>1800000</v>
      </c>
      <c r="AQ337" s="493"/>
      <c r="AR337" s="493"/>
      <c r="AT337" s="492">
        <v>333</v>
      </c>
      <c r="AU337" s="492">
        <v>28</v>
      </c>
      <c r="AV337" s="497">
        <f>IF(('Comparison Calculator'!$E$11-AU337)&gt;=0,0,IFERROR(-PPMT($AZ$66/12,(AT337-60),($F$1-5)*12,$AZ$65),0))</f>
        <v>0</v>
      </c>
      <c r="AW337" s="497">
        <f>IF(('Comparison Calculator'!$E$11-AU337)&gt;=0,$C$1*$AZ$66/12,IFERROR(-IPMT($AZ$66/12,(AT337-60),($F$1-5)*12,$AZ$65,0),0))</f>
        <v>0</v>
      </c>
      <c r="AX337" s="497">
        <f t="shared" si="147"/>
        <v>0</v>
      </c>
      <c r="AY337" s="497">
        <f t="shared" si="134"/>
        <v>1800000</v>
      </c>
      <c r="AZ337" s="493"/>
      <c r="BA337" s="493"/>
      <c r="BC337" s="492">
        <v>333</v>
      </c>
      <c r="BD337" s="492">
        <v>28</v>
      </c>
      <c r="BE337" s="497">
        <f>IF(('Comparison Calculator'!$E$11-BD337)&gt;=0,0,IFERROR(-PPMT($BI$66/12,(BC337-60),($F$1-5)*12,$BI$65),0))</f>
        <v>0</v>
      </c>
      <c r="BF337" s="497">
        <f>IF(('Comparison Calculator'!$E$11-BD337)&gt;=0,$C$1*$BI$66/12,IFERROR(-IPMT($BI$66/12,(BC337-60),($F$1-5)*12,$BI$65,0),0))</f>
        <v>0</v>
      </c>
      <c r="BG337" s="497">
        <f t="shared" si="148"/>
        <v>0</v>
      </c>
      <c r="BH337" s="497">
        <f t="shared" si="135"/>
        <v>1800000</v>
      </c>
      <c r="BI337" s="493"/>
      <c r="BJ337" s="493"/>
      <c r="BK337" s="492">
        <v>333</v>
      </c>
      <c r="BL337" s="492">
        <v>28</v>
      </c>
      <c r="BM337" s="497">
        <f>IF(('Comparison Calculator'!$E$11-BL337)&gt;=0,0,IFERROR(-PPMT($BQ$66/12,(BK337-60),($F$1-5)*12,$BQ$65),0))</f>
        <v>0</v>
      </c>
      <c r="BN337" s="497">
        <f>IF(('Comparison Calculator'!$E$11-BL337)&gt;=0,$C$1*$BQ$66/12,IFERROR(-IPMT($BQ$66/12,(BK337-60),($F$1-5)*12,$BQ$65,0),0))</f>
        <v>0</v>
      </c>
      <c r="BO337" s="497">
        <f t="shared" si="149"/>
        <v>0</v>
      </c>
      <c r="BP337" s="497">
        <f t="shared" si="136"/>
        <v>1800000</v>
      </c>
      <c r="BQ337" s="493"/>
      <c r="BR337" s="493"/>
      <c r="BT337" s="492">
        <v>333</v>
      </c>
      <c r="BU337" s="492">
        <v>28</v>
      </c>
      <c r="BV337" s="497">
        <f>IF(('Comparison Calculator'!$E$11-BU337)&gt;=0,0,IFERROR(-PPMT($BZ$66/12,(BT337-60),($F$1-5)*12,$BZ$65),0))</f>
        <v>0</v>
      </c>
      <c r="BW337" s="497">
        <f>IF(('Comparison Calculator'!$E$11-BU337)&gt;=0,$C$1*$BZ$66/12,IFERROR(-IPMT($BZ$66/12,(BT337-60),($F$1-5)*12,$BZ$65,0),0))</f>
        <v>0</v>
      </c>
      <c r="BX337" s="497">
        <f t="shared" si="150"/>
        <v>0</v>
      </c>
      <c r="BY337" s="497">
        <f t="shared" si="137"/>
        <v>1800000</v>
      </c>
      <c r="BZ337" s="493"/>
      <c r="CA337" s="493"/>
      <c r="CC337" s="492">
        <v>333</v>
      </c>
      <c r="CD337" s="492">
        <v>28</v>
      </c>
      <c r="CE337" s="497">
        <f>IF(('Comparison Calculator'!$E$11-CD337)&gt;=0,0,IFERROR(-PPMT($CI$66/12,(CC337-60),($F$1-5)*12,$CI$65),0))</f>
        <v>0</v>
      </c>
      <c r="CF337" s="497">
        <f>IF(('Comparison Calculator'!$E$11-CD337)&gt;=0,$C$1*$CI$66/12,IFERROR(-IPMT($CI$66/12,(CC337-60),($F$1-5)*12,$CI$65,0),0))</f>
        <v>0</v>
      </c>
      <c r="CG337" s="497">
        <f t="shared" si="151"/>
        <v>0</v>
      </c>
      <c r="CH337" s="497">
        <f t="shared" si="138"/>
        <v>1800000</v>
      </c>
      <c r="CI337" s="493"/>
      <c r="CJ337" s="493"/>
      <c r="CL337" s="492">
        <v>333</v>
      </c>
      <c r="CM337" s="492">
        <v>28</v>
      </c>
      <c r="CN337" s="497">
        <f>IF(('Comparison Calculator'!$E$11-CM337)&gt;=0,0,IFERROR(-PPMT($CR$66/12,(CL337-60),($F$1-5)*12,$CR$65),0))</f>
        <v>0</v>
      </c>
      <c r="CO337" s="497">
        <f>IF(('Comparison Calculator'!$E$11-CM337)&gt;=0,$C$1*$CI$66/12,IFERROR(-IPMT($CI$66/12,(CL337-60),($F$1-5)*12,$CI$65,0),0))</f>
        <v>0</v>
      </c>
      <c r="CP337" s="497">
        <f t="shared" si="152"/>
        <v>0</v>
      </c>
      <c r="CQ337" s="497">
        <f t="shared" si="139"/>
        <v>1800000</v>
      </c>
      <c r="CR337" s="493"/>
      <c r="CS337" s="493"/>
      <c r="CU337" s="492">
        <v>333</v>
      </c>
      <c r="CV337" s="492">
        <v>28</v>
      </c>
      <c r="CW337" s="497">
        <f>IF(('Comparison Calculator'!$E$11-CV337)&gt;=0,0,IFERROR(-PPMT($DA$66/12,(CU337-60),($F$1-5)*12,$DA$65),0))</f>
        <v>0</v>
      </c>
      <c r="CX337" s="497">
        <f>IF(('Comparison Calculator'!$E$11-CV337)&gt;=0,$C$1*$DA$66/12,IFERROR(-IPMT($DA$66/12,(CU337-60),($F$1-5)*12,$DA$65,0),0))</f>
        <v>0</v>
      </c>
      <c r="CY337" s="497">
        <f t="shared" si="153"/>
        <v>0</v>
      </c>
      <c r="CZ337" s="497">
        <f t="shared" si="140"/>
        <v>1800000</v>
      </c>
      <c r="DA337" s="493"/>
      <c r="DB337" s="493"/>
      <c r="DD337" s="492">
        <v>333</v>
      </c>
      <c r="DE337" s="492">
        <v>28</v>
      </c>
      <c r="DF337" s="497">
        <f>IF(('Comparison Calculator'!$E$11-DE337)&gt;=0,0,IFERROR(-PPMT($DJ$66/12,(DD337-60),($F$1-5)*12,$DJ$65),0))</f>
        <v>0</v>
      </c>
      <c r="DG337" s="497">
        <f>IF(('Comparison Calculator'!$E$11-DE337)&gt;=0,$C$1*$DJ$66/12,IFERROR(-IPMT($DJ$66/12,(DD337-60),($F$1-5)*12,$DJ$65,0),0))</f>
        <v>0</v>
      </c>
      <c r="DH337" s="497">
        <f t="shared" si="154"/>
        <v>0</v>
      </c>
      <c r="DI337" s="497">
        <f t="shared" si="141"/>
        <v>1800000</v>
      </c>
      <c r="DJ337" s="493"/>
      <c r="DK337" s="493"/>
    </row>
    <row r="338" spans="1:115">
      <c r="A338" s="492">
        <v>334</v>
      </c>
      <c r="B338" s="492">
        <v>28</v>
      </c>
      <c r="C338" s="497">
        <f>IF(('Comparison Calculator'!$E$11-B338)&gt;=0,0,IFERROR(-PPMT($G$66/12,(A338-60),($F$1-5)*12,$G$65),0))</f>
        <v>0</v>
      </c>
      <c r="D338" s="497">
        <f>IF(('Comparison Calculator'!$E$11-B338)&gt;=0,$C$1*$G$66/12,IFERROR(-IPMT($G$66/12,(A338-60),($F$1-5)*12,$G$65,0),0))</f>
        <v>0</v>
      </c>
      <c r="E338" s="497">
        <f t="shared" si="142"/>
        <v>0</v>
      </c>
      <c r="F338" s="497">
        <f t="shared" si="155"/>
        <v>1800000</v>
      </c>
      <c r="G338" s="493"/>
      <c r="H338" s="493"/>
      <c r="I338" s="489"/>
      <c r="J338" s="492">
        <v>334</v>
      </c>
      <c r="K338" s="492">
        <v>28</v>
      </c>
      <c r="L338" s="497">
        <f>IF(('Comparison Calculator'!$E$11-K338)&gt;=0,0,IFERROR(-PPMT($P$66/12,(J338-60),($F$1-5)*12,$P$65),0))</f>
        <v>0</v>
      </c>
      <c r="M338" s="497">
        <f>IF(('Comparison Calculator'!$E$11-K338)&gt;=0,$C$1*$P$66/12,IFERROR(-IPMT($P$66/12,(J338-60),($F$1-5)*12,$P$65,0),0))</f>
        <v>0</v>
      </c>
      <c r="N338" s="497">
        <f t="shared" si="143"/>
        <v>0</v>
      </c>
      <c r="O338" s="497">
        <f t="shared" si="130"/>
        <v>1800000</v>
      </c>
      <c r="P338" s="493"/>
      <c r="Q338" s="493"/>
      <c r="S338" s="492">
        <v>334</v>
      </c>
      <c r="T338" s="492">
        <v>28</v>
      </c>
      <c r="U338" s="497">
        <f>IF(('Comparison Calculator'!$E$11-T338)&gt;=0,0,IFERROR(-PPMT($Y$66/12,(S338-60),($F$1-5)*12,$Y$65),0))</f>
        <v>0</v>
      </c>
      <c r="V338" s="497">
        <f>IF(('Comparison Calculator'!$E$11-T338)&gt;=0,$C$1*$Y$66/12,IFERROR(-IPMT($Y$66/12,(S338-60),($F$1-5)*12,$Y$65,0),0))</f>
        <v>0</v>
      </c>
      <c r="W338" s="497">
        <f t="shared" si="144"/>
        <v>0</v>
      </c>
      <c r="X338" s="497">
        <f t="shared" si="131"/>
        <v>1800000</v>
      </c>
      <c r="Y338" s="493"/>
      <c r="Z338" s="493"/>
      <c r="AB338" s="492">
        <v>334</v>
      </c>
      <c r="AC338" s="492">
        <v>28</v>
      </c>
      <c r="AD338" s="497">
        <f>IF(('Comparison Calculator'!$E$11-AC338)&gt;=0,0,IFERROR(-PPMT($AH$66/12,(AB338-60),($F$1-5)*12,$AH$65),0))</f>
        <v>0</v>
      </c>
      <c r="AE338" s="497">
        <f>IF(('Comparison Calculator'!$E$11-AC338)&gt;=0,$C$1*$AH$66/12,IFERROR(-IPMT($AH$66/12,(AB338-60),($F$1-5)*12,$AH$65,0),0))</f>
        <v>0</v>
      </c>
      <c r="AF338" s="497">
        <f t="shared" si="145"/>
        <v>0</v>
      </c>
      <c r="AG338" s="497">
        <f t="shared" si="132"/>
        <v>1800000</v>
      </c>
      <c r="AH338" s="493"/>
      <c r="AI338" s="493"/>
      <c r="AK338" s="492">
        <v>334</v>
      </c>
      <c r="AL338" s="492">
        <v>28</v>
      </c>
      <c r="AM338" s="497">
        <f>IF(('Comparison Calculator'!$E$11-AL338)&gt;=0,0,IFERROR(-PPMT($AQ$66/12,(AK338-60),($F$1-5)*12,$AQ$65),0))</f>
        <v>0</v>
      </c>
      <c r="AN338" s="497">
        <f>IF(('Comparison Calculator'!$E$11-AL338)&gt;=0,$C$1*$AQ$66/12,IFERROR(-IPMT($AQ$66/12,(AK338-60),($F$1-5)*12,$AQ$65,0),0))</f>
        <v>0</v>
      </c>
      <c r="AO338" s="497">
        <f t="shared" si="146"/>
        <v>0</v>
      </c>
      <c r="AP338" s="497">
        <f t="shared" si="133"/>
        <v>1800000</v>
      </c>
      <c r="AQ338" s="493"/>
      <c r="AR338" s="493"/>
      <c r="AT338" s="492">
        <v>334</v>
      </c>
      <c r="AU338" s="492">
        <v>28</v>
      </c>
      <c r="AV338" s="497">
        <f>IF(('Comparison Calculator'!$E$11-AU338)&gt;=0,0,IFERROR(-PPMT($AZ$66/12,(AT338-60),($F$1-5)*12,$AZ$65),0))</f>
        <v>0</v>
      </c>
      <c r="AW338" s="497">
        <f>IF(('Comparison Calculator'!$E$11-AU338)&gt;=0,$C$1*$AZ$66/12,IFERROR(-IPMT($AZ$66/12,(AT338-60),($F$1-5)*12,$AZ$65,0),0))</f>
        <v>0</v>
      </c>
      <c r="AX338" s="497">
        <f t="shared" si="147"/>
        <v>0</v>
      </c>
      <c r="AY338" s="497">
        <f t="shared" si="134"/>
        <v>1800000</v>
      </c>
      <c r="AZ338" s="493"/>
      <c r="BA338" s="493"/>
      <c r="BC338" s="492">
        <v>334</v>
      </c>
      <c r="BD338" s="492">
        <v>28</v>
      </c>
      <c r="BE338" s="497">
        <f>IF(('Comparison Calculator'!$E$11-BD338)&gt;=0,0,IFERROR(-PPMT($BI$66/12,(BC338-60),($F$1-5)*12,$BI$65),0))</f>
        <v>0</v>
      </c>
      <c r="BF338" s="497">
        <f>IF(('Comparison Calculator'!$E$11-BD338)&gt;=0,$C$1*$BI$66/12,IFERROR(-IPMT($BI$66/12,(BC338-60),($F$1-5)*12,$BI$65,0),0))</f>
        <v>0</v>
      </c>
      <c r="BG338" s="497">
        <f t="shared" si="148"/>
        <v>0</v>
      </c>
      <c r="BH338" s="497">
        <f t="shared" si="135"/>
        <v>1800000</v>
      </c>
      <c r="BI338" s="493"/>
      <c r="BJ338" s="493"/>
      <c r="BK338" s="492">
        <v>334</v>
      </c>
      <c r="BL338" s="492">
        <v>28</v>
      </c>
      <c r="BM338" s="497">
        <f>IF(('Comparison Calculator'!$E$11-BL338)&gt;=0,0,IFERROR(-PPMT($BQ$66/12,(BK338-60),($F$1-5)*12,$BQ$65),0))</f>
        <v>0</v>
      </c>
      <c r="BN338" s="497">
        <f>IF(('Comparison Calculator'!$E$11-BL338)&gt;=0,$C$1*$BQ$66/12,IFERROR(-IPMT($BQ$66/12,(BK338-60),($F$1-5)*12,$BQ$65,0),0))</f>
        <v>0</v>
      </c>
      <c r="BO338" s="497">
        <f t="shared" si="149"/>
        <v>0</v>
      </c>
      <c r="BP338" s="497">
        <f t="shared" si="136"/>
        <v>1800000</v>
      </c>
      <c r="BQ338" s="493"/>
      <c r="BR338" s="493"/>
      <c r="BT338" s="492">
        <v>334</v>
      </c>
      <c r="BU338" s="492">
        <v>28</v>
      </c>
      <c r="BV338" s="497">
        <f>IF(('Comparison Calculator'!$E$11-BU338)&gt;=0,0,IFERROR(-PPMT($BZ$66/12,(BT338-60),($F$1-5)*12,$BZ$65),0))</f>
        <v>0</v>
      </c>
      <c r="BW338" s="497">
        <f>IF(('Comparison Calculator'!$E$11-BU338)&gt;=0,$C$1*$BZ$66/12,IFERROR(-IPMT($BZ$66/12,(BT338-60),($F$1-5)*12,$BZ$65,0),0))</f>
        <v>0</v>
      </c>
      <c r="BX338" s="497">
        <f t="shared" si="150"/>
        <v>0</v>
      </c>
      <c r="BY338" s="497">
        <f t="shared" si="137"/>
        <v>1800000</v>
      </c>
      <c r="BZ338" s="493"/>
      <c r="CA338" s="493"/>
      <c r="CC338" s="492">
        <v>334</v>
      </c>
      <c r="CD338" s="492">
        <v>28</v>
      </c>
      <c r="CE338" s="497">
        <f>IF(('Comparison Calculator'!$E$11-CD338)&gt;=0,0,IFERROR(-PPMT($CI$66/12,(CC338-60),($F$1-5)*12,$CI$65),0))</f>
        <v>0</v>
      </c>
      <c r="CF338" s="497">
        <f>IF(('Comparison Calculator'!$E$11-CD338)&gt;=0,$C$1*$CI$66/12,IFERROR(-IPMT($CI$66/12,(CC338-60),($F$1-5)*12,$CI$65,0),0))</f>
        <v>0</v>
      </c>
      <c r="CG338" s="497">
        <f t="shared" si="151"/>
        <v>0</v>
      </c>
      <c r="CH338" s="497">
        <f t="shared" si="138"/>
        <v>1800000</v>
      </c>
      <c r="CI338" s="493"/>
      <c r="CJ338" s="493"/>
      <c r="CL338" s="492">
        <v>334</v>
      </c>
      <c r="CM338" s="492">
        <v>28</v>
      </c>
      <c r="CN338" s="497">
        <f>IF(('Comparison Calculator'!$E$11-CM338)&gt;=0,0,IFERROR(-PPMT($CR$66/12,(CL338-60),($F$1-5)*12,$CR$65),0))</f>
        <v>0</v>
      </c>
      <c r="CO338" s="497">
        <f>IF(('Comparison Calculator'!$E$11-CM338)&gt;=0,$C$1*$CI$66/12,IFERROR(-IPMT($CI$66/12,(CL338-60),($F$1-5)*12,$CI$65,0),0))</f>
        <v>0</v>
      </c>
      <c r="CP338" s="497">
        <f t="shared" si="152"/>
        <v>0</v>
      </c>
      <c r="CQ338" s="497">
        <f t="shared" si="139"/>
        <v>1800000</v>
      </c>
      <c r="CR338" s="493"/>
      <c r="CS338" s="493"/>
      <c r="CU338" s="492">
        <v>334</v>
      </c>
      <c r="CV338" s="492">
        <v>28</v>
      </c>
      <c r="CW338" s="497">
        <f>IF(('Comparison Calculator'!$E$11-CV338)&gt;=0,0,IFERROR(-PPMT($DA$66/12,(CU338-60),($F$1-5)*12,$DA$65),0))</f>
        <v>0</v>
      </c>
      <c r="CX338" s="497">
        <f>IF(('Comparison Calculator'!$E$11-CV338)&gt;=0,$C$1*$DA$66/12,IFERROR(-IPMT($DA$66/12,(CU338-60),($F$1-5)*12,$DA$65,0),0))</f>
        <v>0</v>
      </c>
      <c r="CY338" s="497">
        <f t="shared" si="153"/>
        <v>0</v>
      </c>
      <c r="CZ338" s="497">
        <f t="shared" si="140"/>
        <v>1800000</v>
      </c>
      <c r="DA338" s="493"/>
      <c r="DB338" s="493"/>
      <c r="DD338" s="492">
        <v>334</v>
      </c>
      <c r="DE338" s="492">
        <v>28</v>
      </c>
      <c r="DF338" s="497">
        <f>IF(('Comparison Calculator'!$E$11-DE338)&gt;=0,0,IFERROR(-PPMT($DJ$66/12,(DD338-60),($F$1-5)*12,$DJ$65),0))</f>
        <v>0</v>
      </c>
      <c r="DG338" s="497">
        <f>IF(('Comparison Calculator'!$E$11-DE338)&gt;=0,$C$1*$DJ$66/12,IFERROR(-IPMT($DJ$66/12,(DD338-60),($F$1-5)*12,$DJ$65,0),0))</f>
        <v>0</v>
      </c>
      <c r="DH338" s="497">
        <f t="shared" si="154"/>
        <v>0</v>
      </c>
      <c r="DI338" s="497">
        <f t="shared" si="141"/>
        <v>1800000</v>
      </c>
      <c r="DJ338" s="493"/>
      <c r="DK338" s="493"/>
    </row>
    <row r="339" spans="1:115">
      <c r="A339" s="492">
        <v>335</v>
      </c>
      <c r="B339" s="492">
        <v>28</v>
      </c>
      <c r="C339" s="497">
        <f>IF(('Comparison Calculator'!$E$11-B339)&gt;=0,0,IFERROR(-PPMT($G$66/12,(A339-60),($F$1-5)*12,$G$65),0))</f>
        <v>0</v>
      </c>
      <c r="D339" s="497">
        <f>IF(('Comparison Calculator'!$E$11-B339)&gt;=0,$C$1*$G$66/12,IFERROR(-IPMT($G$66/12,(A339-60),($F$1-5)*12,$G$65,0),0))</f>
        <v>0</v>
      </c>
      <c r="E339" s="497">
        <f t="shared" si="142"/>
        <v>0</v>
      </c>
      <c r="F339" s="497">
        <f t="shared" si="155"/>
        <v>1800000</v>
      </c>
      <c r="G339" s="493"/>
      <c r="H339" s="493"/>
      <c r="I339" s="489"/>
      <c r="J339" s="492">
        <v>335</v>
      </c>
      <c r="K339" s="492">
        <v>28</v>
      </c>
      <c r="L339" s="497">
        <f>IF(('Comparison Calculator'!$E$11-K339)&gt;=0,0,IFERROR(-PPMT($P$66/12,(J339-60),($F$1-5)*12,$P$65),0))</f>
        <v>0</v>
      </c>
      <c r="M339" s="497">
        <f>IF(('Comparison Calculator'!$E$11-K339)&gt;=0,$C$1*$P$66/12,IFERROR(-IPMT($P$66/12,(J339-60),($F$1-5)*12,$P$65,0),0))</f>
        <v>0</v>
      </c>
      <c r="N339" s="497">
        <f t="shared" si="143"/>
        <v>0</v>
      </c>
      <c r="O339" s="497">
        <f t="shared" si="130"/>
        <v>1800000</v>
      </c>
      <c r="P339" s="493"/>
      <c r="Q339" s="493"/>
      <c r="S339" s="492">
        <v>335</v>
      </c>
      <c r="T339" s="492">
        <v>28</v>
      </c>
      <c r="U339" s="497">
        <f>IF(('Comparison Calculator'!$E$11-T339)&gt;=0,0,IFERROR(-PPMT($Y$66/12,(S339-60),($F$1-5)*12,$Y$65),0))</f>
        <v>0</v>
      </c>
      <c r="V339" s="497">
        <f>IF(('Comparison Calculator'!$E$11-T339)&gt;=0,$C$1*$Y$66/12,IFERROR(-IPMT($Y$66/12,(S339-60),($F$1-5)*12,$Y$65,0),0))</f>
        <v>0</v>
      </c>
      <c r="W339" s="497">
        <f t="shared" si="144"/>
        <v>0</v>
      </c>
      <c r="X339" s="497">
        <f t="shared" si="131"/>
        <v>1800000</v>
      </c>
      <c r="Y339" s="493"/>
      <c r="Z339" s="493"/>
      <c r="AB339" s="492">
        <v>335</v>
      </c>
      <c r="AC339" s="492">
        <v>28</v>
      </c>
      <c r="AD339" s="497">
        <f>IF(('Comparison Calculator'!$E$11-AC339)&gt;=0,0,IFERROR(-PPMT($AH$66/12,(AB339-60),($F$1-5)*12,$AH$65),0))</f>
        <v>0</v>
      </c>
      <c r="AE339" s="497">
        <f>IF(('Comparison Calculator'!$E$11-AC339)&gt;=0,$C$1*$AH$66/12,IFERROR(-IPMT($AH$66/12,(AB339-60),($F$1-5)*12,$AH$65,0),0))</f>
        <v>0</v>
      </c>
      <c r="AF339" s="497">
        <f t="shared" si="145"/>
        <v>0</v>
      </c>
      <c r="AG339" s="497">
        <f t="shared" si="132"/>
        <v>1800000</v>
      </c>
      <c r="AH339" s="493"/>
      <c r="AI339" s="493"/>
      <c r="AK339" s="492">
        <v>335</v>
      </c>
      <c r="AL339" s="492">
        <v>28</v>
      </c>
      <c r="AM339" s="497">
        <f>IF(('Comparison Calculator'!$E$11-AL339)&gt;=0,0,IFERROR(-PPMT($AQ$66/12,(AK339-60),($F$1-5)*12,$AQ$65),0))</f>
        <v>0</v>
      </c>
      <c r="AN339" s="497">
        <f>IF(('Comparison Calculator'!$E$11-AL339)&gt;=0,$C$1*$AQ$66/12,IFERROR(-IPMT($AQ$66/12,(AK339-60),($F$1-5)*12,$AQ$65,0),0))</f>
        <v>0</v>
      </c>
      <c r="AO339" s="497">
        <f t="shared" si="146"/>
        <v>0</v>
      </c>
      <c r="AP339" s="497">
        <f t="shared" si="133"/>
        <v>1800000</v>
      </c>
      <c r="AQ339" s="493"/>
      <c r="AR339" s="493"/>
      <c r="AT339" s="492">
        <v>335</v>
      </c>
      <c r="AU339" s="492">
        <v>28</v>
      </c>
      <c r="AV339" s="497">
        <f>IF(('Comparison Calculator'!$E$11-AU339)&gt;=0,0,IFERROR(-PPMT($AZ$66/12,(AT339-60),($F$1-5)*12,$AZ$65),0))</f>
        <v>0</v>
      </c>
      <c r="AW339" s="497">
        <f>IF(('Comparison Calculator'!$E$11-AU339)&gt;=0,$C$1*$AZ$66/12,IFERROR(-IPMT($AZ$66/12,(AT339-60),($F$1-5)*12,$AZ$65,0),0))</f>
        <v>0</v>
      </c>
      <c r="AX339" s="497">
        <f t="shared" si="147"/>
        <v>0</v>
      </c>
      <c r="AY339" s="497">
        <f t="shared" si="134"/>
        <v>1800000</v>
      </c>
      <c r="AZ339" s="493"/>
      <c r="BA339" s="493"/>
      <c r="BC339" s="492">
        <v>335</v>
      </c>
      <c r="BD339" s="492">
        <v>28</v>
      </c>
      <c r="BE339" s="497">
        <f>IF(('Comparison Calculator'!$E$11-BD339)&gt;=0,0,IFERROR(-PPMT($BI$66/12,(BC339-60),($F$1-5)*12,$BI$65),0))</f>
        <v>0</v>
      </c>
      <c r="BF339" s="497">
        <f>IF(('Comparison Calculator'!$E$11-BD339)&gt;=0,$C$1*$BI$66/12,IFERROR(-IPMT($BI$66/12,(BC339-60),($F$1-5)*12,$BI$65,0),0))</f>
        <v>0</v>
      </c>
      <c r="BG339" s="497">
        <f t="shared" si="148"/>
        <v>0</v>
      </c>
      <c r="BH339" s="497">
        <f t="shared" si="135"/>
        <v>1800000</v>
      </c>
      <c r="BI339" s="493"/>
      <c r="BJ339" s="493"/>
      <c r="BK339" s="492">
        <v>335</v>
      </c>
      <c r="BL339" s="492">
        <v>28</v>
      </c>
      <c r="BM339" s="497">
        <f>IF(('Comparison Calculator'!$E$11-BL339)&gt;=0,0,IFERROR(-PPMT($BQ$66/12,(BK339-60),($F$1-5)*12,$BQ$65),0))</f>
        <v>0</v>
      </c>
      <c r="BN339" s="497">
        <f>IF(('Comparison Calculator'!$E$11-BL339)&gt;=0,$C$1*$BQ$66/12,IFERROR(-IPMT($BQ$66/12,(BK339-60),($F$1-5)*12,$BQ$65,0),0))</f>
        <v>0</v>
      </c>
      <c r="BO339" s="497">
        <f t="shared" si="149"/>
        <v>0</v>
      </c>
      <c r="BP339" s="497">
        <f t="shared" si="136"/>
        <v>1800000</v>
      </c>
      <c r="BQ339" s="493"/>
      <c r="BR339" s="493"/>
      <c r="BT339" s="492">
        <v>335</v>
      </c>
      <c r="BU339" s="492">
        <v>28</v>
      </c>
      <c r="BV339" s="497">
        <f>IF(('Comparison Calculator'!$E$11-BU339)&gt;=0,0,IFERROR(-PPMT($BZ$66/12,(BT339-60),($F$1-5)*12,$BZ$65),0))</f>
        <v>0</v>
      </c>
      <c r="BW339" s="497">
        <f>IF(('Comparison Calculator'!$E$11-BU339)&gt;=0,$C$1*$BZ$66/12,IFERROR(-IPMT($BZ$66/12,(BT339-60),($F$1-5)*12,$BZ$65,0),0))</f>
        <v>0</v>
      </c>
      <c r="BX339" s="497">
        <f t="shared" si="150"/>
        <v>0</v>
      </c>
      <c r="BY339" s="497">
        <f t="shared" si="137"/>
        <v>1800000</v>
      </c>
      <c r="BZ339" s="493"/>
      <c r="CA339" s="493"/>
      <c r="CC339" s="492">
        <v>335</v>
      </c>
      <c r="CD339" s="492">
        <v>28</v>
      </c>
      <c r="CE339" s="497">
        <f>IF(('Comparison Calculator'!$E$11-CD339)&gt;=0,0,IFERROR(-PPMT($CI$66/12,(CC339-60),($F$1-5)*12,$CI$65),0))</f>
        <v>0</v>
      </c>
      <c r="CF339" s="497">
        <f>IF(('Comparison Calculator'!$E$11-CD339)&gt;=0,$C$1*$CI$66/12,IFERROR(-IPMT($CI$66/12,(CC339-60),($F$1-5)*12,$CI$65,0),0))</f>
        <v>0</v>
      </c>
      <c r="CG339" s="497">
        <f t="shared" si="151"/>
        <v>0</v>
      </c>
      <c r="CH339" s="497">
        <f t="shared" si="138"/>
        <v>1800000</v>
      </c>
      <c r="CI339" s="493"/>
      <c r="CJ339" s="493"/>
      <c r="CL339" s="492">
        <v>335</v>
      </c>
      <c r="CM339" s="492">
        <v>28</v>
      </c>
      <c r="CN339" s="497">
        <f>IF(('Comparison Calculator'!$E$11-CM339)&gt;=0,0,IFERROR(-PPMT($CR$66/12,(CL339-60),($F$1-5)*12,$CR$65),0))</f>
        <v>0</v>
      </c>
      <c r="CO339" s="497">
        <f>IF(('Comparison Calculator'!$E$11-CM339)&gt;=0,$C$1*$CI$66/12,IFERROR(-IPMT($CI$66/12,(CL339-60),($F$1-5)*12,$CI$65,0),0))</f>
        <v>0</v>
      </c>
      <c r="CP339" s="497">
        <f t="shared" si="152"/>
        <v>0</v>
      </c>
      <c r="CQ339" s="497">
        <f t="shared" si="139"/>
        <v>1800000</v>
      </c>
      <c r="CR339" s="493"/>
      <c r="CS339" s="493"/>
      <c r="CU339" s="492">
        <v>335</v>
      </c>
      <c r="CV339" s="492">
        <v>28</v>
      </c>
      <c r="CW339" s="497">
        <f>IF(('Comparison Calculator'!$E$11-CV339)&gt;=0,0,IFERROR(-PPMT($DA$66/12,(CU339-60),($F$1-5)*12,$DA$65),0))</f>
        <v>0</v>
      </c>
      <c r="CX339" s="497">
        <f>IF(('Comparison Calculator'!$E$11-CV339)&gt;=0,$C$1*$DA$66/12,IFERROR(-IPMT($DA$66/12,(CU339-60),($F$1-5)*12,$DA$65,0),0))</f>
        <v>0</v>
      </c>
      <c r="CY339" s="497">
        <f t="shared" si="153"/>
        <v>0</v>
      </c>
      <c r="CZ339" s="497">
        <f t="shared" si="140"/>
        <v>1800000</v>
      </c>
      <c r="DA339" s="493"/>
      <c r="DB339" s="493"/>
      <c r="DD339" s="492">
        <v>335</v>
      </c>
      <c r="DE339" s="492">
        <v>28</v>
      </c>
      <c r="DF339" s="497">
        <f>IF(('Comparison Calculator'!$E$11-DE339)&gt;=0,0,IFERROR(-PPMT($DJ$66/12,(DD339-60),($F$1-5)*12,$DJ$65),0))</f>
        <v>0</v>
      </c>
      <c r="DG339" s="497">
        <f>IF(('Comparison Calculator'!$E$11-DE339)&gt;=0,$C$1*$DJ$66/12,IFERROR(-IPMT($DJ$66/12,(DD339-60),($F$1-5)*12,$DJ$65,0),0))</f>
        <v>0</v>
      </c>
      <c r="DH339" s="497">
        <f t="shared" si="154"/>
        <v>0</v>
      </c>
      <c r="DI339" s="497">
        <f t="shared" si="141"/>
        <v>1800000</v>
      </c>
      <c r="DJ339" s="493"/>
      <c r="DK339" s="493"/>
    </row>
    <row r="340" spans="1:115">
      <c r="A340" s="492">
        <v>336</v>
      </c>
      <c r="B340" s="492">
        <v>28</v>
      </c>
      <c r="C340" s="497">
        <f>IF(('Comparison Calculator'!$E$11-B340)&gt;=0,0,IFERROR(-PPMT($G$66/12,(A340-60),($F$1-5)*12,$G$65),0))</f>
        <v>0</v>
      </c>
      <c r="D340" s="497">
        <f>IF(('Comparison Calculator'!$E$11-B340)&gt;=0,$C$1*$G$66/12,IFERROR(-IPMT($G$66/12,(A340-60),($F$1-5)*12,$G$65,0),0))</f>
        <v>0</v>
      </c>
      <c r="E340" s="497">
        <f t="shared" si="142"/>
        <v>0</v>
      </c>
      <c r="F340" s="497">
        <f t="shared" si="155"/>
        <v>1800000</v>
      </c>
      <c r="G340" s="493"/>
      <c r="H340" s="493"/>
      <c r="I340" s="489"/>
      <c r="J340" s="492">
        <v>336</v>
      </c>
      <c r="K340" s="492">
        <v>28</v>
      </c>
      <c r="L340" s="497">
        <f>IF(('Comparison Calculator'!$E$11-K340)&gt;=0,0,IFERROR(-PPMT($P$66/12,(J340-60),($F$1-5)*12,$P$65),0))</f>
        <v>0</v>
      </c>
      <c r="M340" s="497">
        <f>IF(('Comparison Calculator'!$E$11-K340)&gt;=0,$C$1*$P$66/12,IFERROR(-IPMT($P$66/12,(J340-60),($F$1-5)*12,$P$65,0),0))</f>
        <v>0</v>
      </c>
      <c r="N340" s="497">
        <f t="shared" si="143"/>
        <v>0</v>
      </c>
      <c r="O340" s="497">
        <f t="shared" si="130"/>
        <v>1800000</v>
      </c>
      <c r="P340" s="493"/>
      <c r="Q340" s="493"/>
      <c r="S340" s="492">
        <v>336</v>
      </c>
      <c r="T340" s="492">
        <v>28</v>
      </c>
      <c r="U340" s="497">
        <f>IF(('Comparison Calculator'!$E$11-T340)&gt;=0,0,IFERROR(-PPMT($Y$66/12,(S340-60),($F$1-5)*12,$Y$65),0))</f>
        <v>0</v>
      </c>
      <c r="V340" s="497">
        <f>IF(('Comparison Calculator'!$E$11-T340)&gt;=0,$C$1*$Y$66/12,IFERROR(-IPMT($Y$66/12,(S340-60),($F$1-5)*12,$Y$65,0),0))</f>
        <v>0</v>
      </c>
      <c r="W340" s="497">
        <f t="shared" si="144"/>
        <v>0</v>
      </c>
      <c r="X340" s="497">
        <f t="shared" si="131"/>
        <v>1800000</v>
      </c>
      <c r="Y340" s="493"/>
      <c r="Z340" s="493"/>
      <c r="AB340" s="492">
        <v>336</v>
      </c>
      <c r="AC340" s="492">
        <v>28</v>
      </c>
      <c r="AD340" s="497">
        <f>IF(('Comparison Calculator'!$E$11-AC340)&gt;=0,0,IFERROR(-PPMT($AH$66/12,(AB340-60),($F$1-5)*12,$AH$65),0))</f>
        <v>0</v>
      </c>
      <c r="AE340" s="497">
        <f>IF(('Comparison Calculator'!$E$11-AC340)&gt;=0,$C$1*$AH$66/12,IFERROR(-IPMT($AH$66/12,(AB340-60),($F$1-5)*12,$AH$65,0),0))</f>
        <v>0</v>
      </c>
      <c r="AF340" s="497">
        <f t="shared" si="145"/>
        <v>0</v>
      </c>
      <c r="AG340" s="497">
        <f t="shared" si="132"/>
        <v>1800000</v>
      </c>
      <c r="AH340" s="493"/>
      <c r="AI340" s="493"/>
      <c r="AK340" s="492">
        <v>336</v>
      </c>
      <c r="AL340" s="492">
        <v>28</v>
      </c>
      <c r="AM340" s="497">
        <f>IF(('Comparison Calculator'!$E$11-AL340)&gt;=0,0,IFERROR(-PPMT($AQ$66/12,(AK340-60),($F$1-5)*12,$AQ$65),0))</f>
        <v>0</v>
      </c>
      <c r="AN340" s="497">
        <f>IF(('Comparison Calculator'!$E$11-AL340)&gt;=0,$C$1*$AQ$66/12,IFERROR(-IPMT($AQ$66/12,(AK340-60),($F$1-5)*12,$AQ$65,0),0))</f>
        <v>0</v>
      </c>
      <c r="AO340" s="497">
        <f t="shared" si="146"/>
        <v>0</v>
      </c>
      <c r="AP340" s="497">
        <f t="shared" si="133"/>
        <v>1800000</v>
      </c>
      <c r="AQ340" s="493"/>
      <c r="AR340" s="493"/>
      <c r="AT340" s="492">
        <v>336</v>
      </c>
      <c r="AU340" s="492">
        <v>28</v>
      </c>
      <c r="AV340" s="497">
        <f>IF(('Comparison Calculator'!$E$11-AU340)&gt;=0,0,IFERROR(-PPMT($AZ$66/12,(AT340-60),($F$1-5)*12,$AZ$65),0))</f>
        <v>0</v>
      </c>
      <c r="AW340" s="497">
        <f>IF(('Comparison Calculator'!$E$11-AU340)&gt;=0,$C$1*$AZ$66/12,IFERROR(-IPMT($AZ$66/12,(AT340-60),($F$1-5)*12,$AZ$65,0),0))</f>
        <v>0</v>
      </c>
      <c r="AX340" s="497">
        <f t="shared" si="147"/>
        <v>0</v>
      </c>
      <c r="AY340" s="497">
        <f t="shared" si="134"/>
        <v>1800000</v>
      </c>
      <c r="AZ340" s="493"/>
      <c r="BA340" s="493"/>
      <c r="BC340" s="492">
        <v>336</v>
      </c>
      <c r="BD340" s="492">
        <v>28</v>
      </c>
      <c r="BE340" s="497">
        <f>IF(('Comparison Calculator'!$E$11-BD340)&gt;=0,0,IFERROR(-PPMT($BI$66/12,(BC340-60),($F$1-5)*12,$BI$65),0))</f>
        <v>0</v>
      </c>
      <c r="BF340" s="497">
        <f>IF(('Comparison Calculator'!$E$11-BD340)&gt;=0,$C$1*$BI$66/12,IFERROR(-IPMT($BI$66/12,(BC340-60),($F$1-5)*12,$BI$65,0),0))</f>
        <v>0</v>
      </c>
      <c r="BG340" s="497">
        <f t="shared" si="148"/>
        <v>0</v>
      </c>
      <c r="BH340" s="497">
        <f t="shared" si="135"/>
        <v>1800000</v>
      </c>
      <c r="BI340" s="493"/>
      <c r="BJ340" s="493"/>
      <c r="BK340" s="492">
        <v>336</v>
      </c>
      <c r="BL340" s="492">
        <v>28</v>
      </c>
      <c r="BM340" s="497">
        <f>IF(('Comparison Calculator'!$E$11-BL340)&gt;=0,0,IFERROR(-PPMT($BQ$66/12,(BK340-60),($F$1-5)*12,$BQ$65),0))</f>
        <v>0</v>
      </c>
      <c r="BN340" s="497">
        <f>IF(('Comparison Calculator'!$E$11-BL340)&gt;=0,$C$1*$BQ$66/12,IFERROR(-IPMT($BQ$66/12,(BK340-60),($F$1-5)*12,$BQ$65,0),0))</f>
        <v>0</v>
      </c>
      <c r="BO340" s="497">
        <f t="shared" si="149"/>
        <v>0</v>
      </c>
      <c r="BP340" s="497">
        <f t="shared" si="136"/>
        <v>1800000</v>
      </c>
      <c r="BQ340" s="493"/>
      <c r="BR340" s="493"/>
      <c r="BT340" s="492">
        <v>336</v>
      </c>
      <c r="BU340" s="492">
        <v>28</v>
      </c>
      <c r="BV340" s="497">
        <f>IF(('Comparison Calculator'!$E$11-BU340)&gt;=0,0,IFERROR(-PPMT($BZ$66/12,(BT340-60),($F$1-5)*12,$BZ$65),0))</f>
        <v>0</v>
      </c>
      <c r="BW340" s="497">
        <f>IF(('Comparison Calculator'!$E$11-BU340)&gt;=0,$C$1*$BZ$66/12,IFERROR(-IPMT($BZ$66/12,(BT340-60),($F$1-5)*12,$BZ$65,0),0))</f>
        <v>0</v>
      </c>
      <c r="BX340" s="497">
        <f t="shared" si="150"/>
        <v>0</v>
      </c>
      <c r="BY340" s="497">
        <f t="shared" si="137"/>
        <v>1800000</v>
      </c>
      <c r="BZ340" s="493"/>
      <c r="CA340" s="493"/>
      <c r="CC340" s="492">
        <v>336</v>
      </c>
      <c r="CD340" s="492">
        <v>28</v>
      </c>
      <c r="CE340" s="497">
        <f>IF(('Comparison Calculator'!$E$11-CD340)&gt;=0,0,IFERROR(-PPMT($CI$66/12,(CC340-60),($F$1-5)*12,$CI$65),0))</f>
        <v>0</v>
      </c>
      <c r="CF340" s="497">
        <f>IF(('Comparison Calculator'!$E$11-CD340)&gt;=0,$C$1*$CI$66/12,IFERROR(-IPMT($CI$66/12,(CC340-60),($F$1-5)*12,$CI$65,0),0))</f>
        <v>0</v>
      </c>
      <c r="CG340" s="497">
        <f t="shared" si="151"/>
        <v>0</v>
      </c>
      <c r="CH340" s="497">
        <f t="shared" si="138"/>
        <v>1800000</v>
      </c>
      <c r="CI340" s="493"/>
      <c r="CJ340" s="493"/>
      <c r="CL340" s="492">
        <v>336</v>
      </c>
      <c r="CM340" s="492">
        <v>28</v>
      </c>
      <c r="CN340" s="497">
        <f>IF(('Comparison Calculator'!$E$11-CM340)&gt;=0,0,IFERROR(-PPMT($CR$66/12,(CL340-60),($F$1-5)*12,$CR$65),0))</f>
        <v>0</v>
      </c>
      <c r="CO340" s="497">
        <f>IF(('Comparison Calculator'!$E$11-CM340)&gt;=0,$C$1*$CI$66/12,IFERROR(-IPMT($CI$66/12,(CL340-60),($F$1-5)*12,$CI$65,0),0))</f>
        <v>0</v>
      </c>
      <c r="CP340" s="497">
        <f t="shared" si="152"/>
        <v>0</v>
      </c>
      <c r="CQ340" s="497">
        <f t="shared" si="139"/>
        <v>1800000</v>
      </c>
      <c r="CR340" s="493"/>
      <c r="CS340" s="493"/>
      <c r="CU340" s="492">
        <v>336</v>
      </c>
      <c r="CV340" s="492">
        <v>28</v>
      </c>
      <c r="CW340" s="497">
        <f>IF(('Comparison Calculator'!$E$11-CV340)&gt;=0,0,IFERROR(-PPMT($DA$66/12,(CU340-60),($F$1-5)*12,$DA$65),0))</f>
        <v>0</v>
      </c>
      <c r="CX340" s="497">
        <f>IF(('Comparison Calculator'!$E$11-CV340)&gt;=0,$C$1*$DA$66/12,IFERROR(-IPMT($DA$66/12,(CU340-60),($F$1-5)*12,$DA$65,0),0))</f>
        <v>0</v>
      </c>
      <c r="CY340" s="497">
        <f t="shared" si="153"/>
        <v>0</v>
      </c>
      <c r="CZ340" s="497">
        <f t="shared" si="140"/>
        <v>1800000</v>
      </c>
      <c r="DA340" s="493"/>
      <c r="DB340" s="493"/>
      <c r="DD340" s="492">
        <v>336</v>
      </c>
      <c r="DE340" s="492">
        <v>28</v>
      </c>
      <c r="DF340" s="497">
        <f>IF(('Comparison Calculator'!$E$11-DE340)&gt;=0,0,IFERROR(-PPMT($DJ$66/12,(DD340-60),($F$1-5)*12,$DJ$65),0))</f>
        <v>0</v>
      </c>
      <c r="DG340" s="497">
        <f>IF(('Comparison Calculator'!$E$11-DE340)&gt;=0,$C$1*$DJ$66/12,IFERROR(-IPMT($DJ$66/12,(DD340-60),($F$1-5)*12,$DJ$65,0),0))</f>
        <v>0</v>
      </c>
      <c r="DH340" s="497">
        <f t="shared" si="154"/>
        <v>0</v>
      </c>
      <c r="DI340" s="497">
        <f t="shared" si="141"/>
        <v>1800000</v>
      </c>
      <c r="DJ340" s="493"/>
      <c r="DK340" s="493"/>
    </row>
    <row r="341" spans="1:115">
      <c r="A341" s="492">
        <v>337</v>
      </c>
      <c r="B341" s="492">
        <v>29</v>
      </c>
      <c r="C341" s="497">
        <f>IF(('Comparison Calculator'!$E$11-B341)&gt;=0,0,IFERROR(-PPMT($G$66/12,(A341-60),($F$1-5)*12,$G$65),0))</f>
        <v>0</v>
      </c>
      <c r="D341" s="497">
        <f>IF(('Comparison Calculator'!$E$11-B341)&gt;=0,$C$1*$G$66/12,IFERROR(-IPMT($G$66/12,(A341-60),($F$1-5)*12,$G$65,0),0))</f>
        <v>0</v>
      </c>
      <c r="E341" s="497">
        <f t="shared" si="142"/>
        <v>0</v>
      </c>
      <c r="F341" s="497">
        <f t="shared" si="155"/>
        <v>1800000</v>
      </c>
      <c r="G341" s="493"/>
      <c r="H341" s="493"/>
      <c r="I341" s="489"/>
      <c r="J341" s="492">
        <v>337</v>
      </c>
      <c r="K341" s="492">
        <v>29</v>
      </c>
      <c r="L341" s="497">
        <f>IF(('Comparison Calculator'!$E$11-K341)&gt;=0,0,IFERROR(-PPMT($P$66/12,(J341-60),($F$1-5)*12,$P$65),0))</f>
        <v>0</v>
      </c>
      <c r="M341" s="497">
        <f>IF(('Comparison Calculator'!$E$11-K341)&gt;=0,$C$1*$P$66/12,IFERROR(-IPMT($P$66/12,(J341-60),($F$1-5)*12,$P$65,0),0))</f>
        <v>0</v>
      </c>
      <c r="N341" s="497">
        <f t="shared" si="143"/>
        <v>0</v>
      </c>
      <c r="O341" s="497">
        <f t="shared" si="130"/>
        <v>1800000</v>
      </c>
      <c r="P341" s="493"/>
      <c r="Q341" s="493"/>
      <c r="S341" s="492">
        <v>337</v>
      </c>
      <c r="T341" s="492">
        <v>29</v>
      </c>
      <c r="U341" s="497">
        <f>IF(('Comparison Calculator'!$E$11-T341)&gt;=0,0,IFERROR(-PPMT($Y$66/12,(S341-60),($F$1-5)*12,$Y$65),0))</f>
        <v>0</v>
      </c>
      <c r="V341" s="497">
        <f>IF(('Comparison Calculator'!$E$11-T341)&gt;=0,$C$1*$Y$66/12,IFERROR(-IPMT($Y$66/12,(S341-60),($F$1-5)*12,$Y$65,0),0))</f>
        <v>0</v>
      </c>
      <c r="W341" s="497">
        <f t="shared" si="144"/>
        <v>0</v>
      </c>
      <c r="X341" s="497">
        <f t="shared" si="131"/>
        <v>1800000</v>
      </c>
      <c r="Y341" s="493"/>
      <c r="Z341" s="493"/>
      <c r="AB341" s="492">
        <v>337</v>
      </c>
      <c r="AC341" s="492">
        <v>29</v>
      </c>
      <c r="AD341" s="497">
        <f>IF(('Comparison Calculator'!$E$11-AC341)&gt;=0,0,IFERROR(-PPMT($AH$66/12,(AB341-60),($F$1-5)*12,$AH$65),0))</f>
        <v>0</v>
      </c>
      <c r="AE341" s="497">
        <f>IF(('Comparison Calculator'!$E$11-AC341)&gt;=0,$C$1*$AH$66/12,IFERROR(-IPMT($AH$66/12,(AB341-60),($F$1-5)*12,$AH$65,0),0))</f>
        <v>0</v>
      </c>
      <c r="AF341" s="497">
        <f t="shared" si="145"/>
        <v>0</v>
      </c>
      <c r="AG341" s="497">
        <f t="shared" si="132"/>
        <v>1800000</v>
      </c>
      <c r="AH341" s="493"/>
      <c r="AI341" s="493"/>
      <c r="AK341" s="492">
        <v>337</v>
      </c>
      <c r="AL341" s="492">
        <v>29</v>
      </c>
      <c r="AM341" s="497">
        <f>IF(('Comparison Calculator'!$E$11-AL341)&gt;=0,0,IFERROR(-PPMT($AQ$66/12,(AK341-60),($F$1-5)*12,$AQ$65),0))</f>
        <v>0</v>
      </c>
      <c r="AN341" s="497">
        <f>IF(('Comparison Calculator'!$E$11-AL341)&gt;=0,$C$1*$AQ$66/12,IFERROR(-IPMT($AQ$66/12,(AK341-60),($F$1-5)*12,$AQ$65,0),0))</f>
        <v>0</v>
      </c>
      <c r="AO341" s="497">
        <f t="shared" si="146"/>
        <v>0</v>
      </c>
      <c r="AP341" s="497">
        <f t="shared" si="133"/>
        <v>1800000</v>
      </c>
      <c r="AQ341" s="493"/>
      <c r="AR341" s="493"/>
      <c r="AT341" s="492">
        <v>337</v>
      </c>
      <c r="AU341" s="492">
        <v>29</v>
      </c>
      <c r="AV341" s="497">
        <f>IF(('Comparison Calculator'!$E$11-AU341)&gt;=0,0,IFERROR(-PPMT($AZ$66/12,(AT341-60),($F$1-5)*12,$AZ$65),0))</f>
        <v>0</v>
      </c>
      <c r="AW341" s="497">
        <f>IF(('Comparison Calculator'!$E$11-AU341)&gt;=0,$C$1*$AZ$66/12,IFERROR(-IPMT($AZ$66/12,(AT341-60),($F$1-5)*12,$AZ$65,0),0))</f>
        <v>0</v>
      </c>
      <c r="AX341" s="497">
        <f t="shared" si="147"/>
        <v>0</v>
      </c>
      <c r="AY341" s="497">
        <f t="shared" si="134"/>
        <v>1800000</v>
      </c>
      <c r="AZ341" s="493"/>
      <c r="BA341" s="493"/>
      <c r="BC341" s="492">
        <v>337</v>
      </c>
      <c r="BD341" s="492">
        <v>29</v>
      </c>
      <c r="BE341" s="497">
        <f>IF(('Comparison Calculator'!$E$11-BD341)&gt;=0,0,IFERROR(-PPMT($BI$66/12,(BC341-60),($F$1-5)*12,$BI$65),0))</f>
        <v>0</v>
      </c>
      <c r="BF341" s="497">
        <f>IF(('Comparison Calculator'!$E$11-BD341)&gt;=0,$C$1*$BI$66/12,IFERROR(-IPMT($BI$66/12,(BC341-60),($F$1-5)*12,$BI$65,0),0))</f>
        <v>0</v>
      </c>
      <c r="BG341" s="497">
        <f t="shared" si="148"/>
        <v>0</v>
      </c>
      <c r="BH341" s="497">
        <f t="shared" si="135"/>
        <v>1800000</v>
      </c>
      <c r="BI341" s="493"/>
      <c r="BJ341" s="493"/>
      <c r="BK341" s="492">
        <v>337</v>
      </c>
      <c r="BL341" s="492">
        <v>29</v>
      </c>
      <c r="BM341" s="497">
        <f>IF(('Comparison Calculator'!$E$11-BL341)&gt;=0,0,IFERROR(-PPMT($BQ$66/12,(BK341-60),($F$1-5)*12,$BQ$65),0))</f>
        <v>0</v>
      </c>
      <c r="BN341" s="497">
        <f>IF(('Comparison Calculator'!$E$11-BL341)&gt;=0,$C$1*$BQ$66/12,IFERROR(-IPMT($BQ$66/12,(BK341-60),($F$1-5)*12,$BQ$65,0),0))</f>
        <v>0</v>
      </c>
      <c r="BO341" s="497">
        <f t="shared" si="149"/>
        <v>0</v>
      </c>
      <c r="BP341" s="497">
        <f t="shared" si="136"/>
        <v>1800000</v>
      </c>
      <c r="BQ341" s="493"/>
      <c r="BR341" s="493"/>
      <c r="BT341" s="492">
        <v>337</v>
      </c>
      <c r="BU341" s="492">
        <v>29</v>
      </c>
      <c r="BV341" s="497">
        <f>IF(('Comparison Calculator'!$E$11-BU341)&gt;=0,0,IFERROR(-PPMT($BZ$66/12,(BT341-60),($F$1-5)*12,$BZ$65),0))</f>
        <v>0</v>
      </c>
      <c r="BW341" s="497">
        <f>IF(('Comparison Calculator'!$E$11-BU341)&gt;=0,$C$1*$BZ$66/12,IFERROR(-IPMT($BZ$66/12,(BT341-60),($F$1-5)*12,$BZ$65,0),0))</f>
        <v>0</v>
      </c>
      <c r="BX341" s="497">
        <f t="shared" si="150"/>
        <v>0</v>
      </c>
      <c r="BY341" s="497">
        <f t="shared" si="137"/>
        <v>1800000</v>
      </c>
      <c r="BZ341" s="493"/>
      <c r="CA341" s="493"/>
      <c r="CC341" s="492">
        <v>337</v>
      </c>
      <c r="CD341" s="492">
        <v>29</v>
      </c>
      <c r="CE341" s="497">
        <f>IF(('Comparison Calculator'!$E$11-CD341)&gt;=0,0,IFERROR(-PPMT($CI$66/12,(CC341-60),($F$1-5)*12,$CI$65),0))</f>
        <v>0</v>
      </c>
      <c r="CF341" s="497">
        <f>IF(('Comparison Calculator'!$E$11-CD341)&gt;=0,$C$1*$CI$66/12,IFERROR(-IPMT($CI$66/12,(CC341-60),($F$1-5)*12,$CI$65,0),0))</f>
        <v>0</v>
      </c>
      <c r="CG341" s="497">
        <f t="shared" si="151"/>
        <v>0</v>
      </c>
      <c r="CH341" s="497">
        <f t="shared" si="138"/>
        <v>1800000</v>
      </c>
      <c r="CI341" s="493"/>
      <c r="CJ341" s="493"/>
      <c r="CL341" s="492">
        <v>337</v>
      </c>
      <c r="CM341" s="492">
        <v>29</v>
      </c>
      <c r="CN341" s="497">
        <f>IF(('Comparison Calculator'!$E$11-CM341)&gt;=0,0,IFERROR(-PPMT($CR$66/12,(CL341-60),($F$1-5)*12,$CR$65),0))</f>
        <v>0</v>
      </c>
      <c r="CO341" s="497">
        <f>IF(('Comparison Calculator'!$E$11-CM341)&gt;=0,$C$1*$CI$66/12,IFERROR(-IPMT($CI$66/12,(CL341-60),($F$1-5)*12,$CI$65,0),0))</f>
        <v>0</v>
      </c>
      <c r="CP341" s="497">
        <f t="shared" si="152"/>
        <v>0</v>
      </c>
      <c r="CQ341" s="497">
        <f t="shared" si="139"/>
        <v>1800000</v>
      </c>
      <c r="CR341" s="493"/>
      <c r="CS341" s="493"/>
      <c r="CU341" s="492">
        <v>337</v>
      </c>
      <c r="CV341" s="492">
        <v>29</v>
      </c>
      <c r="CW341" s="497">
        <f>IF(('Comparison Calculator'!$E$11-CV341)&gt;=0,0,IFERROR(-PPMT($DA$66/12,(CU341-60),($F$1-5)*12,$DA$65),0))</f>
        <v>0</v>
      </c>
      <c r="CX341" s="497">
        <f>IF(('Comparison Calculator'!$E$11-CV341)&gt;=0,$C$1*$DA$66/12,IFERROR(-IPMT($DA$66/12,(CU341-60),($F$1-5)*12,$DA$65,0),0))</f>
        <v>0</v>
      </c>
      <c r="CY341" s="497">
        <f t="shared" si="153"/>
        <v>0</v>
      </c>
      <c r="CZ341" s="497">
        <f t="shared" si="140"/>
        <v>1800000</v>
      </c>
      <c r="DA341" s="493"/>
      <c r="DB341" s="493"/>
      <c r="DD341" s="492">
        <v>337</v>
      </c>
      <c r="DE341" s="492">
        <v>29</v>
      </c>
      <c r="DF341" s="497">
        <f>IF(('Comparison Calculator'!$E$11-DE341)&gt;=0,0,IFERROR(-PPMT($DJ$66/12,(DD341-60),($F$1-5)*12,$DJ$65),0))</f>
        <v>0</v>
      </c>
      <c r="DG341" s="497">
        <f>IF(('Comparison Calculator'!$E$11-DE341)&gt;=0,$C$1*$DJ$66/12,IFERROR(-IPMT($DJ$66/12,(DD341-60),($F$1-5)*12,$DJ$65,0),0))</f>
        <v>0</v>
      </c>
      <c r="DH341" s="497">
        <f t="shared" si="154"/>
        <v>0</v>
      </c>
      <c r="DI341" s="497">
        <f t="shared" si="141"/>
        <v>1800000</v>
      </c>
      <c r="DJ341" s="493"/>
      <c r="DK341" s="493"/>
    </row>
    <row r="342" spans="1:115">
      <c r="A342" s="492">
        <v>338</v>
      </c>
      <c r="B342" s="492">
        <v>29</v>
      </c>
      <c r="C342" s="497">
        <f>IF(('Comparison Calculator'!$E$11-B342)&gt;=0,0,IFERROR(-PPMT($G$66/12,(A342-60),($F$1-5)*12,$G$65),0))</f>
        <v>0</v>
      </c>
      <c r="D342" s="497">
        <f>IF(('Comparison Calculator'!$E$11-B342)&gt;=0,$C$1*$G$66/12,IFERROR(-IPMT($G$66/12,(A342-60),($F$1-5)*12,$G$65,0),0))</f>
        <v>0</v>
      </c>
      <c r="E342" s="497">
        <f t="shared" si="142"/>
        <v>0</v>
      </c>
      <c r="F342" s="497">
        <f t="shared" si="155"/>
        <v>1800000</v>
      </c>
      <c r="G342" s="493"/>
      <c r="H342" s="493"/>
      <c r="I342" s="489"/>
      <c r="J342" s="492">
        <v>338</v>
      </c>
      <c r="K342" s="492">
        <v>29</v>
      </c>
      <c r="L342" s="497">
        <f>IF(('Comparison Calculator'!$E$11-K342)&gt;=0,0,IFERROR(-PPMT($P$66/12,(J342-60),($F$1-5)*12,$P$65),0))</f>
        <v>0</v>
      </c>
      <c r="M342" s="497">
        <f>IF(('Comparison Calculator'!$E$11-K342)&gt;=0,$C$1*$P$66/12,IFERROR(-IPMT($P$66/12,(J342-60),($F$1-5)*12,$P$65,0),0))</f>
        <v>0</v>
      </c>
      <c r="N342" s="497">
        <f t="shared" si="143"/>
        <v>0</v>
      </c>
      <c r="O342" s="497">
        <f t="shared" si="130"/>
        <v>1800000</v>
      </c>
      <c r="P342" s="493"/>
      <c r="Q342" s="493"/>
      <c r="S342" s="492">
        <v>338</v>
      </c>
      <c r="T342" s="492">
        <v>29</v>
      </c>
      <c r="U342" s="497">
        <f>IF(('Comparison Calculator'!$E$11-T342)&gt;=0,0,IFERROR(-PPMT($Y$66/12,(S342-60),($F$1-5)*12,$Y$65),0))</f>
        <v>0</v>
      </c>
      <c r="V342" s="497">
        <f>IF(('Comparison Calculator'!$E$11-T342)&gt;=0,$C$1*$Y$66/12,IFERROR(-IPMT($Y$66/12,(S342-60),($F$1-5)*12,$Y$65,0),0))</f>
        <v>0</v>
      </c>
      <c r="W342" s="497">
        <f t="shared" si="144"/>
        <v>0</v>
      </c>
      <c r="X342" s="497">
        <f t="shared" si="131"/>
        <v>1800000</v>
      </c>
      <c r="Y342" s="493"/>
      <c r="Z342" s="493"/>
      <c r="AB342" s="492">
        <v>338</v>
      </c>
      <c r="AC342" s="492">
        <v>29</v>
      </c>
      <c r="AD342" s="497">
        <f>IF(('Comparison Calculator'!$E$11-AC342)&gt;=0,0,IFERROR(-PPMT($AH$66/12,(AB342-60),($F$1-5)*12,$AH$65),0))</f>
        <v>0</v>
      </c>
      <c r="AE342" s="497">
        <f>IF(('Comparison Calculator'!$E$11-AC342)&gt;=0,$C$1*$AH$66/12,IFERROR(-IPMT($AH$66/12,(AB342-60),($F$1-5)*12,$AH$65,0),0))</f>
        <v>0</v>
      </c>
      <c r="AF342" s="497">
        <f t="shared" si="145"/>
        <v>0</v>
      </c>
      <c r="AG342" s="497">
        <f t="shared" si="132"/>
        <v>1800000</v>
      </c>
      <c r="AH342" s="493"/>
      <c r="AI342" s="493"/>
      <c r="AK342" s="492">
        <v>338</v>
      </c>
      <c r="AL342" s="492">
        <v>29</v>
      </c>
      <c r="AM342" s="497">
        <f>IF(('Comparison Calculator'!$E$11-AL342)&gt;=0,0,IFERROR(-PPMT($AQ$66/12,(AK342-60),($F$1-5)*12,$AQ$65),0))</f>
        <v>0</v>
      </c>
      <c r="AN342" s="497">
        <f>IF(('Comparison Calculator'!$E$11-AL342)&gt;=0,$C$1*$AQ$66/12,IFERROR(-IPMT($AQ$66/12,(AK342-60),($F$1-5)*12,$AQ$65,0),0))</f>
        <v>0</v>
      </c>
      <c r="AO342" s="497">
        <f t="shared" si="146"/>
        <v>0</v>
      </c>
      <c r="AP342" s="497">
        <f t="shared" si="133"/>
        <v>1800000</v>
      </c>
      <c r="AQ342" s="493"/>
      <c r="AR342" s="493"/>
      <c r="AT342" s="492">
        <v>338</v>
      </c>
      <c r="AU342" s="492">
        <v>29</v>
      </c>
      <c r="AV342" s="497">
        <f>IF(('Comparison Calculator'!$E$11-AU342)&gt;=0,0,IFERROR(-PPMT($AZ$66/12,(AT342-60),($F$1-5)*12,$AZ$65),0))</f>
        <v>0</v>
      </c>
      <c r="AW342" s="497">
        <f>IF(('Comparison Calculator'!$E$11-AU342)&gt;=0,$C$1*$AZ$66/12,IFERROR(-IPMT($AZ$66/12,(AT342-60),($F$1-5)*12,$AZ$65,0),0))</f>
        <v>0</v>
      </c>
      <c r="AX342" s="497">
        <f t="shared" si="147"/>
        <v>0</v>
      </c>
      <c r="AY342" s="497">
        <f t="shared" si="134"/>
        <v>1800000</v>
      </c>
      <c r="AZ342" s="493"/>
      <c r="BA342" s="493"/>
      <c r="BC342" s="492">
        <v>338</v>
      </c>
      <c r="BD342" s="492">
        <v>29</v>
      </c>
      <c r="BE342" s="497">
        <f>IF(('Comparison Calculator'!$E$11-BD342)&gt;=0,0,IFERROR(-PPMT($BI$66/12,(BC342-60),($F$1-5)*12,$BI$65),0))</f>
        <v>0</v>
      </c>
      <c r="BF342" s="497">
        <f>IF(('Comparison Calculator'!$E$11-BD342)&gt;=0,$C$1*$BI$66/12,IFERROR(-IPMT($BI$66/12,(BC342-60),($F$1-5)*12,$BI$65,0),0))</f>
        <v>0</v>
      </c>
      <c r="BG342" s="497">
        <f t="shared" si="148"/>
        <v>0</v>
      </c>
      <c r="BH342" s="497">
        <f t="shared" si="135"/>
        <v>1800000</v>
      </c>
      <c r="BI342" s="493"/>
      <c r="BJ342" s="493"/>
      <c r="BK342" s="492">
        <v>338</v>
      </c>
      <c r="BL342" s="492">
        <v>29</v>
      </c>
      <c r="BM342" s="497">
        <f>IF(('Comparison Calculator'!$E$11-BL342)&gt;=0,0,IFERROR(-PPMT($BQ$66/12,(BK342-60),($F$1-5)*12,$BQ$65),0))</f>
        <v>0</v>
      </c>
      <c r="BN342" s="497">
        <f>IF(('Comparison Calculator'!$E$11-BL342)&gt;=0,$C$1*$BQ$66/12,IFERROR(-IPMT($BQ$66/12,(BK342-60),($F$1-5)*12,$BQ$65,0),0))</f>
        <v>0</v>
      </c>
      <c r="BO342" s="497">
        <f t="shared" si="149"/>
        <v>0</v>
      </c>
      <c r="BP342" s="497">
        <f t="shared" si="136"/>
        <v>1800000</v>
      </c>
      <c r="BQ342" s="493"/>
      <c r="BR342" s="493"/>
      <c r="BT342" s="492">
        <v>338</v>
      </c>
      <c r="BU342" s="492">
        <v>29</v>
      </c>
      <c r="BV342" s="497">
        <f>IF(('Comparison Calculator'!$E$11-BU342)&gt;=0,0,IFERROR(-PPMT($BZ$66/12,(BT342-60),($F$1-5)*12,$BZ$65),0))</f>
        <v>0</v>
      </c>
      <c r="BW342" s="497">
        <f>IF(('Comparison Calculator'!$E$11-BU342)&gt;=0,$C$1*$BZ$66/12,IFERROR(-IPMT($BZ$66/12,(BT342-60),($F$1-5)*12,$BZ$65,0),0))</f>
        <v>0</v>
      </c>
      <c r="BX342" s="497">
        <f t="shared" si="150"/>
        <v>0</v>
      </c>
      <c r="BY342" s="497">
        <f t="shared" si="137"/>
        <v>1800000</v>
      </c>
      <c r="BZ342" s="493"/>
      <c r="CA342" s="493"/>
      <c r="CC342" s="492">
        <v>338</v>
      </c>
      <c r="CD342" s="492">
        <v>29</v>
      </c>
      <c r="CE342" s="497">
        <f>IF(('Comparison Calculator'!$E$11-CD342)&gt;=0,0,IFERROR(-PPMT($CI$66/12,(CC342-60),($F$1-5)*12,$CI$65),0))</f>
        <v>0</v>
      </c>
      <c r="CF342" s="497">
        <f>IF(('Comparison Calculator'!$E$11-CD342)&gt;=0,$C$1*$CI$66/12,IFERROR(-IPMT($CI$66/12,(CC342-60),($F$1-5)*12,$CI$65,0),0))</f>
        <v>0</v>
      </c>
      <c r="CG342" s="497">
        <f t="shared" si="151"/>
        <v>0</v>
      </c>
      <c r="CH342" s="497">
        <f t="shared" si="138"/>
        <v>1800000</v>
      </c>
      <c r="CI342" s="493"/>
      <c r="CJ342" s="493"/>
      <c r="CL342" s="492">
        <v>338</v>
      </c>
      <c r="CM342" s="492">
        <v>29</v>
      </c>
      <c r="CN342" s="497">
        <f>IF(('Comparison Calculator'!$E$11-CM342)&gt;=0,0,IFERROR(-PPMT($CR$66/12,(CL342-60),($F$1-5)*12,$CR$65),0))</f>
        <v>0</v>
      </c>
      <c r="CO342" s="497">
        <f>IF(('Comparison Calculator'!$E$11-CM342)&gt;=0,$C$1*$CI$66/12,IFERROR(-IPMT($CI$66/12,(CL342-60),($F$1-5)*12,$CI$65,0),0))</f>
        <v>0</v>
      </c>
      <c r="CP342" s="497">
        <f t="shared" si="152"/>
        <v>0</v>
      </c>
      <c r="CQ342" s="497">
        <f t="shared" si="139"/>
        <v>1800000</v>
      </c>
      <c r="CR342" s="493"/>
      <c r="CS342" s="493"/>
      <c r="CU342" s="492">
        <v>338</v>
      </c>
      <c r="CV342" s="492">
        <v>29</v>
      </c>
      <c r="CW342" s="497">
        <f>IF(('Comparison Calculator'!$E$11-CV342)&gt;=0,0,IFERROR(-PPMT($DA$66/12,(CU342-60),($F$1-5)*12,$DA$65),0))</f>
        <v>0</v>
      </c>
      <c r="CX342" s="497">
        <f>IF(('Comparison Calculator'!$E$11-CV342)&gt;=0,$C$1*$DA$66/12,IFERROR(-IPMT($DA$66/12,(CU342-60),($F$1-5)*12,$DA$65,0),0))</f>
        <v>0</v>
      </c>
      <c r="CY342" s="497">
        <f t="shared" si="153"/>
        <v>0</v>
      </c>
      <c r="CZ342" s="497">
        <f t="shared" si="140"/>
        <v>1800000</v>
      </c>
      <c r="DA342" s="493"/>
      <c r="DB342" s="493"/>
      <c r="DD342" s="492">
        <v>338</v>
      </c>
      <c r="DE342" s="492">
        <v>29</v>
      </c>
      <c r="DF342" s="497">
        <f>IF(('Comparison Calculator'!$E$11-DE342)&gt;=0,0,IFERROR(-PPMT($DJ$66/12,(DD342-60),($F$1-5)*12,$DJ$65),0))</f>
        <v>0</v>
      </c>
      <c r="DG342" s="497">
        <f>IF(('Comparison Calculator'!$E$11-DE342)&gt;=0,$C$1*$DJ$66/12,IFERROR(-IPMT($DJ$66/12,(DD342-60),($F$1-5)*12,$DJ$65,0),0))</f>
        <v>0</v>
      </c>
      <c r="DH342" s="497">
        <f t="shared" si="154"/>
        <v>0</v>
      </c>
      <c r="DI342" s="497">
        <f t="shared" si="141"/>
        <v>1800000</v>
      </c>
      <c r="DJ342" s="493"/>
      <c r="DK342" s="493"/>
    </row>
    <row r="343" spans="1:115">
      <c r="A343" s="492">
        <v>339</v>
      </c>
      <c r="B343" s="492">
        <v>29</v>
      </c>
      <c r="C343" s="497">
        <f>IF(('Comparison Calculator'!$E$11-B343)&gt;=0,0,IFERROR(-PPMT($G$66/12,(A343-60),($F$1-5)*12,$G$65),0))</f>
        <v>0</v>
      </c>
      <c r="D343" s="497">
        <f>IF(('Comparison Calculator'!$E$11-B343)&gt;=0,$C$1*$G$66/12,IFERROR(-IPMT($G$66/12,(A343-60),($F$1-5)*12,$G$65,0),0))</f>
        <v>0</v>
      </c>
      <c r="E343" s="497">
        <f t="shared" si="142"/>
        <v>0</v>
      </c>
      <c r="F343" s="497">
        <f t="shared" si="155"/>
        <v>1800000</v>
      </c>
      <c r="G343" s="493"/>
      <c r="H343" s="493"/>
      <c r="I343" s="489"/>
      <c r="J343" s="492">
        <v>339</v>
      </c>
      <c r="K343" s="492">
        <v>29</v>
      </c>
      <c r="L343" s="497">
        <f>IF(('Comparison Calculator'!$E$11-K343)&gt;=0,0,IFERROR(-PPMT($P$66/12,(J343-60),($F$1-5)*12,$P$65),0))</f>
        <v>0</v>
      </c>
      <c r="M343" s="497">
        <f>IF(('Comparison Calculator'!$E$11-K343)&gt;=0,$C$1*$P$66/12,IFERROR(-IPMT($P$66/12,(J343-60),($F$1-5)*12,$P$65,0),0))</f>
        <v>0</v>
      </c>
      <c r="N343" s="497">
        <f t="shared" si="143"/>
        <v>0</v>
      </c>
      <c r="O343" s="497">
        <f t="shared" si="130"/>
        <v>1800000</v>
      </c>
      <c r="P343" s="493"/>
      <c r="Q343" s="493"/>
      <c r="S343" s="492">
        <v>339</v>
      </c>
      <c r="T343" s="492">
        <v>29</v>
      </c>
      <c r="U343" s="497">
        <f>IF(('Comparison Calculator'!$E$11-T343)&gt;=0,0,IFERROR(-PPMT($Y$66/12,(S343-60),($F$1-5)*12,$Y$65),0))</f>
        <v>0</v>
      </c>
      <c r="V343" s="497">
        <f>IF(('Comparison Calculator'!$E$11-T343)&gt;=0,$C$1*$Y$66/12,IFERROR(-IPMT($Y$66/12,(S343-60),($F$1-5)*12,$Y$65,0),0))</f>
        <v>0</v>
      </c>
      <c r="W343" s="497">
        <f t="shared" si="144"/>
        <v>0</v>
      </c>
      <c r="X343" s="497">
        <f t="shared" si="131"/>
        <v>1800000</v>
      </c>
      <c r="Y343" s="493"/>
      <c r="Z343" s="493"/>
      <c r="AB343" s="492">
        <v>339</v>
      </c>
      <c r="AC343" s="492">
        <v>29</v>
      </c>
      <c r="AD343" s="497">
        <f>IF(('Comparison Calculator'!$E$11-AC343)&gt;=0,0,IFERROR(-PPMT($AH$66/12,(AB343-60),($F$1-5)*12,$AH$65),0))</f>
        <v>0</v>
      </c>
      <c r="AE343" s="497">
        <f>IF(('Comparison Calculator'!$E$11-AC343)&gt;=0,$C$1*$AH$66/12,IFERROR(-IPMT($AH$66/12,(AB343-60),($F$1-5)*12,$AH$65,0),0))</f>
        <v>0</v>
      </c>
      <c r="AF343" s="497">
        <f t="shared" si="145"/>
        <v>0</v>
      </c>
      <c r="AG343" s="497">
        <f t="shared" si="132"/>
        <v>1800000</v>
      </c>
      <c r="AH343" s="493"/>
      <c r="AI343" s="493"/>
      <c r="AK343" s="492">
        <v>339</v>
      </c>
      <c r="AL343" s="492">
        <v>29</v>
      </c>
      <c r="AM343" s="497">
        <f>IF(('Comparison Calculator'!$E$11-AL343)&gt;=0,0,IFERROR(-PPMT($AQ$66/12,(AK343-60),($F$1-5)*12,$AQ$65),0))</f>
        <v>0</v>
      </c>
      <c r="AN343" s="497">
        <f>IF(('Comparison Calculator'!$E$11-AL343)&gt;=0,$C$1*$AQ$66/12,IFERROR(-IPMT($AQ$66/12,(AK343-60),($F$1-5)*12,$AQ$65,0),0))</f>
        <v>0</v>
      </c>
      <c r="AO343" s="497">
        <f t="shared" si="146"/>
        <v>0</v>
      </c>
      <c r="AP343" s="497">
        <f t="shared" si="133"/>
        <v>1800000</v>
      </c>
      <c r="AQ343" s="493"/>
      <c r="AR343" s="493"/>
      <c r="AT343" s="492">
        <v>339</v>
      </c>
      <c r="AU343" s="492">
        <v>29</v>
      </c>
      <c r="AV343" s="497">
        <f>IF(('Comparison Calculator'!$E$11-AU343)&gt;=0,0,IFERROR(-PPMT($AZ$66/12,(AT343-60),($F$1-5)*12,$AZ$65),0))</f>
        <v>0</v>
      </c>
      <c r="AW343" s="497">
        <f>IF(('Comparison Calculator'!$E$11-AU343)&gt;=0,$C$1*$AZ$66/12,IFERROR(-IPMT($AZ$66/12,(AT343-60),($F$1-5)*12,$AZ$65,0),0))</f>
        <v>0</v>
      </c>
      <c r="AX343" s="497">
        <f t="shared" si="147"/>
        <v>0</v>
      </c>
      <c r="AY343" s="497">
        <f t="shared" si="134"/>
        <v>1800000</v>
      </c>
      <c r="AZ343" s="493"/>
      <c r="BA343" s="493"/>
      <c r="BC343" s="492">
        <v>339</v>
      </c>
      <c r="BD343" s="492">
        <v>29</v>
      </c>
      <c r="BE343" s="497">
        <f>IF(('Comparison Calculator'!$E$11-BD343)&gt;=0,0,IFERROR(-PPMT($BI$66/12,(BC343-60),($F$1-5)*12,$BI$65),0))</f>
        <v>0</v>
      </c>
      <c r="BF343" s="497">
        <f>IF(('Comparison Calculator'!$E$11-BD343)&gt;=0,$C$1*$BI$66/12,IFERROR(-IPMT($BI$66/12,(BC343-60),($F$1-5)*12,$BI$65,0),0))</f>
        <v>0</v>
      </c>
      <c r="BG343" s="497">
        <f t="shared" si="148"/>
        <v>0</v>
      </c>
      <c r="BH343" s="497">
        <f t="shared" si="135"/>
        <v>1800000</v>
      </c>
      <c r="BI343" s="493"/>
      <c r="BJ343" s="493"/>
      <c r="BK343" s="492">
        <v>339</v>
      </c>
      <c r="BL343" s="492">
        <v>29</v>
      </c>
      <c r="BM343" s="497">
        <f>IF(('Comparison Calculator'!$E$11-BL343)&gt;=0,0,IFERROR(-PPMT($BQ$66/12,(BK343-60),($F$1-5)*12,$BQ$65),0))</f>
        <v>0</v>
      </c>
      <c r="BN343" s="497">
        <f>IF(('Comparison Calculator'!$E$11-BL343)&gt;=0,$C$1*$BQ$66/12,IFERROR(-IPMT($BQ$66/12,(BK343-60),($F$1-5)*12,$BQ$65,0),0))</f>
        <v>0</v>
      </c>
      <c r="BO343" s="497">
        <f t="shared" si="149"/>
        <v>0</v>
      </c>
      <c r="BP343" s="497">
        <f t="shared" si="136"/>
        <v>1800000</v>
      </c>
      <c r="BQ343" s="493"/>
      <c r="BR343" s="493"/>
      <c r="BT343" s="492">
        <v>339</v>
      </c>
      <c r="BU343" s="492">
        <v>29</v>
      </c>
      <c r="BV343" s="497">
        <f>IF(('Comparison Calculator'!$E$11-BU343)&gt;=0,0,IFERROR(-PPMT($BZ$66/12,(BT343-60),($F$1-5)*12,$BZ$65),0))</f>
        <v>0</v>
      </c>
      <c r="BW343" s="497">
        <f>IF(('Comparison Calculator'!$E$11-BU343)&gt;=0,$C$1*$BZ$66/12,IFERROR(-IPMT($BZ$66/12,(BT343-60),($F$1-5)*12,$BZ$65,0),0))</f>
        <v>0</v>
      </c>
      <c r="BX343" s="497">
        <f t="shared" si="150"/>
        <v>0</v>
      </c>
      <c r="BY343" s="497">
        <f t="shared" si="137"/>
        <v>1800000</v>
      </c>
      <c r="BZ343" s="493"/>
      <c r="CA343" s="493"/>
      <c r="CC343" s="492">
        <v>339</v>
      </c>
      <c r="CD343" s="492">
        <v>29</v>
      </c>
      <c r="CE343" s="497">
        <f>IF(('Comparison Calculator'!$E$11-CD343)&gt;=0,0,IFERROR(-PPMT($CI$66/12,(CC343-60),($F$1-5)*12,$CI$65),0))</f>
        <v>0</v>
      </c>
      <c r="CF343" s="497">
        <f>IF(('Comparison Calculator'!$E$11-CD343)&gt;=0,$C$1*$CI$66/12,IFERROR(-IPMT($CI$66/12,(CC343-60),($F$1-5)*12,$CI$65,0),0))</f>
        <v>0</v>
      </c>
      <c r="CG343" s="497">
        <f t="shared" si="151"/>
        <v>0</v>
      </c>
      <c r="CH343" s="497">
        <f t="shared" si="138"/>
        <v>1800000</v>
      </c>
      <c r="CI343" s="493"/>
      <c r="CJ343" s="493"/>
      <c r="CL343" s="492">
        <v>339</v>
      </c>
      <c r="CM343" s="492">
        <v>29</v>
      </c>
      <c r="CN343" s="497">
        <f>IF(('Comparison Calculator'!$E$11-CM343)&gt;=0,0,IFERROR(-PPMT($CR$66/12,(CL343-60),($F$1-5)*12,$CR$65),0))</f>
        <v>0</v>
      </c>
      <c r="CO343" s="497">
        <f>IF(('Comparison Calculator'!$E$11-CM343)&gt;=0,$C$1*$CI$66/12,IFERROR(-IPMT($CI$66/12,(CL343-60),($F$1-5)*12,$CI$65,0),0))</f>
        <v>0</v>
      </c>
      <c r="CP343" s="497">
        <f t="shared" si="152"/>
        <v>0</v>
      </c>
      <c r="CQ343" s="497">
        <f t="shared" si="139"/>
        <v>1800000</v>
      </c>
      <c r="CR343" s="493"/>
      <c r="CS343" s="493"/>
      <c r="CU343" s="492">
        <v>339</v>
      </c>
      <c r="CV343" s="492">
        <v>29</v>
      </c>
      <c r="CW343" s="497">
        <f>IF(('Comparison Calculator'!$E$11-CV343)&gt;=0,0,IFERROR(-PPMT($DA$66/12,(CU343-60),($F$1-5)*12,$DA$65),0))</f>
        <v>0</v>
      </c>
      <c r="CX343" s="497">
        <f>IF(('Comparison Calculator'!$E$11-CV343)&gt;=0,$C$1*$DA$66/12,IFERROR(-IPMT($DA$66/12,(CU343-60),($F$1-5)*12,$DA$65,0),0))</f>
        <v>0</v>
      </c>
      <c r="CY343" s="497">
        <f t="shared" si="153"/>
        <v>0</v>
      </c>
      <c r="CZ343" s="497">
        <f t="shared" si="140"/>
        <v>1800000</v>
      </c>
      <c r="DA343" s="493"/>
      <c r="DB343" s="493"/>
      <c r="DD343" s="492">
        <v>339</v>
      </c>
      <c r="DE343" s="492">
        <v>29</v>
      </c>
      <c r="DF343" s="497">
        <f>IF(('Comparison Calculator'!$E$11-DE343)&gt;=0,0,IFERROR(-PPMT($DJ$66/12,(DD343-60),($F$1-5)*12,$DJ$65),0))</f>
        <v>0</v>
      </c>
      <c r="DG343" s="497">
        <f>IF(('Comparison Calculator'!$E$11-DE343)&gt;=0,$C$1*$DJ$66/12,IFERROR(-IPMT($DJ$66/12,(DD343-60),($F$1-5)*12,$DJ$65,0),0))</f>
        <v>0</v>
      </c>
      <c r="DH343" s="497">
        <f t="shared" si="154"/>
        <v>0</v>
      </c>
      <c r="DI343" s="497">
        <f t="shared" si="141"/>
        <v>1800000</v>
      </c>
      <c r="DJ343" s="493"/>
      <c r="DK343" s="493"/>
    </row>
    <row r="344" spans="1:115">
      <c r="A344" s="492">
        <v>340</v>
      </c>
      <c r="B344" s="492">
        <v>29</v>
      </c>
      <c r="C344" s="497">
        <f>IF(('Comparison Calculator'!$E$11-B344)&gt;=0,0,IFERROR(-PPMT($G$66/12,(A344-60),($F$1-5)*12,$G$65),0))</f>
        <v>0</v>
      </c>
      <c r="D344" s="497">
        <f>IF(('Comparison Calculator'!$E$11-B344)&gt;=0,$C$1*$G$66/12,IFERROR(-IPMT($G$66/12,(A344-60),($F$1-5)*12,$G$65,0),0))</f>
        <v>0</v>
      </c>
      <c r="E344" s="497">
        <f t="shared" si="142"/>
        <v>0</v>
      </c>
      <c r="F344" s="497">
        <f t="shared" si="155"/>
        <v>1800000</v>
      </c>
      <c r="G344" s="493"/>
      <c r="H344" s="493"/>
      <c r="I344" s="489"/>
      <c r="J344" s="492">
        <v>340</v>
      </c>
      <c r="K344" s="492">
        <v>29</v>
      </c>
      <c r="L344" s="497">
        <f>IF(('Comparison Calculator'!$E$11-K344)&gt;=0,0,IFERROR(-PPMT($P$66/12,(J344-60),($F$1-5)*12,$P$65),0))</f>
        <v>0</v>
      </c>
      <c r="M344" s="497">
        <f>IF(('Comparison Calculator'!$E$11-K344)&gt;=0,$C$1*$P$66/12,IFERROR(-IPMT($P$66/12,(J344-60),($F$1-5)*12,$P$65,0),0))</f>
        <v>0</v>
      </c>
      <c r="N344" s="497">
        <f t="shared" si="143"/>
        <v>0</v>
      </c>
      <c r="O344" s="497">
        <f t="shared" si="130"/>
        <v>1800000</v>
      </c>
      <c r="P344" s="493"/>
      <c r="Q344" s="493"/>
      <c r="S344" s="492">
        <v>340</v>
      </c>
      <c r="T344" s="492">
        <v>29</v>
      </c>
      <c r="U344" s="497">
        <f>IF(('Comparison Calculator'!$E$11-T344)&gt;=0,0,IFERROR(-PPMT($Y$66/12,(S344-60),($F$1-5)*12,$Y$65),0))</f>
        <v>0</v>
      </c>
      <c r="V344" s="497">
        <f>IF(('Comparison Calculator'!$E$11-T344)&gt;=0,$C$1*$Y$66/12,IFERROR(-IPMT($Y$66/12,(S344-60),($F$1-5)*12,$Y$65,0),0))</f>
        <v>0</v>
      </c>
      <c r="W344" s="497">
        <f t="shared" si="144"/>
        <v>0</v>
      </c>
      <c r="X344" s="497">
        <f t="shared" si="131"/>
        <v>1800000</v>
      </c>
      <c r="Y344" s="493"/>
      <c r="Z344" s="493"/>
      <c r="AB344" s="492">
        <v>340</v>
      </c>
      <c r="AC344" s="492">
        <v>29</v>
      </c>
      <c r="AD344" s="497">
        <f>IF(('Comparison Calculator'!$E$11-AC344)&gt;=0,0,IFERROR(-PPMT($AH$66/12,(AB344-60),($F$1-5)*12,$AH$65),0))</f>
        <v>0</v>
      </c>
      <c r="AE344" s="497">
        <f>IF(('Comparison Calculator'!$E$11-AC344)&gt;=0,$C$1*$AH$66/12,IFERROR(-IPMT($AH$66/12,(AB344-60),($F$1-5)*12,$AH$65,0),0))</f>
        <v>0</v>
      </c>
      <c r="AF344" s="497">
        <f t="shared" si="145"/>
        <v>0</v>
      </c>
      <c r="AG344" s="497">
        <f t="shared" si="132"/>
        <v>1800000</v>
      </c>
      <c r="AH344" s="493"/>
      <c r="AI344" s="493"/>
      <c r="AK344" s="492">
        <v>340</v>
      </c>
      <c r="AL344" s="492">
        <v>29</v>
      </c>
      <c r="AM344" s="497">
        <f>IF(('Comparison Calculator'!$E$11-AL344)&gt;=0,0,IFERROR(-PPMT($AQ$66/12,(AK344-60),($F$1-5)*12,$AQ$65),0))</f>
        <v>0</v>
      </c>
      <c r="AN344" s="497">
        <f>IF(('Comparison Calculator'!$E$11-AL344)&gt;=0,$C$1*$AQ$66/12,IFERROR(-IPMT($AQ$66/12,(AK344-60),($F$1-5)*12,$AQ$65,0),0))</f>
        <v>0</v>
      </c>
      <c r="AO344" s="497">
        <f t="shared" si="146"/>
        <v>0</v>
      </c>
      <c r="AP344" s="497">
        <f t="shared" si="133"/>
        <v>1800000</v>
      </c>
      <c r="AQ344" s="493"/>
      <c r="AR344" s="493"/>
      <c r="AT344" s="492">
        <v>340</v>
      </c>
      <c r="AU344" s="492">
        <v>29</v>
      </c>
      <c r="AV344" s="497">
        <f>IF(('Comparison Calculator'!$E$11-AU344)&gt;=0,0,IFERROR(-PPMT($AZ$66/12,(AT344-60),($F$1-5)*12,$AZ$65),0))</f>
        <v>0</v>
      </c>
      <c r="AW344" s="497">
        <f>IF(('Comparison Calculator'!$E$11-AU344)&gt;=0,$C$1*$AZ$66/12,IFERROR(-IPMT($AZ$66/12,(AT344-60),($F$1-5)*12,$AZ$65,0),0))</f>
        <v>0</v>
      </c>
      <c r="AX344" s="497">
        <f t="shared" si="147"/>
        <v>0</v>
      </c>
      <c r="AY344" s="497">
        <f t="shared" si="134"/>
        <v>1800000</v>
      </c>
      <c r="AZ344" s="493"/>
      <c r="BA344" s="493"/>
      <c r="BC344" s="492">
        <v>340</v>
      </c>
      <c r="BD344" s="492">
        <v>29</v>
      </c>
      <c r="BE344" s="497">
        <f>IF(('Comparison Calculator'!$E$11-BD344)&gt;=0,0,IFERROR(-PPMT($BI$66/12,(BC344-60),($F$1-5)*12,$BI$65),0))</f>
        <v>0</v>
      </c>
      <c r="BF344" s="497">
        <f>IF(('Comparison Calculator'!$E$11-BD344)&gt;=0,$C$1*$BI$66/12,IFERROR(-IPMT($BI$66/12,(BC344-60),($F$1-5)*12,$BI$65,0),0))</f>
        <v>0</v>
      </c>
      <c r="BG344" s="497">
        <f t="shared" si="148"/>
        <v>0</v>
      </c>
      <c r="BH344" s="497">
        <f t="shared" si="135"/>
        <v>1800000</v>
      </c>
      <c r="BI344" s="493"/>
      <c r="BJ344" s="493"/>
      <c r="BK344" s="492">
        <v>340</v>
      </c>
      <c r="BL344" s="492">
        <v>29</v>
      </c>
      <c r="BM344" s="497">
        <f>IF(('Comparison Calculator'!$E$11-BL344)&gt;=0,0,IFERROR(-PPMT($BQ$66/12,(BK344-60),($F$1-5)*12,$BQ$65),0))</f>
        <v>0</v>
      </c>
      <c r="BN344" s="497">
        <f>IF(('Comparison Calculator'!$E$11-BL344)&gt;=0,$C$1*$BQ$66/12,IFERROR(-IPMT($BQ$66/12,(BK344-60),($F$1-5)*12,$BQ$65,0),0))</f>
        <v>0</v>
      </c>
      <c r="BO344" s="497">
        <f t="shared" si="149"/>
        <v>0</v>
      </c>
      <c r="BP344" s="497">
        <f t="shared" si="136"/>
        <v>1800000</v>
      </c>
      <c r="BQ344" s="493"/>
      <c r="BR344" s="493"/>
      <c r="BT344" s="492">
        <v>340</v>
      </c>
      <c r="BU344" s="492">
        <v>29</v>
      </c>
      <c r="BV344" s="497">
        <f>IF(('Comparison Calculator'!$E$11-BU344)&gt;=0,0,IFERROR(-PPMT($BZ$66/12,(BT344-60),($F$1-5)*12,$BZ$65),0))</f>
        <v>0</v>
      </c>
      <c r="BW344" s="497">
        <f>IF(('Comparison Calculator'!$E$11-BU344)&gt;=0,$C$1*$BZ$66/12,IFERROR(-IPMT($BZ$66/12,(BT344-60),($F$1-5)*12,$BZ$65,0),0))</f>
        <v>0</v>
      </c>
      <c r="BX344" s="497">
        <f t="shared" si="150"/>
        <v>0</v>
      </c>
      <c r="BY344" s="497">
        <f t="shared" si="137"/>
        <v>1800000</v>
      </c>
      <c r="BZ344" s="493"/>
      <c r="CA344" s="493"/>
      <c r="CC344" s="492">
        <v>340</v>
      </c>
      <c r="CD344" s="492">
        <v>29</v>
      </c>
      <c r="CE344" s="497">
        <f>IF(('Comparison Calculator'!$E$11-CD344)&gt;=0,0,IFERROR(-PPMT($CI$66/12,(CC344-60),($F$1-5)*12,$CI$65),0))</f>
        <v>0</v>
      </c>
      <c r="CF344" s="497">
        <f>IF(('Comparison Calculator'!$E$11-CD344)&gt;=0,$C$1*$CI$66/12,IFERROR(-IPMT($CI$66/12,(CC344-60),($F$1-5)*12,$CI$65,0),0))</f>
        <v>0</v>
      </c>
      <c r="CG344" s="497">
        <f t="shared" si="151"/>
        <v>0</v>
      </c>
      <c r="CH344" s="497">
        <f t="shared" si="138"/>
        <v>1800000</v>
      </c>
      <c r="CI344" s="493"/>
      <c r="CJ344" s="493"/>
      <c r="CL344" s="492">
        <v>340</v>
      </c>
      <c r="CM344" s="492">
        <v>29</v>
      </c>
      <c r="CN344" s="497">
        <f>IF(('Comparison Calculator'!$E$11-CM344)&gt;=0,0,IFERROR(-PPMT($CR$66/12,(CL344-60),($F$1-5)*12,$CR$65),0))</f>
        <v>0</v>
      </c>
      <c r="CO344" s="497">
        <f>IF(('Comparison Calculator'!$E$11-CM344)&gt;=0,$C$1*$CI$66/12,IFERROR(-IPMT($CI$66/12,(CL344-60),($F$1-5)*12,$CI$65,0),0))</f>
        <v>0</v>
      </c>
      <c r="CP344" s="497">
        <f t="shared" si="152"/>
        <v>0</v>
      </c>
      <c r="CQ344" s="497">
        <f t="shared" si="139"/>
        <v>1800000</v>
      </c>
      <c r="CR344" s="493"/>
      <c r="CS344" s="493"/>
      <c r="CU344" s="492">
        <v>340</v>
      </c>
      <c r="CV344" s="492">
        <v>29</v>
      </c>
      <c r="CW344" s="497">
        <f>IF(('Comparison Calculator'!$E$11-CV344)&gt;=0,0,IFERROR(-PPMT($DA$66/12,(CU344-60),($F$1-5)*12,$DA$65),0))</f>
        <v>0</v>
      </c>
      <c r="CX344" s="497">
        <f>IF(('Comparison Calculator'!$E$11-CV344)&gt;=0,$C$1*$DA$66/12,IFERROR(-IPMT($DA$66/12,(CU344-60),($F$1-5)*12,$DA$65,0),0))</f>
        <v>0</v>
      </c>
      <c r="CY344" s="497">
        <f t="shared" si="153"/>
        <v>0</v>
      </c>
      <c r="CZ344" s="497">
        <f t="shared" si="140"/>
        <v>1800000</v>
      </c>
      <c r="DA344" s="493"/>
      <c r="DB344" s="493"/>
      <c r="DD344" s="492">
        <v>340</v>
      </c>
      <c r="DE344" s="492">
        <v>29</v>
      </c>
      <c r="DF344" s="497">
        <f>IF(('Comparison Calculator'!$E$11-DE344)&gt;=0,0,IFERROR(-PPMT($DJ$66/12,(DD344-60),($F$1-5)*12,$DJ$65),0))</f>
        <v>0</v>
      </c>
      <c r="DG344" s="497">
        <f>IF(('Comparison Calculator'!$E$11-DE344)&gt;=0,$C$1*$DJ$66/12,IFERROR(-IPMT($DJ$66/12,(DD344-60),($F$1-5)*12,$DJ$65,0),0))</f>
        <v>0</v>
      </c>
      <c r="DH344" s="497">
        <f t="shared" si="154"/>
        <v>0</v>
      </c>
      <c r="DI344" s="497">
        <f t="shared" si="141"/>
        <v>1800000</v>
      </c>
      <c r="DJ344" s="493"/>
      <c r="DK344" s="493"/>
    </row>
    <row r="345" spans="1:115">
      <c r="A345" s="492">
        <v>341</v>
      </c>
      <c r="B345" s="492">
        <v>29</v>
      </c>
      <c r="C345" s="497">
        <f>IF(('Comparison Calculator'!$E$11-B345)&gt;=0,0,IFERROR(-PPMT($G$66/12,(A345-60),($F$1-5)*12,$G$65),0))</f>
        <v>0</v>
      </c>
      <c r="D345" s="497">
        <f>IF(('Comparison Calculator'!$E$11-B345)&gt;=0,$C$1*$G$66/12,IFERROR(-IPMT($G$66/12,(A345-60),($F$1-5)*12,$G$65,0),0))</f>
        <v>0</v>
      </c>
      <c r="E345" s="497">
        <f t="shared" si="142"/>
        <v>0</v>
      </c>
      <c r="F345" s="497">
        <f t="shared" si="155"/>
        <v>1800000</v>
      </c>
      <c r="G345" s="493"/>
      <c r="H345" s="493"/>
      <c r="I345" s="489"/>
      <c r="J345" s="492">
        <v>341</v>
      </c>
      <c r="K345" s="492">
        <v>29</v>
      </c>
      <c r="L345" s="497">
        <f>IF(('Comparison Calculator'!$E$11-K345)&gt;=0,0,IFERROR(-PPMT($P$66/12,(J345-60),($F$1-5)*12,$P$65),0))</f>
        <v>0</v>
      </c>
      <c r="M345" s="497">
        <f>IF(('Comparison Calculator'!$E$11-K345)&gt;=0,$C$1*$P$66/12,IFERROR(-IPMT($P$66/12,(J345-60),($F$1-5)*12,$P$65,0),0))</f>
        <v>0</v>
      </c>
      <c r="N345" s="497">
        <f t="shared" si="143"/>
        <v>0</v>
      </c>
      <c r="O345" s="497">
        <f t="shared" ref="O345:O364" si="156">O344-L345</f>
        <v>1800000</v>
      </c>
      <c r="P345" s="493"/>
      <c r="Q345" s="493"/>
      <c r="S345" s="492">
        <v>341</v>
      </c>
      <c r="T345" s="492">
        <v>29</v>
      </c>
      <c r="U345" s="497">
        <f>IF(('Comparison Calculator'!$E$11-T345)&gt;=0,0,IFERROR(-PPMT($Y$66/12,(S345-60),($F$1-5)*12,$Y$65),0))</f>
        <v>0</v>
      </c>
      <c r="V345" s="497">
        <f>IF(('Comparison Calculator'!$E$11-T345)&gt;=0,$C$1*$Y$66/12,IFERROR(-IPMT($Y$66/12,(S345-60),($F$1-5)*12,$Y$65,0),0))</f>
        <v>0</v>
      </c>
      <c r="W345" s="497">
        <f t="shared" si="144"/>
        <v>0</v>
      </c>
      <c r="X345" s="497">
        <f t="shared" ref="X345:X364" si="157">X344-U345</f>
        <v>1800000</v>
      </c>
      <c r="Y345" s="493"/>
      <c r="Z345" s="493"/>
      <c r="AB345" s="492">
        <v>341</v>
      </c>
      <c r="AC345" s="492">
        <v>29</v>
      </c>
      <c r="AD345" s="497">
        <f>IF(('Comparison Calculator'!$E$11-AC345)&gt;=0,0,IFERROR(-PPMT($AH$66/12,(AB345-60),($F$1-5)*12,$AH$65),0))</f>
        <v>0</v>
      </c>
      <c r="AE345" s="497">
        <f>IF(('Comparison Calculator'!$E$11-AC345)&gt;=0,$C$1*$AH$66/12,IFERROR(-IPMT($AH$66/12,(AB345-60),($F$1-5)*12,$AH$65,0),0))</f>
        <v>0</v>
      </c>
      <c r="AF345" s="497">
        <f t="shared" si="145"/>
        <v>0</v>
      </c>
      <c r="AG345" s="497">
        <f t="shared" ref="AG345:AG364" si="158">AG344-AD345</f>
        <v>1800000</v>
      </c>
      <c r="AH345" s="493"/>
      <c r="AI345" s="493"/>
      <c r="AK345" s="492">
        <v>341</v>
      </c>
      <c r="AL345" s="492">
        <v>29</v>
      </c>
      <c r="AM345" s="497">
        <f>IF(('Comparison Calculator'!$E$11-AL345)&gt;=0,0,IFERROR(-PPMT($AQ$66/12,(AK345-60),($F$1-5)*12,$AQ$65),0))</f>
        <v>0</v>
      </c>
      <c r="AN345" s="497">
        <f>IF(('Comparison Calculator'!$E$11-AL345)&gt;=0,$C$1*$AQ$66/12,IFERROR(-IPMT($AQ$66/12,(AK345-60),($F$1-5)*12,$AQ$65,0),0))</f>
        <v>0</v>
      </c>
      <c r="AO345" s="497">
        <f t="shared" si="146"/>
        <v>0</v>
      </c>
      <c r="AP345" s="497">
        <f t="shared" ref="AP345:AP363" si="159">AP344-AM345</f>
        <v>1800000</v>
      </c>
      <c r="AQ345" s="493"/>
      <c r="AR345" s="493"/>
      <c r="AT345" s="492">
        <v>341</v>
      </c>
      <c r="AU345" s="492">
        <v>29</v>
      </c>
      <c r="AV345" s="497">
        <f>IF(('Comparison Calculator'!$E$11-AU345)&gt;=0,0,IFERROR(-PPMT($AZ$66/12,(AT345-60),($F$1-5)*12,$AZ$65),0))</f>
        <v>0</v>
      </c>
      <c r="AW345" s="497">
        <f>IF(('Comparison Calculator'!$E$11-AU345)&gt;=0,$C$1*$AZ$66/12,IFERROR(-IPMT($AZ$66/12,(AT345-60),($F$1-5)*12,$AZ$65,0),0))</f>
        <v>0</v>
      </c>
      <c r="AX345" s="497">
        <f t="shared" si="147"/>
        <v>0</v>
      </c>
      <c r="AY345" s="497">
        <f t="shared" ref="AY345:AY363" si="160">AY344-AV345</f>
        <v>1800000</v>
      </c>
      <c r="AZ345" s="493"/>
      <c r="BA345" s="493"/>
      <c r="BC345" s="492">
        <v>341</v>
      </c>
      <c r="BD345" s="492">
        <v>29</v>
      </c>
      <c r="BE345" s="497">
        <f>IF(('Comparison Calculator'!$E$11-BD345)&gt;=0,0,IFERROR(-PPMT($BI$66/12,(BC345-60),($F$1-5)*12,$BI$65),0))</f>
        <v>0</v>
      </c>
      <c r="BF345" s="497">
        <f>IF(('Comparison Calculator'!$E$11-BD345)&gt;=0,$C$1*$BI$66/12,IFERROR(-IPMT($BI$66/12,(BC345-60),($F$1-5)*12,$BI$65,0),0))</f>
        <v>0</v>
      </c>
      <c r="BG345" s="497">
        <f t="shared" si="148"/>
        <v>0</v>
      </c>
      <c r="BH345" s="497">
        <f t="shared" ref="BH345:BH363" si="161">BH344-BE345</f>
        <v>1800000</v>
      </c>
      <c r="BI345" s="493"/>
      <c r="BJ345" s="493"/>
      <c r="BK345" s="492">
        <v>341</v>
      </c>
      <c r="BL345" s="492">
        <v>29</v>
      </c>
      <c r="BM345" s="497">
        <f>IF(('Comparison Calculator'!$E$11-BL345)&gt;=0,0,IFERROR(-PPMT($BQ$66/12,(BK345-60),($F$1-5)*12,$BQ$65),0))</f>
        <v>0</v>
      </c>
      <c r="BN345" s="497">
        <f>IF(('Comparison Calculator'!$E$11-BL345)&gt;=0,$C$1*$BQ$66/12,IFERROR(-IPMT($BQ$66/12,(BK345-60),($F$1-5)*12,$BQ$65,0),0))</f>
        <v>0</v>
      </c>
      <c r="BO345" s="497">
        <f t="shared" si="149"/>
        <v>0</v>
      </c>
      <c r="BP345" s="497">
        <f t="shared" ref="BP345:BP363" si="162">BP344-BM345</f>
        <v>1800000</v>
      </c>
      <c r="BQ345" s="493"/>
      <c r="BR345" s="493"/>
      <c r="BT345" s="492">
        <v>341</v>
      </c>
      <c r="BU345" s="492">
        <v>29</v>
      </c>
      <c r="BV345" s="497">
        <f>IF(('Comparison Calculator'!$E$11-BU345)&gt;=0,0,IFERROR(-PPMT($BZ$66/12,(BT345-60),($F$1-5)*12,$BZ$65),0))</f>
        <v>0</v>
      </c>
      <c r="BW345" s="497">
        <f>IF(('Comparison Calculator'!$E$11-BU345)&gt;=0,$C$1*$BZ$66/12,IFERROR(-IPMT($BZ$66/12,(BT345-60),($F$1-5)*12,$BZ$65,0),0))</f>
        <v>0</v>
      </c>
      <c r="BX345" s="497">
        <f t="shared" si="150"/>
        <v>0</v>
      </c>
      <c r="BY345" s="497">
        <f t="shared" ref="BY345:BY363" si="163">BY344-BV345</f>
        <v>1800000</v>
      </c>
      <c r="BZ345" s="493"/>
      <c r="CA345" s="493"/>
      <c r="CC345" s="492">
        <v>341</v>
      </c>
      <c r="CD345" s="492">
        <v>29</v>
      </c>
      <c r="CE345" s="497">
        <f>IF(('Comparison Calculator'!$E$11-CD345)&gt;=0,0,IFERROR(-PPMT($CI$66/12,(CC345-60),($F$1-5)*12,$CI$65),0))</f>
        <v>0</v>
      </c>
      <c r="CF345" s="497">
        <f>IF(('Comparison Calculator'!$E$11-CD345)&gt;=0,$C$1*$CI$66/12,IFERROR(-IPMT($CI$66/12,(CC345-60),($F$1-5)*12,$CI$65,0),0))</f>
        <v>0</v>
      </c>
      <c r="CG345" s="497">
        <f t="shared" si="151"/>
        <v>0</v>
      </c>
      <c r="CH345" s="497">
        <f t="shared" ref="CH345:CH363" si="164">CH344-CE345</f>
        <v>1800000</v>
      </c>
      <c r="CI345" s="493"/>
      <c r="CJ345" s="493"/>
      <c r="CL345" s="492">
        <v>341</v>
      </c>
      <c r="CM345" s="492">
        <v>29</v>
      </c>
      <c r="CN345" s="497">
        <f>IF(('Comparison Calculator'!$E$11-CM345)&gt;=0,0,IFERROR(-PPMT($CR$66/12,(CL345-60),($F$1-5)*12,$CR$65),0))</f>
        <v>0</v>
      </c>
      <c r="CO345" s="497">
        <f>IF(('Comparison Calculator'!$E$11-CM345)&gt;=0,$C$1*$CI$66/12,IFERROR(-IPMT($CI$66/12,(CL345-60),($F$1-5)*12,$CI$65,0),0))</f>
        <v>0</v>
      </c>
      <c r="CP345" s="497">
        <f t="shared" si="152"/>
        <v>0</v>
      </c>
      <c r="CQ345" s="497">
        <f t="shared" ref="CQ345:CQ363" si="165">CQ344-CN345</f>
        <v>1800000</v>
      </c>
      <c r="CR345" s="493"/>
      <c r="CS345" s="493"/>
      <c r="CU345" s="492">
        <v>341</v>
      </c>
      <c r="CV345" s="492">
        <v>29</v>
      </c>
      <c r="CW345" s="497">
        <f>IF(('Comparison Calculator'!$E$11-CV345)&gt;=0,0,IFERROR(-PPMT($DA$66/12,(CU345-60),($F$1-5)*12,$DA$65),0))</f>
        <v>0</v>
      </c>
      <c r="CX345" s="497">
        <f>IF(('Comparison Calculator'!$E$11-CV345)&gt;=0,$C$1*$DA$66/12,IFERROR(-IPMT($DA$66/12,(CU345-60),($F$1-5)*12,$DA$65,0),0))</f>
        <v>0</v>
      </c>
      <c r="CY345" s="497">
        <f t="shared" si="153"/>
        <v>0</v>
      </c>
      <c r="CZ345" s="497">
        <f t="shared" ref="CZ345:CZ363" si="166">CZ344-CW345</f>
        <v>1800000</v>
      </c>
      <c r="DA345" s="493"/>
      <c r="DB345" s="493"/>
      <c r="DD345" s="492">
        <v>341</v>
      </c>
      <c r="DE345" s="492">
        <v>29</v>
      </c>
      <c r="DF345" s="497">
        <f>IF(('Comparison Calculator'!$E$11-DE345)&gt;=0,0,IFERROR(-PPMT($DJ$66/12,(DD345-60),($F$1-5)*12,$DJ$65),0))</f>
        <v>0</v>
      </c>
      <c r="DG345" s="497">
        <f>IF(('Comparison Calculator'!$E$11-DE345)&gt;=0,$C$1*$DJ$66/12,IFERROR(-IPMT($DJ$66/12,(DD345-60),($F$1-5)*12,$DJ$65,0),0))</f>
        <v>0</v>
      </c>
      <c r="DH345" s="497">
        <f t="shared" si="154"/>
        <v>0</v>
      </c>
      <c r="DI345" s="497">
        <f t="shared" ref="DI345:DI363" si="167">DI344-DF345</f>
        <v>1800000</v>
      </c>
      <c r="DJ345" s="493"/>
      <c r="DK345" s="493"/>
    </row>
    <row r="346" spans="1:115">
      <c r="A346" s="492">
        <v>342</v>
      </c>
      <c r="B346" s="492">
        <v>29</v>
      </c>
      <c r="C346" s="497">
        <f>IF(('Comparison Calculator'!$E$11-B346)&gt;=0,0,IFERROR(-PPMT($G$66/12,(A346-60),($F$1-5)*12,$G$65),0))</f>
        <v>0</v>
      </c>
      <c r="D346" s="497">
        <f>IF(('Comparison Calculator'!$E$11-B346)&gt;=0,$C$1*$G$66/12,IFERROR(-IPMT($G$66/12,(A346-60),($F$1-5)*12,$G$65,0),0))</f>
        <v>0</v>
      </c>
      <c r="E346" s="497">
        <f t="shared" si="142"/>
        <v>0</v>
      </c>
      <c r="F346" s="497">
        <f t="shared" si="155"/>
        <v>1800000</v>
      </c>
      <c r="G346" s="493"/>
      <c r="H346" s="493"/>
      <c r="I346" s="489"/>
      <c r="J346" s="492">
        <v>342</v>
      </c>
      <c r="K346" s="492">
        <v>29</v>
      </c>
      <c r="L346" s="497">
        <f>IF(('Comparison Calculator'!$E$11-K346)&gt;=0,0,IFERROR(-PPMT($P$66/12,(J346-60),($F$1-5)*12,$P$65),0))</f>
        <v>0</v>
      </c>
      <c r="M346" s="497">
        <f>IF(('Comparison Calculator'!$E$11-K346)&gt;=0,$C$1*$P$66/12,IFERROR(-IPMT($P$66/12,(J346-60),($F$1-5)*12,$P$65,0),0))</f>
        <v>0</v>
      </c>
      <c r="N346" s="497">
        <f t="shared" si="143"/>
        <v>0</v>
      </c>
      <c r="O346" s="497">
        <f t="shared" si="156"/>
        <v>1800000</v>
      </c>
      <c r="P346" s="493"/>
      <c r="Q346" s="493"/>
      <c r="S346" s="492">
        <v>342</v>
      </c>
      <c r="T346" s="492">
        <v>29</v>
      </c>
      <c r="U346" s="497">
        <f>IF(('Comparison Calculator'!$E$11-T346)&gt;=0,0,IFERROR(-PPMT($Y$66/12,(S346-60),($F$1-5)*12,$Y$65),0))</f>
        <v>0</v>
      </c>
      <c r="V346" s="497">
        <f>IF(('Comparison Calculator'!$E$11-T346)&gt;=0,$C$1*$Y$66/12,IFERROR(-IPMT($Y$66/12,(S346-60),($F$1-5)*12,$Y$65,0),0))</f>
        <v>0</v>
      </c>
      <c r="W346" s="497">
        <f t="shared" si="144"/>
        <v>0</v>
      </c>
      <c r="X346" s="497">
        <f t="shared" si="157"/>
        <v>1800000</v>
      </c>
      <c r="Y346" s="493"/>
      <c r="Z346" s="493"/>
      <c r="AB346" s="492">
        <v>342</v>
      </c>
      <c r="AC346" s="492">
        <v>29</v>
      </c>
      <c r="AD346" s="497">
        <f>IF(('Comparison Calculator'!$E$11-AC346)&gt;=0,0,IFERROR(-PPMT($AH$66/12,(AB346-60),($F$1-5)*12,$AH$65),0))</f>
        <v>0</v>
      </c>
      <c r="AE346" s="497">
        <f>IF(('Comparison Calculator'!$E$11-AC346)&gt;=0,$C$1*$AH$66/12,IFERROR(-IPMT($AH$66/12,(AB346-60),($F$1-5)*12,$AH$65,0),0))</f>
        <v>0</v>
      </c>
      <c r="AF346" s="497">
        <f t="shared" si="145"/>
        <v>0</v>
      </c>
      <c r="AG346" s="497">
        <f t="shared" si="158"/>
        <v>1800000</v>
      </c>
      <c r="AH346" s="493"/>
      <c r="AI346" s="493"/>
      <c r="AK346" s="492">
        <v>342</v>
      </c>
      <c r="AL346" s="492">
        <v>29</v>
      </c>
      <c r="AM346" s="497">
        <f>IF(('Comparison Calculator'!$E$11-AL346)&gt;=0,0,IFERROR(-PPMT($AQ$66/12,(AK346-60),($F$1-5)*12,$AQ$65),0))</f>
        <v>0</v>
      </c>
      <c r="AN346" s="497">
        <f>IF(('Comparison Calculator'!$E$11-AL346)&gt;=0,$C$1*$AQ$66/12,IFERROR(-IPMT($AQ$66/12,(AK346-60),($F$1-5)*12,$AQ$65,0),0))</f>
        <v>0</v>
      </c>
      <c r="AO346" s="497">
        <f t="shared" si="146"/>
        <v>0</v>
      </c>
      <c r="AP346" s="497">
        <f t="shared" si="159"/>
        <v>1800000</v>
      </c>
      <c r="AQ346" s="493"/>
      <c r="AR346" s="493"/>
      <c r="AT346" s="492">
        <v>342</v>
      </c>
      <c r="AU346" s="492">
        <v>29</v>
      </c>
      <c r="AV346" s="497">
        <f>IF(('Comparison Calculator'!$E$11-AU346)&gt;=0,0,IFERROR(-PPMT($AZ$66/12,(AT346-60),($F$1-5)*12,$AZ$65),0))</f>
        <v>0</v>
      </c>
      <c r="AW346" s="497">
        <f>IF(('Comparison Calculator'!$E$11-AU346)&gt;=0,$C$1*$AZ$66/12,IFERROR(-IPMT($AZ$66/12,(AT346-60),($F$1-5)*12,$AZ$65,0),0))</f>
        <v>0</v>
      </c>
      <c r="AX346" s="497">
        <f t="shared" si="147"/>
        <v>0</v>
      </c>
      <c r="AY346" s="497">
        <f t="shared" si="160"/>
        <v>1800000</v>
      </c>
      <c r="AZ346" s="493"/>
      <c r="BA346" s="493"/>
      <c r="BC346" s="492">
        <v>342</v>
      </c>
      <c r="BD346" s="492">
        <v>29</v>
      </c>
      <c r="BE346" s="497">
        <f>IF(('Comparison Calculator'!$E$11-BD346)&gt;=0,0,IFERROR(-PPMT($BI$66/12,(BC346-60),($F$1-5)*12,$BI$65),0))</f>
        <v>0</v>
      </c>
      <c r="BF346" s="497">
        <f>IF(('Comparison Calculator'!$E$11-BD346)&gt;=0,$C$1*$BI$66/12,IFERROR(-IPMT($BI$66/12,(BC346-60),($F$1-5)*12,$BI$65,0),0))</f>
        <v>0</v>
      </c>
      <c r="BG346" s="497">
        <f t="shared" si="148"/>
        <v>0</v>
      </c>
      <c r="BH346" s="497">
        <f t="shared" si="161"/>
        <v>1800000</v>
      </c>
      <c r="BI346" s="493"/>
      <c r="BJ346" s="493"/>
      <c r="BK346" s="492">
        <v>342</v>
      </c>
      <c r="BL346" s="492">
        <v>29</v>
      </c>
      <c r="BM346" s="497">
        <f>IF(('Comparison Calculator'!$E$11-BL346)&gt;=0,0,IFERROR(-PPMT($BQ$66/12,(BK346-60),($F$1-5)*12,$BQ$65),0))</f>
        <v>0</v>
      </c>
      <c r="BN346" s="497">
        <f>IF(('Comparison Calculator'!$E$11-BL346)&gt;=0,$C$1*$BQ$66/12,IFERROR(-IPMT($BQ$66/12,(BK346-60),($F$1-5)*12,$BQ$65,0),0))</f>
        <v>0</v>
      </c>
      <c r="BO346" s="497">
        <f t="shared" si="149"/>
        <v>0</v>
      </c>
      <c r="BP346" s="497">
        <f t="shared" si="162"/>
        <v>1800000</v>
      </c>
      <c r="BQ346" s="493"/>
      <c r="BR346" s="493"/>
      <c r="BT346" s="492">
        <v>342</v>
      </c>
      <c r="BU346" s="492">
        <v>29</v>
      </c>
      <c r="BV346" s="497">
        <f>IF(('Comparison Calculator'!$E$11-BU346)&gt;=0,0,IFERROR(-PPMT($BZ$66/12,(BT346-60),($F$1-5)*12,$BZ$65),0))</f>
        <v>0</v>
      </c>
      <c r="BW346" s="497">
        <f>IF(('Comparison Calculator'!$E$11-BU346)&gt;=0,$C$1*$BZ$66/12,IFERROR(-IPMT($BZ$66/12,(BT346-60),($F$1-5)*12,$BZ$65,0),0))</f>
        <v>0</v>
      </c>
      <c r="BX346" s="497">
        <f t="shared" si="150"/>
        <v>0</v>
      </c>
      <c r="BY346" s="497">
        <f t="shared" si="163"/>
        <v>1800000</v>
      </c>
      <c r="BZ346" s="493"/>
      <c r="CA346" s="493"/>
      <c r="CC346" s="492">
        <v>342</v>
      </c>
      <c r="CD346" s="492">
        <v>29</v>
      </c>
      <c r="CE346" s="497">
        <f>IF(('Comparison Calculator'!$E$11-CD346)&gt;=0,0,IFERROR(-PPMT($CI$66/12,(CC346-60),($F$1-5)*12,$CI$65),0))</f>
        <v>0</v>
      </c>
      <c r="CF346" s="497">
        <f>IF(('Comparison Calculator'!$E$11-CD346)&gt;=0,$C$1*$CI$66/12,IFERROR(-IPMT($CI$66/12,(CC346-60),($F$1-5)*12,$CI$65,0),0))</f>
        <v>0</v>
      </c>
      <c r="CG346" s="497">
        <f t="shared" si="151"/>
        <v>0</v>
      </c>
      <c r="CH346" s="497">
        <f t="shared" si="164"/>
        <v>1800000</v>
      </c>
      <c r="CI346" s="493"/>
      <c r="CJ346" s="493"/>
      <c r="CL346" s="492">
        <v>342</v>
      </c>
      <c r="CM346" s="492">
        <v>29</v>
      </c>
      <c r="CN346" s="497">
        <f>IF(('Comparison Calculator'!$E$11-CM346)&gt;=0,0,IFERROR(-PPMT($CR$66/12,(CL346-60),($F$1-5)*12,$CR$65),0))</f>
        <v>0</v>
      </c>
      <c r="CO346" s="497">
        <f>IF(('Comparison Calculator'!$E$11-CM346)&gt;=0,$C$1*$CI$66/12,IFERROR(-IPMT($CI$66/12,(CL346-60),($F$1-5)*12,$CI$65,0),0))</f>
        <v>0</v>
      </c>
      <c r="CP346" s="497">
        <f t="shared" si="152"/>
        <v>0</v>
      </c>
      <c r="CQ346" s="497">
        <f t="shared" si="165"/>
        <v>1800000</v>
      </c>
      <c r="CR346" s="493"/>
      <c r="CS346" s="493"/>
      <c r="CU346" s="492">
        <v>342</v>
      </c>
      <c r="CV346" s="492">
        <v>29</v>
      </c>
      <c r="CW346" s="497">
        <f>IF(('Comparison Calculator'!$E$11-CV346)&gt;=0,0,IFERROR(-PPMT($DA$66/12,(CU346-60),($F$1-5)*12,$DA$65),0))</f>
        <v>0</v>
      </c>
      <c r="CX346" s="497">
        <f>IF(('Comparison Calculator'!$E$11-CV346)&gt;=0,$C$1*$DA$66/12,IFERROR(-IPMT($DA$66/12,(CU346-60),($F$1-5)*12,$DA$65,0),0))</f>
        <v>0</v>
      </c>
      <c r="CY346" s="497">
        <f t="shared" si="153"/>
        <v>0</v>
      </c>
      <c r="CZ346" s="497">
        <f t="shared" si="166"/>
        <v>1800000</v>
      </c>
      <c r="DA346" s="493"/>
      <c r="DB346" s="493"/>
      <c r="DD346" s="492">
        <v>342</v>
      </c>
      <c r="DE346" s="492">
        <v>29</v>
      </c>
      <c r="DF346" s="497">
        <f>IF(('Comparison Calculator'!$E$11-DE346)&gt;=0,0,IFERROR(-PPMT($DJ$66/12,(DD346-60),($F$1-5)*12,$DJ$65),0))</f>
        <v>0</v>
      </c>
      <c r="DG346" s="497">
        <f>IF(('Comparison Calculator'!$E$11-DE346)&gt;=0,$C$1*$DJ$66/12,IFERROR(-IPMT($DJ$66/12,(DD346-60),($F$1-5)*12,$DJ$65,0),0))</f>
        <v>0</v>
      </c>
      <c r="DH346" s="497">
        <f t="shared" si="154"/>
        <v>0</v>
      </c>
      <c r="DI346" s="497">
        <f t="shared" si="167"/>
        <v>1800000</v>
      </c>
      <c r="DJ346" s="493"/>
      <c r="DK346" s="493"/>
    </row>
    <row r="347" spans="1:115">
      <c r="A347" s="492">
        <v>343</v>
      </c>
      <c r="B347" s="492">
        <v>29</v>
      </c>
      <c r="C347" s="497">
        <f>IF(('Comparison Calculator'!$E$11-B347)&gt;=0,0,IFERROR(-PPMT($G$66/12,(A347-60),($F$1-5)*12,$G$65),0))</f>
        <v>0</v>
      </c>
      <c r="D347" s="497">
        <f>IF(('Comparison Calculator'!$E$11-B347)&gt;=0,$C$1*$G$66/12,IFERROR(-IPMT($G$66/12,(A347-60),($F$1-5)*12,$G$65,0),0))</f>
        <v>0</v>
      </c>
      <c r="E347" s="497">
        <f t="shared" si="142"/>
        <v>0</v>
      </c>
      <c r="F347" s="497">
        <f t="shared" si="155"/>
        <v>1800000</v>
      </c>
      <c r="G347" s="493"/>
      <c r="H347" s="493"/>
      <c r="I347" s="489"/>
      <c r="J347" s="492">
        <v>343</v>
      </c>
      <c r="K347" s="492">
        <v>29</v>
      </c>
      <c r="L347" s="497">
        <f>IF(('Comparison Calculator'!$E$11-K347)&gt;=0,0,IFERROR(-PPMT($P$66/12,(J347-60),($F$1-5)*12,$P$65),0))</f>
        <v>0</v>
      </c>
      <c r="M347" s="497">
        <f>IF(('Comparison Calculator'!$E$11-K347)&gt;=0,$C$1*$P$66/12,IFERROR(-IPMT($P$66/12,(J347-60),($F$1-5)*12,$P$65,0),0))</f>
        <v>0</v>
      </c>
      <c r="N347" s="497">
        <f t="shared" si="143"/>
        <v>0</v>
      </c>
      <c r="O347" s="497">
        <f t="shared" si="156"/>
        <v>1800000</v>
      </c>
      <c r="P347" s="493"/>
      <c r="Q347" s="493"/>
      <c r="S347" s="492">
        <v>343</v>
      </c>
      <c r="T347" s="492">
        <v>29</v>
      </c>
      <c r="U347" s="497">
        <f>IF(('Comparison Calculator'!$E$11-T347)&gt;=0,0,IFERROR(-PPMT($Y$66/12,(S347-60),($F$1-5)*12,$Y$65),0))</f>
        <v>0</v>
      </c>
      <c r="V347" s="497">
        <f>IF(('Comparison Calculator'!$E$11-T347)&gt;=0,$C$1*$Y$66/12,IFERROR(-IPMT($Y$66/12,(S347-60),($F$1-5)*12,$Y$65,0),0))</f>
        <v>0</v>
      </c>
      <c r="W347" s="497">
        <f t="shared" si="144"/>
        <v>0</v>
      </c>
      <c r="X347" s="497">
        <f t="shared" si="157"/>
        <v>1800000</v>
      </c>
      <c r="Y347" s="493"/>
      <c r="Z347" s="493"/>
      <c r="AB347" s="492">
        <v>343</v>
      </c>
      <c r="AC347" s="492">
        <v>29</v>
      </c>
      <c r="AD347" s="497">
        <f>IF(('Comparison Calculator'!$E$11-AC347)&gt;=0,0,IFERROR(-PPMT($AH$66/12,(AB347-60),($F$1-5)*12,$AH$65),0))</f>
        <v>0</v>
      </c>
      <c r="AE347" s="497">
        <f>IF(('Comparison Calculator'!$E$11-AC347)&gt;=0,$C$1*$AH$66/12,IFERROR(-IPMT($AH$66/12,(AB347-60),($F$1-5)*12,$AH$65,0),0))</f>
        <v>0</v>
      </c>
      <c r="AF347" s="497">
        <f t="shared" si="145"/>
        <v>0</v>
      </c>
      <c r="AG347" s="497">
        <f t="shared" si="158"/>
        <v>1800000</v>
      </c>
      <c r="AH347" s="493"/>
      <c r="AI347" s="493"/>
      <c r="AK347" s="492">
        <v>343</v>
      </c>
      <c r="AL347" s="492">
        <v>29</v>
      </c>
      <c r="AM347" s="497">
        <f>IF(('Comparison Calculator'!$E$11-AL347)&gt;=0,0,IFERROR(-PPMT($AQ$66/12,(AK347-60),($F$1-5)*12,$AQ$65),0))</f>
        <v>0</v>
      </c>
      <c r="AN347" s="497">
        <f>IF(('Comparison Calculator'!$E$11-AL347)&gt;=0,$C$1*$AQ$66/12,IFERROR(-IPMT($AQ$66/12,(AK347-60),($F$1-5)*12,$AQ$65,0),0))</f>
        <v>0</v>
      </c>
      <c r="AO347" s="497">
        <f t="shared" si="146"/>
        <v>0</v>
      </c>
      <c r="AP347" s="497">
        <f t="shared" si="159"/>
        <v>1800000</v>
      </c>
      <c r="AQ347" s="493"/>
      <c r="AR347" s="493"/>
      <c r="AT347" s="492">
        <v>343</v>
      </c>
      <c r="AU347" s="492">
        <v>29</v>
      </c>
      <c r="AV347" s="497">
        <f>IF(('Comparison Calculator'!$E$11-AU347)&gt;=0,0,IFERROR(-PPMT($AZ$66/12,(AT347-60),($F$1-5)*12,$AZ$65),0))</f>
        <v>0</v>
      </c>
      <c r="AW347" s="497">
        <f>IF(('Comparison Calculator'!$E$11-AU347)&gt;=0,$C$1*$AZ$66/12,IFERROR(-IPMT($AZ$66/12,(AT347-60),($F$1-5)*12,$AZ$65,0),0))</f>
        <v>0</v>
      </c>
      <c r="AX347" s="497">
        <f t="shared" si="147"/>
        <v>0</v>
      </c>
      <c r="AY347" s="497">
        <f t="shared" si="160"/>
        <v>1800000</v>
      </c>
      <c r="AZ347" s="493"/>
      <c r="BA347" s="493"/>
      <c r="BC347" s="492">
        <v>343</v>
      </c>
      <c r="BD347" s="492">
        <v>29</v>
      </c>
      <c r="BE347" s="497">
        <f>IF(('Comparison Calculator'!$E$11-BD347)&gt;=0,0,IFERROR(-PPMT($BI$66/12,(BC347-60),($F$1-5)*12,$BI$65),0))</f>
        <v>0</v>
      </c>
      <c r="BF347" s="497">
        <f>IF(('Comparison Calculator'!$E$11-BD347)&gt;=0,$C$1*$BI$66/12,IFERROR(-IPMT($BI$66/12,(BC347-60),($F$1-5)*12,$BI$65,0),0))</f>
        <v>0</v>
      </c>
      <c r="BG347" s="497">
        <f t="shared" si="148"/>
        <v>0</v>
      </c>
      <c r="BH347" s="497">
        <f t="shared" si="161"/>
        <v>1800000</v>
      </c>
      <c r="BI347" s="493"/>
      <c r="BJ347" s="493"/>
      <c r="BK347" s="492">
        <v>343</v>
      </c>
      <c r="BL347" s="492">
        <v>29</v>
      </c>
      <c r="BM347" s="497">
        <f>IF(('Comparison Calculator'!$E$11-BL347)&gt;=0,0,IFERROR(-PPMT($BQ$66/12,(BK347-60),($F$1-5)*12,$BQ$65),0))</f>
        <v>0</v>
      </c>
      <c r="BN347" s="497">
        <f>IF(('Comparison Calculator'!$E$11-BL347)&gt;=0,$C$1*$BQ$66/12,IFERROR(-IPMT($BQ$66/12,(BK347-60),($F$1-5)*12,$BQ$65,0),0))</f>
        <v>0</v>
      </c>
      <c r="BO347" s="497">
        <f t="shared" si="149"/>
        <v>0</v>
      </c>
      <c r="BP347" s="497">
        <f t="shared" si="162"/>
        <v>1800000</v>
      </c>
      <c r="BQ347" s="493"/>
      <c r="BR347" s="493"/>
      <c r="BT347" s="492">
        <v>343</v>
      </c>
      <c r="BU347" s="492">
        <v>29</v>
      </c>
      <c r="BV347" s="497">
        <f>IF(('Comparison Calculator'!$E$11-BU347)&gt;=0,0,IFERROR(-PPMT($BZ$66/12,(BT347-60),($F$1-5)*12,$BZ$65),0))</f>
        <v>0</v>
      </c>
      <c r="BW347" s="497">
        <f>IF(('Comparison Calculator'!$E$11-BU347)&gt;=0,$C$1*$BZ$66/12,IFERROR(-IPMT($BZ$66/12,(BT347-60),($F$1-5)*12,$BZ$65,0),0))</f>
        <v>0</v>
      </c>
      <c r="BX347" s="497">
        <f t="shared" si="150"/>
        <v>0</v>
      </c>
      <c r="BY347" s="497">
        <f t="shared" si="163"/>
        <v>1800000</v>
      </c>
      <c r="BZ347" s="493"/>
      <c r="CA347" s="493"/>
      <c r="CC347" s="492">
        <v>343</v>
      </c>
      <c r="CD347" s="492">
        <v>29</v>
      </c>
      <c r="CE347" s="497">
        <f>IF(('Comparison Calculator'!$E$11-CD347)&gt;=0,0,IFERROR(-PPMT($CI$66/12,(CC347-60),($F$1-5)*12,$CI$65),0))</f>
        <v>0</v>
      </c>
      <c r="CF347" s="497">
        <f>IF(('Comparison Calculator'!$E$11-CD347)&gt;=0,$C$1*$CI$66/12,IFERROR(-IPMT($CI$66/12,(CC347-60),($F$1-5)*12,$CI$65,0),0))</f>
        <v>0</v>
      </c>
      <c r="CG347" s="497">
        <f t="shared" si="151"/>
        <v>0</v>
      </c>
      <c r="CH347" s="497">
        <f t="shared" si="164"/>
        <v>1800000</v>
      </c>
      <c r="CI347" s="493"/>
      <c r="CJ347" s="493"/>
      <c r="CL347" s="492">
        <v>343</v>
      </c>
      <c r="CM347" s="492">
        <v>29</v>
      </c>
      <c r="CN347" s="497">
        <f>IF(('Comparison Calculator'!$E$11-CM347)&gt;=0,0,IFERROR(-PPMT($CR$66/12,(CL347-60),($F$1-5)*12,$CR$65),0))</f>
        <v>0</v>
      </c>
      <c r="CO347" s="497">
        <f>IF(('Comparison Calculator'!$E$11-CM347)&gt;=0,$C$1*$CI$66/12,IFERROR(-IPMT($CI$66/12,(CL347-60),($F$1-5)*12,$CI$65,0),0))</f>
        <v>0</v>
      </c>
      <c r="CP347" s="497">
        <f t="shared" si="152"/>
        <v>0</v>
      </c>
      <c r="CQ347" s="497">
        <f t="shared" si="165"/>
        <v>1800000</v>
      </c>
      <c r="CR347" s="493"/>
      <c r="CS347" s="493"/>
      <c r="CU347" s="492">
        <v>343</v>
      </c>
      <c r="CV347" s="492">
        <v>29</v>
      </c>
      <c r="CW347" s="497">
        <f>IF(('Comparison Calculator'!$E$11-CV347)&gt;=0,0,IFERROR(-PPMT($DA$66/12,(CU347-60),($F$1-5)*12,$DA$65),0))</f>
        <v>0</v>
      </c>
      <c r="CX347" s="497">
        <f>IF(('Comparison Calculator'!$E$11-CV347)&gt;=0,$C$1*$DA$66/12,IFERROR(-IPMT($DA$66/12,(CU347-60),($F$1-5)*12,$DA$65,0),0))</f>
        <v>0</v>
      </c>
      <c r="CY347" s="497">
        <f t="shared" si="153"/>
        <v>0</v>
      </c>
      <c r="CZ347" s="497">
        <f t="shared" si="166"/>
        <v>1800000</v>
      </c>
      <c r="DA347" s="493"/>
      <c r="DB347" s="493"/>
      <c r="DD347" s="492">
        <v>343</v>
      </c>
      <c r="DE347" s="492">
        <v>29</v>
      </c>
      <c r="DF347" s="497">
        <f>IF(('Comparison Calculator'!$E$11-DE347)&gt;=0,0,IFERROR(-PPMT($DJ$66/12,(DD347-60),($F$1-5)*12,$DJ$65),0))</f>
        <v>0</v>
      </c>
      <c r="DG347" s="497">
        <f>IF(('Comparison Calculator'!$E$11-DE347)&gt;=0,$C$1*$DJ$66/12,IFERROR(-IPMT($DJ$66/12,(DD347-60),($F$1-5)*12,$DJ$65,0),0))</f>
        <v>0</v>
      </c>
      <c r="DH347" s="497">
        <f t="shared" si="154"/>
        <v>0</v>
      </c>
      <c r="DI347" s="497">
        <f t="shared" si="167"/>
        <v>1800000</v>
      </c>
      <c r="DJ347" s="493"/>
      <c r="DK347" s="493"/>
    </row>
    <row r="348" spans="1:115">
      <c r="A348" s="492">
        <v>344</v>
      </c>
      <c r="B348" s="492">
        <v>29</v>
      </c>
      <c r="C348" s="497">
        <f>IF(('Comparison Calculator'!$E$11-B348)&gt;=0,0,IFERROR(-PPMT($G$66/12,(A348-60),($F$1-5)*12,$G$65),0))</f>
        <v>0</v>
      </c>
      <c r="D348" s="497">
        <f>IF(('Comparison Calculator'!$E$11-B348)&gt;=0,$C$1*$G$66/12,IFERROR(-IPMT($G$66/12,(A348-60),($F$1-5)*12,$G$65,0),0))</f>
        <v>0</v>
      </c>
      <c r="E348" s="497">
        <f t="shared" si="142"/>
        <v>0</v>
      </c>
      <c r="F348" s="497">
        <f t="shared" si="155"/>
        <v>1800000</v>
      </c>
      <c r="G348" s="493"/>
      <c r="H348" s="493"/>
      <c r="I348" s="489"/>
      <c r="J348" s="492">
        <v>344</v>
      </c>
      <c r="K348" s="492">
        <v>29</v>
      </c>
      <c r="L348" s="497">
        <f>IF(('Comparison Calculator'!$E$11-K348)&gt;=0,0,IFERROR(-PPMT($P$66/12,(J348-60),($F$1-5)*12,$P$65),0))</f>
        <v>0</v>
      </c>
      <c r="M348" s="497">
        <f>IF(('Comparison Calculator'!$E$11-K348)&gt;=0,$C$1*$P$66/12,IFERROR(-IPMT($P$66/12,(J348-60),($F$1-5)*12,$P$65,0),0))</f>
        <v>0</v>
      </c>
      <c r="N348" s="497">
        <f t="shared" si="143"/>
        <v>0</v>
      </c>
      <c r="O348" s="497">
        <f t="shared" si="156"/>
        <v>1800000</v>
      </c>
      <c r="P348" s="493"/>
      <c r="Q348" s="493"/>
      <c r="S348" s="492">
        <v>344</v>
      </c>
      <c r="T348" s="492">
        <v>29</v>
      </c>
      <c r="U348" s="497">
        <f>IF(('Comparison Calculator'!$E$11-T348)&gt;=0,0,IFERROR(-PPMT($Y$66/12,(S348-60),($F$1-5)*12,$Y$65),0))</f>
        <v>0</v>
      </c>
      <c r="V348" s="497">
        <f>IF(('Comparison Calculator'!$E$11-T348)&gt;=0,$C$1*$Y$66/12,IFERROR(-IPMT($Y$66/12,(S348-60),($F$1-5)*12,$Y$65,0),0))</f>
        <v>0</v>
      </c>
      <c r="W348" s="497">
        <f t="shared" si="144"/>
        <v>0</v>
      </c>
      <c r="X348" s="497">
        <f t="shared" si="157"/>
        <v>1800000</v>
      </c>
      <c r="Y348" s="493"/>
      <c r="Z348" s="493"/>
      <c r="AB348" s="492">
        <v>344</v>
      </c>
      <c r="AC348" s="492">
        <v>29</v>
      </c>
      <c r="AD348" s="497">
        <f>IF(('Comparison Calculator'!$E$11-AC348)&gt;=0,0,IFERROR(-PPMT($AH$66/12,(AB348-60),($F$1-5)*12,$AH$65),0))</f>
        <v>0</v>
      </c>
      <c r="AE348" s="497">
        <f>IF(('Comparison Calculator'!$E$11-AC348)&gt;=0,$C$1*$AH$66/12,IFERROR(-IPMT($AH$66/12,(AB348-60),($F$1-5)*12,$AH$65,0),0))</f>
        <v>0</v>
      </c>
      <c r="AF348" s="497">
        <f t="shared" si="145"/>
        <v>0</v>
      </c>
      <c r="AG348" s="497">
        <f t="shared" si="158"/>
        <v>1800000</v>
      </c>
      <c r="AH348" s="493"/>
      <c r="AI348" s="493"/>
      <c r="AK348" s="492">
        <v>344</v>
      </c>
      <c r="AL348" s="492">
        <v>29</v>
      </c>
      <c r="AM348" s="497">
        <f>IF(('Comparison Calculator'!$E$11-AL348)&gt;=0,0,IFERROR(-PPMT($AQ$66/12,(AK348-60),($F$1-5)*12,$AQ$65),0))</f>
        <v>0</v>
      </c>
      <c r="AN348" s="497">
        <f>IF(('Comparison Calculator'!$E$11-AL348)&gt;=0,$C$1*$AQ$66/12,IFERROR(-IPMT($AQ$66/12,(AK348-60),($F$1-5)*12,$AQ$65,0),0))</f>
        <v>0</v>
      </c>
      <c r="AO348" s="497">
        <f t="shared" si="146"/>
        <v>0</v>
      </c>
      <c r="AP348" s="497">
        <f t="shared" si="159"/>
        <v>1800000</v>
      </c>
      <c r="AQ348" s="493"/>
      <c r="AR348" s="493"/>
      <c r="AT348" s="492">
        <v>344</v>
      </c>
      <c r="AU348" s="492">
        <v>29</v>
      </c>
      <c r="AV348" s="497">
        <f>IF(('Comparison Calculator'!$E$11-AU348)&gt;=0,0,IFERROR(-PPMT($AZ$66/12,(AT348-60),($F$1-5)*12,$AZ$65),0))</f>
        <v>0</v>
      </c>
      <c r="AW348" s="497">
        <f>IF(('Comparison Calculator'!$E$11-AU348)&gt;=0,$C$1*$AZ$66/12,IFERROR(-IPMT($AZ$66/12,(AT348-60),($F$1-5)*12,$AZ$65,0),0))</f>
        <v>0</v>
      </c>
      <c r="AX348" s="497">
        <f t="shared" si="147"/>
        <v>0</v>
      </c>
      <c r="AY348" s="497">
        <f t="shared" si="160"/>
        <v>1800000</v>
      </c>
      <c r="AZ348" s="493"/>
      <c r="BA348" s="493"/>
      <c r="BC348" s="492">
        <v>344</v>
      </c>
      <c r="BD348" s="492">
        <v>29</v>
      </c>
      <c r="BE348" s="497">
        <f>IF(('Comparison Calculator'!$E$11-BD348)&gt;=0,0,IFERROR(-PPMT($BI$66/12,(BC348-60),($F$1-5)*12,$BI$65),0))</f>
        <v>0</v>
      </c>
      <c r="BF348" s="497">
        <f>IF(('Comparison Calculator'!$E$11-BD348)&gt;=0,$C$1*$BI$66/12,IFERROR(-IPMT($BI$66/12,(BC348-60),($F$1-5)*12,$BI$65,0),0))</f>
        <v>0</v>
      </c>
      <c r="BG348" s="497">
        <f t="shared" si="148"/>
        <v>0</v>
      </c>
      <c r="BH348" s="497">
        <f t="shared" si="161"/>
        <v>1800000</v>
      </c>
      <c r="BI348" s="493"/>
      <c r="BJ348" s="493"/>
      <c r="BK348" s="492">
        <v>344</v>
      </c>
      <c r="BL348" s="492">
        <v>29</v>
      </c>
      <c r="BM348" s="497">
        <f>IF(('Comparison Calculator'!$E$11-BL348)&gt;=0,0,IFERROR(-PPMT($BQ$66/12,(BK348-60),($F$1-5)*12,$BQ$65),0))</f>
        <v>0</v>
      </c>
      <c r="BN348" s="497">
        <f>IF(('Comparison Calculator'!$E$11-BL348)&gt;=0,$C$1*$BQ$66/12,IFERROR(-IPMT($BQ$66/12,(BK348-60),($F$1-5)*12,$BQ$65,0),0))</f>
        <v>0</v>
      </c>
      <c r="BO348" s="497">
        <f t="shared" si="149"/>
        <v>0</v>
      </c>
      <c r="BP348" s="497">
        <f t="shared" si="162"/>
        <v>1800000</v>
      </c>
      <c r="BQ348" s="493"/>
      <c r="BR348" s="493"/>
      <c r="BT348" s="492">
        <v>344</v>
      </c>
      <c r="BU348" s="492">
        <v>29</v>
      </c>
      <c r="BV348" s="497">
        <f>IF(('Comparison Calculator'!$E$11-BU348)&gt;=0,0,IFERROR(-PPMT($BZ$66/12,(BT348-60),($F$1-5)*12,$BZ$65),0))</f>
        <v>0</v>
      </c>
      <c r="BW348" s="497">
        <f>IF(('Comparison Calculator'!$E$11-BU348)&gt;=0,$C$1*$BZ$66/12,IFERROR(-IPMT($BZ$66/12,(BT348-60),($F$1-5)*12,$BZ$65,0),0))</f>
        <v>0</v>
      </c>
      <c r="BX348" s="497">
        <f t="shared" si="150"/>
        <v>0</v>
      </c>
      <c r="BY348" s="497">
        <f t="shared" si="163"/>
        <v>1800000</v>
      </c>
      <c r="BZ348" s="493"/>
      <c r="CA348" s="493"/>
      <c r="CC348" s="492">
        <v>344</v>
      </c>
      <c r="CD348" s="492">
        <v>29</v>
      </c>
      <c r="CE348" s="497">
        <f>IF(('Comparison Calculator'!$E$11-CD348)&gt;=0,0,IFERROR(-PPMT($CI$66/12,(CC348-60),($F$1-5)*12,$CI$65),0))</f>
        <v>0</v>
      </c>
      <c r="CF348" s="497">
        <f>IF(('Comparison Calculator'!$E$11-CD348)&gt;=0,$C$1*$CI$66/12,IFERROR(-IPMT($CI$66/12,(CC348-60),($F$1-5)*12,$CI$65,0),0))</f>
        <v>0</v>
      </c>
      <c r="CG348" s="497">
        <f t="shared" si="151"/>
        <v>0</v>
      </c>
      <c r="CH348" s="497">
        <f t="shared" si="164"/>
        <v>1800000</v>
      </c>
      <c r="CI348" s="493"/>
      <c r="CJ348" s="493"/>
      <c r="CL348" s="492">
        <v>344</v>
      </c>
      <c r="CM348" s="492">
        <v>29</v>
      </c>
      <c r="CN348" s="497">
        <f>IF(('Comparison Calculator'!$E$11-CM348)&gt;=0,0,IFERROR(-PPMT($CR$66/12,(CL348-60),($F$1-5)*12,$CR$65),0))</f>
        <v>0</v>
      </c>
      <c r="CO348" s="497">
        <f>IF(('Comparison Calculator'!$E$11-CM348)&gt;=0,$C$1*$CI$66/12,IFERROR(-IPMT($CI$66/12,(CL348-60),($F$1-5)*12,$CI$65,0),0))</f>
        <v>0</v>
      </c>
      <c r="CP348" s="497">
        <f t="shared" si="152"/>
        <v>0</v>
      </c>
      <c r="CQ348" s="497">
        <f t="shared" si="165"/>
        <v>1800000</v>
      </c>
      <c r="CR348" s="493"/>
      <c r="CS348" s="493"/>
      <c r="CU348" s="492">
        <v>344</v>
      </c>
      <c r="CV348" s="492">
        <v>29</v>
      </c>
      <c r="CW348" s="497">
        <f>IF(('Comparison Calculator'!$E$11-CV348)&gt;=0,0,IFERROR(-PPMT($DA$66/12,(CU348-60),($F$1-5)*12,$DA$65),0))</f>
        <v>0</v>
      </c>
      <c r="CX348" s="497">
        <f>IF(('Comparison Calculator'!$E$11-CV348)&gt;=0,$C$1*$DA$66/12,IFERROR(-IPMT($DA$66/12,(CU348-60),($F$1-5)*12,$DA$65,0),0))</f>
        <v>0</v>
      </c>
      <c r="CY348" s="497">
        <f t="shared" si="153"/>
        <v>0</v>
      </c>
      <c r="CZ348" s="497">
        <f t="shared" si="166"/>
        <v>1800000</v>
      </c>
      <c r="DA348" s="493"/>
      <c r="DB348" s="493"/>
      <c r="DD348" s="492">
        <v>344</v>
      </c>
      <c r="DE348" s="492">
        <v>29</v>
      </c>
      <c r="DF348" s="497">
        <f>IF(('Comparison Calculator'!$E$11-DE348)&gt;=0,0,IFERROR(-PPMT($DJ$66/12,(DD348-60),($F$1-5)*12,$DJ$65),0))</f>
        <v>0</v>
      </c>
      <c r="DG348" s="497">
        <f>IF(('Comparison Calculator'!$E$11-DE348)&gt;=0,$C$1*$DJ$66/12,IFERROR(-IPMT($DJ$66/12,(DD348-60),($F$1-5)*12,$DJ$65,0),0))</f>
        <v>0</v>
      </c>
      <c r="DH348" s="497">
        <f t="shared" si="154"/>
        <v>0</v>
      </c>
      <c r="DI348" s="497">
        <f t="shared" si="167"/>
        <v>1800000</v>
      </c>
      <c r="DJ348" s="493"/>
      <c r="DK348" s="493"/>
    </row>
    <row r="349" spans="1:115">
      <c r="A349" s="492">
        <v>345</v>
      </c>
      <c r="B349" s="492">
        <v>29</v>
      </c>
      <c r="C349" s="497">
        <f>IF(('Comparison Calculator'!$E$11-B349)&gt;=0,0,IFERROR(-PPMT($G$66/12,(A349-60),($F$1-5)*12,$G$65),0))</f>
        <v>0</v>
      </c>
      <c r="D349" s="497">
        <f>IF(('Comparison Calculator'!$E$11-B349)&gt;=0,$C$1*$G$66/12,IFERROR(-IPMT($G$66/12,(A349-60),($F$1-5)*12,$G$65,0),0))</f>
        <v>0</v>
      </c>
      <c r="E349" s="497">
        <f t="shared" si="142"/>
        <v>0</v>
      </c>
      <c r="F349" s="497">
        <f t="shared" si="155"/>
        <v>1800000</v>
      </c>
      <c r="G349" s="493"/>
      <c r="H349" s="493"/>
      <c r="I349" s="489"/>
      <c r="J349" s="492">
        <v>345</v>
      </c>
      <c r="K349" s="492">
        <v>29</v>
      </c>
      <c r="L349" s="497">
        <f>IF(('Comparison Calculator'!$E$11-K349)&gt;=0,0,IFERROR(-PPMT($P$66/12,(J349-60),($F$1-5)*12,$P$65),0))</f>
        <v>0</v>
      </c>
      <c r="M349" s="497">
        <f>IF(('Comparison Calculator'!$E$11-K349)&gt;=0,$C$1*$P$66/12,IFERROR(-IPMT($P$66/12,(J349-60),($F$1-5)*12,$P$65,0),0))</f>
        <v>0</v>
      </c>
      <c r="N349" s="497">
        <f t="shared" si="143"/>
        <v>0</v>
      </c>
      <c r="O349" s="497">
        <f t="shared" si="156"/>
        <v>1800000</v>
      </c>
      <c r="P349" s="493"/>
      <c r="Q349" s="493"/>
      <c r="S349" s="492">
        <v>345</v>
      </c>
      <c r="T349" s="492">
        <v>29</v>
      </c>
      <c r="U349" s="497">
        <f>IF(('Comparison Calculator'!$E$11-T349)&gt;=0,0,IFERROR(-PPMT($Y$66/12,(S349-60),($F$1-5)*12,$Y$65),0))</f>
        <v>0</v>
      </c>
      <c r="V349" s="497">
        <f>IF(('Comparison Calculator'!$E$11-T349)&gt;=0,$C$1*$Y$66/12,IFERROR(-IPMT($Y$66/12,(S349-60),($F$1-5)*12,$Y$65,0),0))</f>
        <v>0</v>
      </c>
      <c r="W349" s="497">
        <f t="shared" si="144"/>
        <v>0</v>
      </c>
      <c r="X349" s="497">
        <f t="shared" si="157"/>
        <v>1800000</v>
      </c>
      <c r="Y349" s="493"/>
      <c r="Z349" s="493"/>
      <c r="AB349" s="492">
        <v>345</v>
      </c>
      <c r="AC349" s="492">
        <v>29</v>
      </c>
      <c r="AD349" s="497">
        <f>IF(('Comparison Calculator'!$E$11-AC349)&gt;=0,0,IFERROR(-PPMT($AH$66/12,(AB349-60),($F$1-5)*12,$AH$65),0))</f>
        <v>0</v>
      </c>
      <c r="AE349" s="497">
        <f>IF(('Comparison Calculator'!$E$11-AC349)&gt;=0,$C$1*$AH$66/12,IFERROR(-IPMT($AH$66/12,(AB349-60),($F$1-5)*12,$AH$65,0),0))</f>
        <v>0</v>
      </c>
      <c r="AF349" s="497">
        <f t="shared" si="145"/>
        <v>0</v>
      </c>
      <c r="AG349" s="497">
        <f t="shared" si="158"/>
        <v>1800000</v>
      </c>
      <c r="AH349" s="493"/>
      <c r="AI349" s="493"/>
      <c r="AK349" s="492">
        <v>345</v>
      </c>
      <c r="AL349" s="492">
        <v>29</v>
      </c>
      <c r="AM349" s="497">
        <f>IF(('Comparison Calculator'!$E$11-AL349)&gt;=0,0,IFERROR(-PPMT($AQ$66/12,(AK349-60),($F$1-5)*12,$AQ$65),0))</f>
        <v>0</v>
      </c>
      <c r="AN349" s="497">
        <f>IF(('Comparison Calculator'!$E$11-AL349)&gt;=0,$C$1*$AQ$66/12,IFERROR(-IPMT($AQ$66/12,(AK349-60),($F$1-5)*12,$AQ$65,0),0))</f>
        <v>0</v>
      </c>
      <c r="AO349" s="497">
        <f t="shared" si="146"/>
        <v>0</v>
      </c>
      <c r="AP349" s="497">
        <f t="shared" si="159"/>
        <v>1800000</v>
      </c>
      <c r="AQ349" s="493"/>
      <c r="AR349" s="493"/>
      <c r="AT349" s="492">
        <v>345</v>
      </c>
      <c r="AU349" s="492">
        <v>29</v>
      </c>
      <c r="AV349" s="497">
        <f>IF(('Comparison Calculator'!$E$11-AU349)&gt;=0,0,IFERROR(-PPMT($AZ$66/12,(AT349-60),($F$1-5)*12,$AZ$65),0))</f>
        <v>0</v>
      </c>
      <c r="AW349" s="497">
        <f>IF(('Comparison Calculator'!$E$11-AU349)&gt;=0,$C$1*$AZ$66/12,IFERROR(-IPMT($AZ$66/12,(AT349-60),($F$1-5)*12,$AZ$65,0),0))</f>
        <v>0</v>
      </c>
      <c r="AX349" s="497">
        <f t="shared" si="147"/>
        <v>0</v>
      </c>
      <c r="AY349" s="497">
        <f t="shared" si="160"/>
        <v>1800000</v>
      </c>
      <c r="AZ349" s="493"/>
      <c r="BA349" s="493"/>
      <c r="BC349" s="492">
        <v>345</v>
      </c>
      <c r="BD349" s="492">
        <v>29</v>
      </c>
      <c r="BE349" s="497">
        <f>IF(('Comparison Calculator'!$E$11-BD349)&gt;=0,0,IFERROR(-PPMT($BI$66/12,(BC349-60),($F$1-5)*12,$BI$65),0))</f>
        <v>0</v>
      </c>
      <c r="BF349" s="497">
        <f>IF(('Comparison Calculator'!$E$11-BD349)&gt;=0,$C$1*$BI$66/12,IFERROR(-IPMT($BI$66/12,(BC349-60),($F$1-5)*12,$BI$65,0),0))</f>
        <v>0</v>
      </c>
      <c r="BG349" s="497">
        <f t="shared" si="148"/>
        <v>0</v>
      </c>
      <c r="BH349" s="497">
        <f t="shared" si="161"/>
        <v>1800000</v>
      </c>
      <c r="BI349" s="493"/>
      <c r="BJ349" s="493"/>
      <c r="BK349" s="492">
        <v>345</v>
      </c>
      <c r="BL349" s="492">
        <v>29</v>
      </c>
      <c r="BM349" s="497">
        <f>IF(('Comparison Calculator'!$E$11-BL349)&gt;=0,0,IFERROR(-PPMT($BQ$66/12,(BK349-60),($F$1-5)*12,$BQ$65),0))</f>
        <v>0</v>
      </c>
      <c r="BN349" s="497">
        <f>IF(('Comparison Calculator'!$E$11-BL349)&gt;=0,$C$1*$BQ$66/12,IFERROR(-IPMT($BQ$66/12,(BK349-60),($F$1-5)*12,$BQ$65,0),0))</f>
        <v>0</v>
      </c>
      <c r="BO349" s="497">
        <f t="shared" si="149"/>
        <v>0</v>
      </c>
      <c r="BP349" s="497">
        <f t="shared" si="162"/>
        <v>1800000</v>
      </c>
      <c r="BQ349" s="493"/>
      <c r="BR349" s="493"/>
      <c r="BT349" s="492">
        <v>345</v>
      </c>
      <c r="BU349" s="492">
        <v>29</v>
      </c>
      <c r="BV349" s="497">
        <f>IF(('Comparison Calculator'!$E$11-BU349)&gt;=0,0,IFERROR(-PPMT($BZ$66/12,(BT349-60),($F$1-5)*12,$BZ$65),0))</f>
        <v>0</v>
      </c>
      <c r="BW349" s="497">
        <f>IF(('Comparison Calculator'!$E$11-BU349)&gt;=0,$C$1*$BZ$66/12,IFERROR(-IPMT($BZ$66/12,(BT349-60),($F$1-5)*12,$BZ$65,0),0))</f>
        <v>0</v>
      </c>
      <c r="BX349" s="497">
        <f t="shared" si="150"/>
        <v>0</v>
      </c>
      <c r="BY349" s="497">
        <f t="shared" si="163"/>
        <v>1800000</v>
      </c>
      <c r="BZ349" s="493"/>
      <c r="CA349" s="493"/>
      <c r="CC349" s="492">
        <v>345</v>
      </c>
      <c r="CD349" s="492">
        <v>29</v>
      </c>
      <c r="CE349" s="497">
        <f>IF(('Comparison Calculator'!$E$11-CD349)&gt;=0,0,IFERROR(-PPMT($CI$66/12,(CC349-60),($F$1-5)*12,$CI$65),0))</f>
        <v>0</v>
      </c>
      <c r="CF349" s="497">
        <f>IF(('Comparison Calculator'!$E$11-CD349)&gt;=0,$C$1*$CI$66/12,IFERROR(-IPMT($CI$66/12,(CC349-60),($F$1-5)*12,$CI$65,0),0))</f>
        <v>0</v>
      </c>
      <c r="CG349" s="497">
        <f t="shared" si="151"/>
        <v>0</v>
      </c>
      <c r="CH349" s="497">
        <f t="shared" si="164"/>
        <v>1800000</v>
      </c>
      <c r="CI349" s="493"/>
      <c r="CJ349" s="493"/>
      <c r="CL349" s="492">
        <v>345</v>
      </c>
      <c r="CM349" s="492">
        <v>29</v>
      </c>
      <c r="CN349" s="497">
        <f>IF(('Comparison Calculator'!$E$11-CM349)&gt;=0,0,IFERROR(-PPMT($CR$66/12,(CL349-60),($F$1-5)*12,$CR$65),0))</f>
        <v>0</v>
      </c>
      <c r="CO349" s="497">
        <f>IF(('Comparison Calculator'!$E$11-CM349)&gt;=0,$C$1*$CI$66/12,IFERROR(-IPMT($CI$66/12,(CL349-60),($F$1-5)*12,$CI$65,0),0))</f>
        <v>0</v>
      </c>
      <c r="CP349" s="497">
        <f t="shared" si="152"/>
        <v>0</v>
      </c>
      <c r="CQ349" s="497">
        <f t="shared" si="165"/>
        <v>1800000</v>
      </c>
      <c r="CR349" s="493"/>
      <c r="CS349" s="493"/>
      <c r="CU349" s="492">
        <v>345</v>
      </c>
      <c r="CV349" s="492">
        <v>29</v>
      </c>
      <c r="CW349" s="497">
        <f>IF(('Comparison Calculator'!$E$11-CV349)&gt;=0,0,IFERROR(-PPMT($DA$66/12,(CU349-60),($F$1-5)*12,$DA$65),0))</f>
        <v>0</v>
      </c>
      <c r="CX349" s="497">
        <f>IF(('Comparison Calculator'!$E$11-CV349)&gt;=0,$C$1*$DA$66/12,IFERROR(-IPMT($DA$66/12,(CU349-60),($F$1-5)*12,$DA$65,0),0))</f>
        <v>0</v>
      </c>
      <c r="CY349" s="497">
        <f t="shared" si="153"/>
        <v>0</v>
      </c>
      <c r="CZ349" s="497">
        <f t="shared" si="166"/>
        <v>1800000</v>
      </c>
      <c r="DA349" s="493"/>
      <c r="DB349" s="493"/>
      <c r="DD349" s="492">
        <v>345</v>
      </c>
      <c r="DE349" s="492">
        <v>29</v>
      </c>
      <c r="DF349" s="497">
        <f>IF(('Comparison Calculator'!$E$11-DE349)&gt;=0,0,IFERROR(-PPMT($DJ$66/12,(DD349-60),($F$1-5)*12,$DJ$65),0))</f>
        <v>0</v>
      </c>
      <c r="DG349" s="497">
        <f>IF(('Comparison Calculator'!$E$11-DE349)&gt;=0,$C$1*$DJ$66/12,IFERROR(-IPMT($DJ$66/12,(DD349-60),($F$1-5)*12,$DJ$65,0),0))</f>
        <v>0</v>
      </c>
      <c r="DH349" s="497">
        <f t="shared" si="154"/>
        <v>0</v>
      </c>
      <c r="DI349" s="497">
        <f t="shared" si="167"/>
        <v>1800000</v>
      </c>
      <c r="DJ349" s="493"/>
      <c r="DK349" s="493"/>
    </row>
    <row r="350" spans="1:115">
      <c r="A350" s="492">
        <v>346</v>
      </c>
      <c r="B350" s="492">
        <v>29</v>
      </c>
      <c r="C350" s="497">
        <f>IF(('Comparison Calculator'!$E$11-B350)&gt;=0,0,IFERROR(-PPMT($G$66/12,(A350-60),($F$1-5)*12,$G$65),0))</f>
        <v>0</v>
      </c>
      <c r="D350" s="497">
        <f>IF(('Comparison Calculator'!$E$11-B350)&gt;=0,$C$1*$G$66/12,IFERROR(-IPMT($G$66/12,(A350-60),($F$1-5)*12,$G$65,0),0))</f>
        <v>0</v>
      </c>
      <c r="E350" s="497">
        <f t="shared" si="142"/>
        <v>0</v>
      </c>
      <c r="F350" s="497">
        <f t="shared" si="155"/>
        <v>1800000</v>
      </c>
      <c r="G350" s="493"/>
      <c r="H350" s="493"/>
      <c r="I350" s="489"/>
      <c r="J350" s="492">
        <v>346</v>
      </c>
      <c r="K350" s="492">
        <v>29</v>
      </c>
      <c r="L350" s="497">
        <f>IF(('Comparison Calculator'!$E$11-K350)&gt;=0,0,IFERROR(-PPMT($P$66/12,(J350-60),($F$1-5)*12,$P$65),0))</f>
        <v>0</v>
      </c>
      <c r="M350" s="497">
        <f>IF(('Comparison Calculator'!$E$11-K350)&gt;=0,$C$1*$P$66/12,IFERROR(-IPMT($P$66/12,(J350-60),($F$1-5)*12,$P$65,0),0))</f>
        <v>0</v>
      </c>
      <c r="N350" s="497">
        <f t="shared" si="143"/>
        <v>0</v>
      </c>
      <c r="O350" s="497">
        <f t="shared" si="156"/>
        <v>1800000</v>
      </c>
      <c r="P350" s="493"/>
      <c r="Q350" s="493"/>
      <c r="S350" s="492">
        <v>346</v>
      </c>
      <c r="T350" s="492">
        <v>29</v>
      </c>
      <c r="U350" s="497">
        <f>IF(('Comparison Calculator'!$E$11-T350)&gt;=0,0,IFERROR(-PPMT($Y$66/12,(S350-60),($F$1-5)*12,$Y$65),0))</f>
        <v>0</v>
      </c>
      <c r="V350" s="497">
        <f>IF(('Comparison Calculator'!$E$11-T350)&gt;=0,$C$1*$Y$66/12,IFERROR(-IPMT($Y$66/12,(S350-60),($F$1-5)*12,$Y$65,0),0))</f>
        <v>0</v>
      </c>
      <c r="W350" s="497">
        <f t="shared" si="144"/>
        <v>0</v>
      </c>
      <c r="X350" s="497">
        <f t="shared" si="157"/>
        <v>1800000</v>
      </c>
      <c r="Y350" s="493"/>
      <c r="Z350" s="493"/>
      <c r="AB350" s="492">
        <v>346</v>
      </c>
      <c r="AC350" s="492">
        <v>29</v>
      </c>
      <c r="AD350" s="497">
        <f>IF(('Comparison Calculator'!$E$11-AC350)&gt;=0,0,IFERROR(-PPMT($AH$66/12,(AB350-60),($F$1-5)*12,$AH$65),0))</f>
        <v>0</v>
      </c>
      <c r="AE350" s="497">
        <f>IF(('Comparison Calculator'!$E$11-AC350)&gt;=0,$C$1*$AH$66/12,IFERROR(-IPMT($AH$66/12,(AB350-60),($F$1-5)*12,$AH$65,0),0))</f>
        <v>0</v>
      </c>
      <c r="AF350" s="497">
        <f t="shared" si="145"/>
        <v>0</v>
      </c>
      <c r="AG350" s="497">
        <f t="shared" si="158"/>
        <v>1800000</v>
      </c>
      <c r="AH350" s="493"/>
      <c r="AI350" s="493"/>
      <c r="AK350" s="492">
        <v>346</v>
      </c>
      <c r="AL350" s="492">
        <v>29</v>
      </c>
      <c r="AM350" s="497">
        <f>IF(('Comparison Calculator'!$E$11-AL350)&gt;=0,0,IFERROR(-PPMT($AQ$66/12,(AK350-60),($F$1-5)*12,$AQ$65),0))</f>
        <v>0</v>
      </c>
      <c r="AN350" s="497">
        <f>IF(('Comparison Calculator'!$E$11-AL350)&gt;=0,$C$1*$AQ$66/12,IFERROR(-IPMT($AQ$66/12,(AK350-60),($F$1-5)*12,$AQ$65,0),0))</f>
        <v>0</v>
      </c>
      <c r="AO350" s="497">
        <f t="shared" si="146"/>
        <v>0</v>
      </c>
      <c r="AP350" s="497">
        <f t="shared" si="159"/>
        <v>1800000</v>
      </c>
      <c r="AQ350" s="493"/>
      <c r="AR350" s="493"/>
      <c r="AT350" s="492">
        <v>346</v>
      </c>
      <c r="AU350" s="492">
        <v>29</v>
      </c>
      <c r="AV350" s="497">
        <f>IF(('Comparison Calculator'!$E$11-AU350)&gt;=0,0,IFERROR(-PPMT($AZ$66/12,(AT350-60),($F$1-5)*12,$AZ$65),0))</f>
        <v>0</v>
      </c>
      <c r="AW350" s="497">
        <f>IF(('Comparison Calculator'!$E$11-AU350)&gt;=0,$C$1*$AZ$66/12,IFERROR(-IPMT($AZ$66/12,(AT350-60),($F$1-5)*12,$AZ$65,0),0))</f>
        <v>0</v>
      </c>
      <c r="AX350" s="497">
        <f t="shared" si="147"/>
        <v>0</v>
      </c>
      <c r="AY350" s="497">
        <f t="shared" si="160"/>
        <v>1800000</v>
      </c>
      <c r="AZ350" s="493"/>
      <c r="BA350" s="493"/>
      <c r="BC350" s="492">
        <v>346</v>
      </c>
      <c r="BD350" s="492">
        <v>29</v>
      </c>
      <c r="BE350" s="497">
        <f>IF(('Comparison Calculator'!$E$11-BD350)&gt;=0,0,IFERROR(-PPMT($BI$66/12,(BC350-60),($F$1-5)*12,$BI$65),0))</f>
        <v>0</v>
      </c>
      <c r="BF350" s="497">
        <f>IF(('Comparison Calculator'!$E$11-BD350)&gt;=0,$C$1*$BI$66/12,IFERROR(-IPMT($BI$66/12,(BC350-60),($F$1-5)*12,$BI$65,0),0))</f>
        <v>0</v>
      </c>
      <c r="BG350" s="497">
        <f t="shared" si="148"/>
        <v>0</v>
      </c>
      <c r="BH350" s="497">
        <f t="shared" si="161"/>
        <v>1800000</v>
      </c>
      <c r="BI350" s="493"/>
      <c r="BJ350" s="493"/>
      <c r="BK350" s="492">
        <v>346</v>
      </c>
      <c r="BL350" s="492">
        <v>29</v>
      </c>
      <c r="BM350" s="497">
        <f>IF(('Comparison Calculator'!$E$11-BL350)&gt;=0,0,IFERROR(-PPMT($BQ$66/12,(BK350-60),($F$1-5)*12,$BQ$65),0))</f>
        <v>0</v>
      </c>
      <c r="BN350" s="497">
        <f>IF(('Comparison Calculator'!$E$11-BL350)&gt;=0,$C$1*$BQ$66/12,IFERROR(-IPMT($BQ$66/12,(BK350-60),($F$1-5)*12,$BQ$65,0),0))</f>
        <v>0</v>
      </c>
      <c r="BO350" s="497">
        <f t="shared" si="149"/>
        <v>0</v>
      </c>
      <c r="BP350" s="497">
        <f t="shared" si="162"/>
        <v>1800000</v>
      </c>
      <c r="BQ350" s="493"/>
      <c r="BR350" s="493"/>
      <c r="BT350" s="492">
        <v>346</v>
      </c>
      <c r="BU350" s="492">
        <v>29</v>
      </c>
      <c r="BV350" s="497">
        <f>IF(('Comparison Calculator'!$E$11-BU350)&gt;=0,0,IFERROR(-PPMT($BZ$66/12,(BT350-60),($F$1-5)*12,$BZ$65),0))</f>
        <v>0</v>
      </c>
      <c r="BW350" s="497">
        <f>IF(('Comparison Calculator'!$E$11-BU350)&gt;=0,$C$1*$BZ$66/12,IFERROR(-IPMT($BZ$66/12,(BT350-60),($F$1-5)*12,$BZ$65,0),0))</f>
        <v>0</v>
      </c>
      <c r="BX350" s="497">
        <f t="shared" si="150"/>
        <v>0</v>
      </c>
      <c r="BY350" s="497">
        <f t="shared" si="163"/>
        <v>1800000</v>
      </c>
      <c r="BZ350" s="493"/>
      <c r="CA350" s="493"/>
      <c r="CC350" s="492">
        <v>346</v>
      </c>
      <c r="CD350" s="492">
        <v>29</v>
      </c>
      <c r="CE350" s="497">
        <f>IF(('Comparison Calculator'!$E$11-CD350)&gt;=0,0,IFERROR(-PPMT($CI$66/12,(CC350-60),($F$1-5)*12,$CI$65),0))</f>
        <v>0</v>
      </c>
      <c r="CF350" s="497">
        <f>IF(('Comparison Calculator'!$E$11-CD350)&gt;=0,$C$1*$CI$66/12,IFERROR(-IPMT($CI$66/12,(CC350-60),($F$1-5)*12,$CI$65,0),0))</f>
        <v>0</v>
      </c>
      <c r="CG350" s="497">
        <f t="shared" si="151"/>
        <v>0</v>
      </c>
      <c r="CH350" s="497">
        <f t="shared" si="164"/>
        <v>1800000</v>
      </c>
      <c r="CI350" s="493"/>
      <c r="CJ350" s="493"/>
      <c r="CL350" s="492">
        <v>346</v>
      </c>
      <c r="CM350" s="492">
        <v>29</v>
      </c>
      <c r="CN350" s="497">
        <f>IF(('Comparison Calculator'!$E$11-CM350)&gt;=0,0,IFERROR(-PPMT($CR$66/12,(CL350-60),($F$1-5)*12,$CR$65),0))</f>
        <v>0</v>
      </c>
      <c r="CO350" s="497">
        <f>IF(('Comparison Calculator'!$E$11-CM350)&gt;=0,$C$1*$CI$66/12,IFERROR(-IPMT($CI$66/12,(CL350-60),($F$1-5)*12,$CI$65,0),0))</f>
        <v>0</v>
      </c>
      <c r="CP350" s="497">
        <f t="shared" si="152"/>
        <v>0</v>
      </c>
      <c r="CQ350" s="497">
        <f t="shared" si="165"/>
        <v>1800000</v>
      </c>
      <c r="CR350" s="493"/>
      <c r="CS350" s="493"/>
      <c r="CU350" s="492">
        <v>346</v>
      </c>
      <c r="CV350" s="492">
        <v>29</v>
      </c>
      <c r="CW350" s="497">
        <f>IF(('Comparison Calculator'!$E$11-CV350)&gt;=0,0,IFERROR(-PPMT($DA$66/12,(CU350-60),($F$1-5)*12,$DA$65),0))</f>
        <v>0</v>
      </c>
      <c r="CX350" s="497">
        <f>IF(('Comparison Calculator'!$E$11-CV350)&gt;=0,$C$1*$DA$66/12,IFERROR(-IPMT($DA$66/12,(CU350-60),($F$1-5)*12,$DA$65,0),0))</f>
        <v>0</v>
      </c>
      <c r="CY350" s="497">
        <f t="shared" si="153"/>
        <v>0</v>
      </c>
      <c r="CZ350" s="497">
        <f t="shared" si="166"/>
        <v>1800000</v>
      </c>
      <c r="DA350" s="493"/>
      <c r="DB350" s="493"/>
      <c r="DD350" s="492">
        <v>346</v>
      </c>
      <c r="DE350" s="492">
        <v>29</v>
      </c>
      <c r="DF350" s="497">
        <f>IF(('Comparison Calculator'!$E$11-DE350)&gt;=0,0,IFERROR(-PPMT($DJ$66/12,(DD350-60),($F$1-5)*12,$DJ$65),0))</f>
        <v>0</v>
      </c>
      <c r="DG350" s="497">
        <f>IF(('Comparison Calculator'!$E$11-DE350)&gt;=0,$C$1*$DJ$66/12,IFERROR(-IPMT($DJ$66/12,(DD350-60),($F$1-5)*12,$DJ$65,0),0))</f>
        <v>0</v>
      </c>
      <c r="DH350" s="497">
        <f t="shared" si="154"/>
        <v>0</v>
      </c>
      <c r="DI350" s="497">
        <f t="shared" si="167"/>
        <v>1800000</v>
      </c>
      <c r="DJ350" s="493"/>
      <c r="DK350" s="493"/>
    </row>
    <row r="351" spans="1:115">
      <c r="A351" s="492">
        <v>347</v>
      </c>
      <c r="B351" s="492">
        <v>29</v>
      </c>
      <c r="C351" s="497">
        <f>IF(('Comparison Calculator'!$E$11-B351)&gt;=0,0,IFERROR(-PPMT($G$66/12,(A351-60),($F$1-5)*12,$G$65),0))</f>
        <v>0</v>
      </c>
      <c r="D351" s="497">
        <f>IF(('Comparison Calculator'!$E$11-B351)&gt;=0,$C$1*$G$66/12,IFERROR(-IPMT($G$66/12,(A351-60),($F$1-5)*12,$G$65,0),0))</f>
        <v>0</v>
      </c>
      <c r="E351" s="497">
        <f t="shared" si="142"/>
        <v>0</v>
      </c>
      <c r="F351" s="497">
        <f t="shared" si="155"/>
        <v>1800000</v>
      </c>
      <c r="G351" s="493"/>
      <c r="H351" s="493"/>
      <c r="I351" s="489"/>
      <c r="J351" s="492">
        <v>347</v>
      </c>
      <c r="K351" s="492">
        <v>29</v>
      </c>
      <c r="L351" s="497">
        <f>IF(('Comparison Calculator'!$E$11-K351)&gt;=0,0,IFERROR(-PPMT($P$66/12,(J351-60),($F$1-5)*12,$P$65),0))</f>
        <v>0</v>
      </c>
      <c r="M351" s="497">
        <f>IF(('Comparison Calculator'!$E$11-K351)&gt;=0,$C$1*$P$66/12,IFERROR(-IPMT($P$66/12,(J351-60),($F$1-5)*12,$P$65,0),0))</f>
        <v>0</v>
      </c>
      <c r="N351" s="497">
        <f t="shared" si="143"/>
        <v>0</v>
      </c>
      <c r="O351" s="497">
        <f t="shared" si="156"/>
        <v>1800000</v>
      </c>
      <c r="P351" s="493"/>
      <c r="Q351" s="493"/>
      <c r="S351" s="492">
        <v>347</v>
      </c>
      <c r="T351" s="492">
        <v>29</v>
      </c>
      <c r="U351" s="497">
        <f>IF(('Comparison Calculator'!$E$11-T351)&gt;=0,0,IFERROR(-PPMT($Y$66/12,(S351-60),($F$1-5)*12,$Y$65),0))</f>
        <v>0</v>
      </c>
      <c r="V351" s="497">
        <f>IF(('Comparison Calculator'!$E$11-T351)&gt;=0,$C$1*$Y$66/12,IFERROR(-IPMT($Y$66/12,(S351-60),($F$1-5)*12,$Y$65,0),0))</f>
        <v>0</v>
      </c>
      <c r="W351" s="497">
        <f t="shared" si="144"/>
        <v>0</v>
      </c>
      <c r="X351" s="497">
        <f t="shared" si="157"/>
        <v>1800000</v>
      </c>
      <c r="Y351" s="493"/>
      <c r="Z351" s="493"/>
      <c r="AB351" s="492">
        <v>347</v>
      </c>
      <c r="AC351" s="492">
        <v>29</v>
      </c>
      <c r="AD351" s="497">
        <f>IF(('Comparison Calculator'!$E$11-AC351)&gt;=0,0,IFERROR(-PPMT($AH$66/12,(AB351-60),($F$1-5)*12,$AH$65),0))</f>
        <v>0</v>
      </c>
      <c r="AE351" s="497">
        <f>IF(('Comparison Calculator'!$E$11-AC351)&gt;=0,$C$1*$AH$66/12,IFERROR(-IPMT($AH$66/12,(AB351-60),($F$1-5)*12,$AH$65,0),0))</f>
        <v>0</v>
      </c>
      <c r="AF351" s="497">
        <f t="shared" si="145"/>
        <v>0</v>
      </c>
      <c r="AG351" s="497">
        <f t="shared" si="158"/>
        <v>1800000</v>
      </c>
      <c r="AH351" s="493"/>
      <c r="AI351" s="493"/>
      <c r="AK351" s="492">
        <v>347</v>
      </c>
      <c r="AL351" s="492">
        <v>29</v>
      </c>
      <c r="AM351" s="497">
        <f>IF(('Comparison Calculator'!$E$11-AL351)&gt;=0,0,IFERROR(-PPMT($AQ$66/12,(AK351-60),($F$1-5)*12,$AQ$65),0))</f>
        <v>0</v>
      </c>
      <c r="AN351" s="497">
        <f>IF(('Comparison Calculator'!$E$11-AL351)&gt;=0,$C$1*$AQ$66/12,IFERROR(-IPMT($AQ$66/12,(AK351-60),($F$1-5)*12,$AQ$65,0),0))</f>
        <v>0</v>
      </c>
      <c r="AO351" s="497">
        <f t="shared" si="146"/>
        <v>0</v>
      </c>
      <c r="AP351" s="497">
        <f t="shared" si="159"/>
        <v>1800000</v>
      </c>
      <c r="AQ351" s="493"/>
      <c r="AR351" s="493"/>
      <c r="AT351" s="492">
        <v>347</v>
      </c>
      <c r="AU351" s="492">
        <v>29</v>
      </c>
      <c r="AV351" s="497">
        <f>IF(('Comparison Calculator'!$E$11-AU351)&gt;=0,0,IFERROR(-PPMT($AZ$66/12,(AT351-60),($F$1-5)*12,$AZ$65),0))</f>
        <v>0</v>
      </c>
      <c r="AW351" s="497">
        <f>IF(('Comparison Calculator'!$E$11-AU351)&gt;=0,$C$1*$AZ$66/12,IFERROR(-IPMT($AZ$66/12,(AT351-60),($F$1-5)*12,$AZ$65,0),0))</f>
        <v>0</v>
      </c>
      <c r="AX351" s="497">
        <f t="shared" si="147"/>
        <v>0</v>
      </c>
      <c r="AY351" s="497">
        <f t="shared" si="160"/>
        <v>1800000</v>
      </c>
      <c r="AZ351" s="493"/>
      <c r="BA351" s="493"/>
      <c r="BC351" s="492">
        <v>347</v>
      </c>
      <c r="BD351" s="492">
        <v>29</v>
      </c>
      <c r="BE351" s="497">
        <f>IF(('Comparison Calculator'!$E$11-BD351)&gt;=0,0,IFERROR(-PPMT($BI$66/12,(BC351-60),($F$1-5)*12,$BI$65),0))</f>
        <v>0</v>
      </c>
      <c r="BF351" s="497">
        <f>IF(('Comparison Calculator'!$E$11-BD351)&gt;=0,$C$1*$BI$66/12,IFERROR(-IPMT($BI$66/12,(BC351-60),($F$1-5)*12,$BI$65,0),0))</f>
        <v>0</v>
      </c>
      <c r="BG351" s="497">
        <f t="shared" si="148"/>
        <v>0</v>
      </c>
      <c r="BH351" s="497">
        <f t="shared" si="161"/>
        <v>1800000</v>
      </c>
      <c r="BI351" s="493"/>
      <c r="BJ351" s="493"/>
      <c r="BK351" s="492">
        <v>347</v>
      </c>
      <c r="BL351" s="492">
        <v>29</v>
      </c>
      <c r="BM351" s="497">
        <f>IF(('Comparison Calculator'!$E$11-BL351)&gt;=0,0,IFERROR(-PPMT($BQ$66/12,(BK351-60),($F$1-5)*12,$BQ$65),0))</f>
        <v>0</v>
      </c>
      <c r="BN351" s="497">
        <f>IF(('Comparison Calculator'!$E$11-BL351)&gt;=0,$C$1*$BQ$66/12,IFERROR(-IPMT($BQ$66/12,(BK351-60),($F$1-5)*12,$BQ$65,0),0))</f>
        <v>0</v>
      </c>
      <c r="BO351" s="497">
        <f t="shared" si="149"/>
        <v>0</v>
      </c>
      <c r="BP351" s="497">
        <f t="shared" si="162"/>
        <v>1800000</v>
      </c>
      <c r="BQ351" s="493"/>
      <c r="BR351" s="493"/>
      <c r="BT351" s="492">
        <v>347</v>
      </c>
      <c r="BU351" s="492">
        <v>29</v>
      </c>
      <c r="BV351" s="497">
        <f>IF(('Comparison Calculator'!$E$11-BU351)&gt;=0,0,IFERROR(-PPMT($BZ$66/12,(BT351-60),($F$1-5)*12,$BZ$65),0))</f>
        <v>0</v>
      </c>
      <c r="BW351" s="497">
        <f>IF(('Comparison Calculator'!$E$11-BU351)&gt;=0,$C$1*$BZ$66/12,IFERROR(-IPMT($BZ$66/12,(BT351-60),($F$1-5)*12,$BZ$65,0),0))</f>
        <v>0</v>
      </c>
      <c r="BX351" s="497">
        <f t="shared" si="150"/>
        <v>0</v>
      </c>
      <c r="BY351" s="497">
        <f t="shared" si="163"/>
        <v>1800000</v>
      </c>
      <c r="BZ351" s="493"/>
      <c r="CA351" s="493"/>
      <c r="CC351" s="492">
        <v>347</v>
      </c>
      <c r="CD351" s="492">
        <v>29</v>
      </c>
      <c r="CE351" s="497">
        <f>IF(('Comparison Calculator'!$E$11-CD351)&gt;=0,0,IFERROR(-PPMT($CI$66/12,(CC351-60),($F$1-5)*12,$CI$65),0))</f>
        <v>0</v>
      </c>
      <c r="CF351" s="497">
        <f>IF(('Comparison Calculator'!$E$11-CD351)&gt;=0,$C$1*$CI$66/12,IFERROR(-IPMT($CI$66/12,(CC351-60),($F$1-5)*12,$CI$65,0),0))</f>
        <v>0</v>
      </c>
      <c r="CG351" s="497">
        <f t="shared" si="151"/>
        <v>0</v>
      </c>
      <c r="CH351" s="497">
        <f t="shared" si="164"/>
        <v>1800000</v>
      </c>
      <c r="CI351" s="493"/>
      <c r="CJ351" s="493"/>
      <c r="CL351" s="492">
        <v>347</v>
      </c>
      <c r="CM351" s="492">
        <v>29</v>
      </c>
      <c r="CN351" s="497">
        <f>IF(('Comparison Calculator'!$E$11-CM351)&gt;=0,0,IFERROR(-PPMT($CR$66/12,(CL351-60),($F$1-5)*12,$CR$65),0))</f>
        <v>0</v>
      </c>
      <c r="CO351" s="497">
        <f>IF(('Comparison Calculator'!$E$11-CM351)&gt;=0,$C$1*$CI$66/12,IFERROR(-IPMT($CI$66/12,(CL351-60),($F$1-5)*12,$CI$65,0),0))</f>
        <v>0</v>
      </c>
      <c r="CP351" s="497">
        <f t="shared" si="152"/>
        <v>0</v>
      </c>
      <c r="CQ351" s="497">
        <f t="shared" si="165"/>
        <v>1800000</v>
      </c>
      <c r="CR351" s="493"/>
      <c r="CS351" s="493"/>
      <c r="CU351" s="492">
        <v>347</v>
      </c>
      <c r="CV351" s="492">
        <v>29</v>
      </c>
      <c r="CW351" s="497">
        <f>IF(('Comparison Calculator'!$E$11-CV351)&gt;=0,0,IFERROR(-PPMT($DA$66/12,(CU351-60),($F$1-5)*12,$DA$65),0))</f>
        <v>0</v>
      </c>
      <c r="CX351" s="497">
        <f>IF(('Comparison Calculator'!$E$11-CV351)&gt;=0,$C$1*$DA$66/12,IFERROR(-IPMT($DA$66/12,(CU351-60),($F$1-5)*12,$DA$65,0),0))</f>
        <v>0</v>
      </c>
      <c r="CY351" s="497">
        <f t="shared" si="153"/>
        <v>0</v>
      </c>
      <c r="CZ351" s="497">
        <f t="shared" si="166"/>
        <v>1800000</v>
      </c>
      <c r="DA351" s="493"/>
      <c r="DB351" s="493"/>
      <c r="DD351" s="492">
        <v>347</v>
      </c>
      <c r="DE351" s="492">
        <v>29</v>
      </c>
      <c r="DF351" s="497">
        <f>IF(('Comparison Calculator'!$E$11-DE351)&gt;=0,0,IFERROR(-PPMT($DJ$66/12,(DD351-60),($F$1-5)*12,$DJ$65),0))</f>
        <v>0</v>
      </c>
      <c r="DG351" s="497">
        <f>IF(('Comparison Calculator'!$E$11-DE351)&gt;=0,$C$1*$DJ$66/12,IFERROR(-IPMT($DJ$66/12,(DD351-60),($F$1-5)*12,$DJ$65,0),0))</f>
        <v>0</v>
      </c>
      <c r="DH351" s="497">
        <f t="shared" si="154"/>
        <v>0</v>
      </c>
      <c r="DI351" s="497">
        <f t="shared" si="167"/>
        <v>1800000</v>
      </c>
      <c r="DJ351" s="493"/>
      <c r="DK351" s="493"/>
    </row>
    <row r="352" spans="1:115">
      <c r="A352" s="492">
        <v>348</v>
      </c>
      <c r="B352" s="492">
        <v>29</v>
      </c>
      <c r="C352" s="497">
        <f>IF(('Comparison Calculator'!$E$11-B352)&gt;=0,0,IFERROR(-PPMT($G$66/12,(A352-60),($F$1-5)*12,$G$65),0))</f>
        <v>0</v>
      </c>
      <c r="D352" s="497">
        <f>IF(('Comparison Calculator'!$E$11-B352)&gt;=0,$C$1*$G$66/12,IFERROR(-IPMT($G$66/12,(A352-60),($F$1-5)*12,$G$65,0),0))</f>
        <v>0</v>
      </c>
      <c r="E352" s="497">
        <f t="shared" si="142"/>
        <v>0</v>
      </c>
      <c r="F352" s="497">
        <f t="shared" si="155"/>
        <v>1800000</v>
      </c>
      <c r="G352" s="493"/>
      <c r="H352" s="493"/>
      <c r="I352" s="489"/>
      <c r="J352" s="492">
        <v>348</v>
      </c>
      <c r="K352" s="492">
        <v>29</v>
      </c>
      <c r="L352" s="497">
        <f>IF(('Comparison Calculator'!$E$11-K352)&gt;=0,0,IFERROR(-PPMT($P$66/12,(J352-60),($F$1-5)*12,$P$65),0))</f>
        <v>0</v>
      </c>
      <c r="M352" s="497">
        <f>IF(('Comparison Calculator'!$E$11-K352)&gt;=0,$C$1*$P$66/12,IFERROR(-IPMT($P$66/12,(J352-60),($F$1-5)*12,$P$65,0),0))</f>
        <v>0</v>
      </c>
      <c r="N352" s="497">
        <f t="shared" si="143"/>
        <v>0</v>
      </c>
      <c r="O352" s="497">
        <f t="shared" si="156"/>
        <v>1800000</v>
      </c>
      <c r="P352" s="493"/>
      <c r="Q352" s="493"/>
      <c r="S352" s="492">
        <v>348</v>
      </c>
      <c r="T352" s="492">
        <v>29</v>
      </c>
      <c r="U352" s="497">
        <f>IF(('Comparison Calculator'!$E$11-T352)&gt;=0,0,IFERROR(-PPMT($Y$66/12,(S352-60),($F$1-5)*12,$Y$65),0))</f>
        <v>0</v>
      </c>
      <c r="V352" s="497">
        <f>IF(('Comparison Calculator'!$E$11-T352)&gt;=0,$C$1*$Y$66/12,IFERROR(-IPMT($Y$66/12,(S352-60),($F$1-5)*12,$Y$65,0),0))</f>
        <v>0</v>
      </c>
      <c r="W352" s="497">
        <f t="shared" si="144"/>
        <v>0</v>
      </c>
      <c r="X352" s="497">
        <f t="shared" si="157"/>
        <v>1800000</v>
      </c>
      <c r="Y352" s="493"/>
      <c r="Z352" s="493"/>
      <c r="AB352" s="492">
        <v>348</v>
      </c>
      <c r="AC352" s="492">
        <v>29</v>
      </c>
      <c r="AD352" s="497">
        <f>IF(('Comparison Calculator'!$E$11-AC352)&gt;=0,0,IFERROR(-PPMT($AH$66/12,(AB352-60),($F$1-5)*12,$AH$65),0))</f>
        <v>0</v>
      </c>
      <c r="AE352" s="497">
        <f>IF(('Comparison Calculator'!$E$11-AC352)&gt;=0,$C$1*$AH$66/12,IFERROR(-IPMT($AH$66/12,(AB352-60),($F$1-5)*12,$AH$65,0),0))</f>
        <v>0</v>
      </c>
      <c r="AF352" s="497">
        <f t="shared" si="145"/>
        <v>0</v>
      </c>
      <c r="AG352" s="497">
        <f t="shared" si="158"/>
        <v>1800000</v>
      </c>
      <c r="AH352" s="493"/>
      <c r="AI352" s="493"/>
      <c r="AK352" s="492">
        <v>348</v>
      </c>
      <c r="AL352" s="492">
        <v>29</v>
      </c>
      <c r="AM352" s="497">
        <f>IF(('Comparison Calculator'!$E$11-AL352)&gt;=0,0,IFERROR(-PPMT($AQ$66/12,(AK352-60),($F$1-5)*12,$AQ$65),0))</f>
        <v>0</v>
      </c>
      <c r="AN352" s="497">
        <f>IF(('Comparison Calculator'!$E$11-AL352)&gt;=0,$C$1*$AQ$66/12,IFERROR(-IPMT($AQ$66/12,(AK352-60),($F$1-5)*12,$AQ$65,0),0))</f>
        <v>0</v>
      </c>
      <c r="AO352" s="497">
        <f t="shared" si="146"/>
        <v>0</v>
      </c>
      <c r="AP352" s="497">
        <f t="shared" si="159"/>
        <v>1800000</v>
      </c>
      <c r="AQ352" s="493"/>
      <c r="AR352" s="493"/>
      <c r="AT352" s="492">
        <v>348</v>
      </c>
      <c r="AU352" s="492">
        <v>29</v>
      </c>
      <c r="AV352" s="497">
        <f>IF(('Comparison Calculator'!$E$11-AU352)&gt;=0,0,IFERROR(-PPMT($AZ$66/12,(AT352-60),($F$1-5)*12,$AZ$65),0))</f>
        <v>0</v>
      </c>
      <c r="AW352" s="497">
        <f>IF(('Comparison Calculator'!$E$11-AU352)&gt;=0,$C$1*$AZ$66/12,IFERROR(-IPMT($AZ$66/12,(AT352-60),($F$1-5)*12,$AZ$65,0),0))</f>
        <v>0</v>
      </c>
      <c r="AX352" s="497">
        <f t="shared" si="147"/>
        <v>0</v>
      </c>
      <c r="AY352" s="497">
        <f t="shared" si="160"/>
        <v>1800000</v>
      </c>
      <c r="AZ352" s="493"/>
      <c r="BA352" s="493"/>
      <c r="BC352" s="492">
        <v>348</v>
      </c>
      <c r="BD352" s="492">
        <v>29</v>
      </c>
      <c r="BE352" s="497">
        <f>IF(('Comparison Calculator'!$E$11-BD352)&gt;=0,0,IFERROR(-PPMT($BI$66/12,(BC352-60),($F$1-5)*12,$BI$65),0))</f>
        <v>0</v>
      </c>
      <c r="BF352" s="497">
        <f>IF(('Comparison Calculator'!$E$11-BD352)&gt;=0,$C$1*$BI$66/12,IFERROR(-IPMT($BI$66/12,(BC352-60),($F$1-5)*12,$BI$65,0),0))</f>
        <v>0</v>
      </c>
      <c r="BG352" s="497">
        <f t="shared" si="148"/>
        <v>0</v>
      </c>
      <c r="BH352" s="497">
        <f t="shared" si="161"/>
        <v>1800000</v>
      </c>
      <c r="BI352" s="493"/>
      <c r="BJ352" s="493"/>
      <c r="BK352" s="492">
        <v>348</v>
      </c>
      <c r="BL352" s="492">
        <v>29</v>
      </c>
      <c r="BM352" s="497">
        <f>IF(('Comparison Calculator'!$E$11-BL352)&gt;=0,0,IFERROR(-PPMT($BQ$66/12,(BK352-60),($F$1-5)*12,$BQ$65),0))</f>
        <v>0</v>
      </c>
      <c r="BN352" s="497">
        <f>IF(('Comparison Calculator'!$E$11-BL352)&gt;=0,$C$1*$BQ$66/12,IFERROR(-IPMT($BQ$66/12,(BK352-60),($F$1-5)*12,$BQ$65,0),0))</f>
        <v>0</v>
      </c>
      <c r="BO352" s="497">
        <f t="shared" si="149"/>
        <v>0</v>
      </c>
      <c r="BP352" s="497">
        <f t="shared" si="162"/>
        <v>1800000</v>
      </c>
      <c r="BQ352" s="493"/>
      <c r="BR352" s="493"/>
      <c r="BT352" s="492">
        <v>348</v>
      </c>
      <c r="BU352" s="492">
        <v>29</v>
      </c>
      <c r="BV352" s="497">
        <f>IF(('Comparison Calculator'!$E$11-BU352)&gt;=0,0,IFERROR(-PPMT($BZ$66/12,(BT352-60),($F$1-5)*12,$BZ$65),0))</f>
        <v>0</v>
      </c>
      <c r="BW352" s="497">
        <f>IF(('Comparison Calculator'!$E$11-BU352)&gt;=0,$C$1*$BZ$66/12,IFERROR(-IPMT($BZ$66/12,(BT352-60),($F$1-5)*12,$BZ$65,0),0))</f>
        <v>0</v>
      </c>
      <c r="BX352" s="497">
        <f t="shared" si="150"/>
        <v>0</v>
      </c>
      <c r="BY352" s="497">
        <f t="shared" si="163"/>
        <v>1800000</v>
      </c>
      <c r="BZ352" s="493"/>
      <c r="CA352" s="493"/>
      <c r="CC352" s="492">
        <v>348</v>
      </c>
      <c r="CD352" s="492">
        <v>29</v>
      </c>
      <c r="CE352" s="497">
        <f>IF(('Comparison Calculator'!$E$11-CD352)&gt;=0,0,IFERROR(-PPMT($CI$66/12,(CC352-60),($F$1-5)*12,$CI$65),0))</f>
        <v>0</v>
      </c>
      <c r="CF352" s="497">
        <f>IF(('Comparison Calculator'!$E$11-CD352)&gt;=0,$C$1*$CI$66/12,IFERROR(-IPMT($CI$66/12,(CC352-60),($F$1-5)*12,$CI$65,0),0))</f>
        <v>0</v>
      </c>
      <c r="CG352" s="497">
        <f t="shared" si="151"/>
        <v>0</v>
      </c>
      <c r="CH352" s="497">
        <f t="shared" si="164"/>
        <v>1800000</v>
      </c>
      <c r="CI352" s="493"/>
      <c r="CJ352" s="493"/>
      <c r="CL352" s="492">
        <v>348</v>
      </c>
      <c r="CM352" s="492">
        <v>29</v>
      </c>
      <c r="CN352" s="497">
        <f>IF(('Comparison Calculator'!$E$11-CM352)&gt;=0,0,IFERROR(-PPMT($CR$66/12,(CL352-60),($F$1-5)*12,$CR$65),0))</f>
        <v>0</v>
      </c>
      <c r="CO352" s="497">
        <f>IF(('Comparison Calculator'!$E$11-CM352)&gt;=0,$C$1*$CI$66/12,IFERROR(-IPMT($CI$66/12,(CL352-60),($F$1-5)*12,$CI$65,0),0))</f>
        <v>0</v>
      </c>
      <c r="CP352" s="497">
        <f t="shared" si="152"/>
        <v>0</v>
      </c>
      <c r="CQ352" s="497">
        <f t="shared" si="165"/>
        <v>1800000</v>
      </c>
      <c r="CR352" s="493"/>
      <c r="CS352" s="493"/>
      <c r="CU352" s="492">
        <v>348</v>
      </c>
      <c r="CV352" s="492">
        <v>29</v>
      </c>
      <c r="CW352" s="497">
        <f>IF(('Comparison Calculator'!$E$11-CV352)&gt;=0,0,IFERROR(-PPMT($DA$66/12,(CU352-60),($F$1-5)*12,$DA$65),0))</f>
        <v>0</v>
      </c>
      <c r="CX352" s="497">
        <f>IF(('Comparison Calculator'!$E$11-CV352)&gt;=0,$C$1*$DA$66/12,IFERROR(-IPMT($DA$66/12,(CU352-60),($F$1-5)*12,$DA$65,0),0))</f>
        <v>0</v>
      </c>
      <c r="CY352" s="497">
        <f t="shared" si="153"/>
        <v>0</v>
      </c>
      <c r="CZ352" s="497">
        <f t="shared" si="166"/>
        <v>1800000</v>
      </c>
      <c r="DA352" s="493"/>
      <c r="DB352" s="493"/>
      <c r="DD352" s="492">
        <v>348</v>
      </c>
      <c r="DE352" s="492">
        <v>29</v>
      </c>
      <c r="DF352" s="497">
        <f>IF(('Comparison Calculator'!$E$11-DE352)&gt;=0,0,IFERROR(-PPMT($DJ$66/12,(DD352-60),($F$1-5)*12,$DJ$65),0))</f>
        <v>0</v>
      </c>
      <c r="DG352" s="497">
        <f>IF(('Comparison Calculator'!$E$11-DE352)&gt;=0,$C$1*$DJ$66/12,IFERROR(-IPMT($DJ$66/12,(DD352-60),($F$1-5)*12,$DJ$65,0),0))</f>
        <v>0</v>
      </c>
      <c r="DH352" s="497">
        <f t="shared" si="154"/>
        <v>0</v>
      </c>
      <c r="DI352" s="497">
        <f t="shared" si="167"/>
        <v>1800000</v>
      </c>
      <c r="DJ352" s="493"/>
      <c r="DK352" s="493"/>
    </row>
    <row r="353" spans="1:115">
      <c r="A353" s="492">
        <v>349</v>
      </c>
      <c r="B353" s="492">
        <v>30</v>
      </c>
      <c r="C353" s="497">
        <f>IF(('Comparison Calculator'!$E$11-B353)&gt;=0,0,IFERROR(-PPMT($G$66/12,(A353-60),($F$1-5)*12,$G$65),0))</f>
        <v>0</v>
      </c>
      <c r="D353" s="497">
        <f>IF(('Comparison Calculator'!$E$11-B353)&gt;=0,$C$1*$G$66/12,IFERROR(-IPMT($G$66/12,(A353-60),($F$1-5)*12,$G$65,0),0))</f>
        <v>0</v>
      </c>
      <c r="E353" s="497">
        <f t="shared" si="142"/>
        <v>0</v>
      </c>
      <c r="F353" s="497">
        <f t="shared" si="155"/>
        <v>1800000</v>
      </c>
      <c r="G353" s="493"/>
      <c r="H353" s="493"/>
      <c r="I353" s="489"/>
      <c r="J353" s="492">
        <v>349</v>
      </c>
      <c r="K353" s="492">
        <v>30</v>
      </c>
      <c r="L353" s="497">
        <f>IF(('Comparison Calculator'!$E$11-K353)&gt;=0,0,IFERROR(-PPMT($P$66/12,(J353-60),($F$1-5)*12,$P$65),0))</f>
        <v>0</v>
      </c>
      <c r="M353" s="497">
        <f>IF(('Comparison Calculator'!$E$11-K353)&gt;=0,$C$1*$P$66/12,IFERROR(-IPMT($P$66/12,(J353-60),($F$1-5)*12,$P$65,0),0))</f>
        <v>0</v>
      </c>
      <c r="N353" s="497">
        <f t="shared" si="143"/>
        <v>0</v>
      </c>
      <c r="O353" s="497">
        <f t="shared" si="156"/>
        <v>1800000</v>
      </c>
      <c r="P353" s="493"/>
      <c r="Q353" s="493"/>
      <c r="S353" s="492">
        <v>349</v>
      </c>
      <c r="T353" s="492">
        <v>30</v>
      </c>
      <c r="U353" s="497">
        <f>IF(('Comparison Calculator'!$E$11-T353)&gt;=0,0,IFERROR(-PPMT($Y$66/12,(S353-60),($F$1-5)*12,$Y$65),0))</f>
        <v>0</v>
      </c>
      <c r="V353" s="497">
        <f>IF(('Comparison Calculator'!$E$11-T353)&gt;=0,$C$1*$Y$66/12,IFERROR(-IPMT($Y$66/12,(S353-60),($F$1-5)*12,$Y$65,0),0))</f>
        <v>0</v>
      </c>
      <c r="W353" s="497">
        <f t="shared" si="144"/>
        <v>0</v>
      </c>
      <c r="X353" s="497">
        <f t="shared" si="157"/>
        <v>1800000</v>
      </c>
      <c r="Y353" s="493"/>
      <c r="Z353" s="493"/>
      <c r="AB353" s="492">
        <v>349</v>
      </c>
      <c r="AC353" s="492">
        <v>30</v>
      </c>
      <c r="AD353" s="497">
        <f>IF(('Comparison Calculator'!$E$11-AC353)&gt;=0,0,IFERROR(-PPMT($AH$66/12,(AB353-60),($F$1-5)*12,$AH$65),0))</f>
        <v>0</v>
      </c>
      <c r="AE353" s="497">
        <f>IF(('Comparison Calculator'!$E$11-AC353)&gt;=0,$C$1*$AH$66/12,IFERROR(-IPMT($AH$66/12,(AB353-60),($F$1-5)*12,$AH$65,0),0))</f>
        <v>0</v>
      </c>
      <c r="AF353" s="497">
        <f t="shared" si="145"/>
        <v>0</v>
      </c>
      <c r="AG353" s="497">
        <f t="shared" si="158"/>
        <v>1800000</v>
      </c>
      <c r="AH353" s="493"/>
      <c r="AI353" s="493"/>
      <c r="AK353" s="492">
        <v>349</v>
      </c>
      <c r="AL353" s="492">
        <v>30</v>
      </c>
      <c r="AM353" s="497">
        <f>IF(('Comparison Calculator'!$E$11-AL353)&gt;=0,0,IFERROR(-PPMT($AQ$66/12,(AK353-60),($F$1-5)*12,$AQ$65),0))</f>
        <v>0</v>
      </c>
      <c r="AN353" s="497">
        <f>IF(('Comparison Calculator'!$E$11-AL353)&gt;=0,$C$1*$AQ$66/12,IFERROR(-IPMT($AQ$66/12,(AK353-60),($F$1-5)*12,$AQ$65,0),0))</f>
        <v>0</v>
      </c>
      <c r="AO353" s="497">
        <f t="shared" si="146"/>
        <v>0</v>
      </c>
      <c r="AP353" s="497">
        <f t="shared" si="159"/>
        <v>1800000</v>
      </c>
      <c r="AQ353" s="493"/>
      <c r="AR353" s="493"/>
      <c r="AT353" s="492">
        <v>349</v>
      </c>
      <c r="AU353" s="492">
        <v>30</v>
      </c>
      <c r="AV353" s="497">
        <f>IF(('Comparison Calculator'!$E$11-AU353)&gt;=0,0,IFERROR(-PPMT($AZ$66/12,(AT353-60),($F$1-5)*12,$AZ$65),0))</f>
        <v>0</v>
      </c>
      <c r="AW353" s="497">
        <f>IF(('Comparison Calculator'!$E$11-AU353)&gt;=0,$C$1*$AZ$66/12,IFERROR(-IPMT($AZ$66/12,(AT353-60),($F$1-5)*12,$AZ$65,0),0))</f>
        <v>0</v>
      </c>
      <c r="AX353" s="497">
        <f t="shared" si="147"/>
        <v>0</v>
      </c>
      <c r="AY353" s="497">
        <f t="shared" si="160"/>
        <v>1800000</v>
      </c>
      <c r="AZ353" s="493"/>
      <c r="BA353" s="493"/>
      <c r="BC353" s="492">
        <v>349</v>
      </c>
      <c r="BD353" s="492">
        <v>30</v>
      </c>
      <c r="BE353" s="497">
        <f>IF(('Comparison Calculator'!$E$11-BD353)&gt;=0,0,IFERROR(-PPMT($BI$66/12,(BC353-60),($F$1-5)*12,$BI$65),0))</f>
        <v>0</v>
      </c>
      <c r="BF353" s="497">
        <f>IF(('Comparison Calculator'!$E$11-BD353)&gt;=0,$C$1*$BI$66/12,IFERROR(-IPMT($BI$66/12,(BC353-60),($F$1-5)*12,$BI$65,0),0))</f>
        <v>0</v>
      </c>
      <c r="BG353" s="497">
        <f t="shared" si="148"/>
        <v>0</v>
      </c>
      <c r="BH353" s="497">
        <f t="shared" si="161"/>
        <v>1800000</v>
      </c>
      <c r="BI353" s="493"/>
      <c r="BJ353" s="493"/>
      <c r="BK353" s="492">
        <v>349</v>
      </c>
      <c r="BL353" s="492">
        <v>30</v>
      </c>
      <c r="BM353" s="497">
        <f>IF(('Comparison Calculator'!$E$11-BL353)&gt;=0,0,IFERROR(-PPMT($BQ$66/12,(BK353-60),($F$1-5)*12,$BQ$65),0))</f>
        <v>0</v>
      </c>
      <c r="BN353" s="497">
        <f>IF(('Comparison Calculator'!$E$11-BL353)&gt;=0,$C$1*$BQ$66/12,IFERROR(-IPMT($BQ$66/12,(BK353-60),($F$1-5)*12,$BQ$65,0),0))</f>
        <v>0</v>
      </c>
      <c r="BO353" s="497">
        <f t="shared" si="149"/>
        <v>0</v>
      </c>
      <c r="BP353" s="497">
        <f t="shared" si="162"/>
        <v>1800000</v>
      </c>
      <c r="BQ353" s="493"/>
      <c r="BR353" s="493"/>
      <c r="BT353" s="492">
        <v>349</v>
      </c>
      <c r="BU353" s="492">
        <v>30</v>
      </c>
      <c r="BV353" s="497">
        <f>IF(('Comparison Calculator'!$E$11-BU353)&gt;=0,0,IFERROR(-PPMT($BZ$66/12,(BT353-60),($F$1-5)*12,$BZ$65),0))</f>
        <v>0</v>
      </c>
      <c r="BW353" s="497">
        <f>IF(('Comparison Calculator'!$E$11-BU353)&gt;=0,$C$1*$BZ$66/12,IFERROR(-IPMT($BZ$66/12,(BT353-60),($F$1-5)*12,$BZ$65,0),0))</f>
        <v>0</v>
      </c>
      <c r="BX353" s="497">
        <f t="shared" si="150"/>
        <v>0</v>
      </c>
      <c r="BY353" s="497">
        <f t="shared" si="163"/>
        <v>1800000</v>
      </c>
      <c r="BZ353" s="493"/>
      <c r="CA353" s="493"/>
      <c r="CC353" s="492">
        <v>349</v>
      </c>
      <c r="CD353" s="492">
        <v>30</v>
      </c>
      <c r="CE353" s="497">
        <f>IF(('Comparison Calculator'!$E$11-CD353)&gt;=0,0,IFERROR(-PPMT($CI$66/12,(CC353-60),($F$1-5)*12,$CI$65),0))</f>
        <v>0</v>
      </c>
      <c r="CF353" s="497">
        <f>IF(('Comparison Calculator'!$E$11-CD353)&gt;=0,$C$1*$CI$66/12,IFERROR(-IPMT($CI$66/12,(CC353-60),($F$1-5)*12,$CI$65,0),0))</f>
        <v>0</v>
      </c>
      <c r="CG353" s="497">
        <f t="shared" si="151"/>
        <v>0</v>
      </c>
      <c r="CH353" s="497">
        <f t="shared" si="164"/>
        <v>1800000</v>
      </c>
      <c r="CI353" s="493"/>
      <c r="CJ353" s="493"/>
      <c r="CL353" s="492">
        <v>349</v>
      </c>
      <c r="CM353" s="492">
        <v>30</v>
      </c>
      <c r="CN353" s="497">
        <f>IF(('Comparison Calculator'!$E$11-CM353)&gt;=0,0,IFERROR(-PPMT($CR$66/12,(CL353-60),($F$1-5)*12,$CR$65),0))</f>
        <v>0</v>
      </c>
      <c r="CO353" s="497">
        <f>IF(('Comparison Calculator'!$E$11-CM353)&gt;=0,$C$1*$CI$66/12,IFERROR(-IPMT($CI$66/12,(CL353-60),($F$1-5)*12,$CI$65,0),0))</f>
        <v>0</v>
      </c>
      <c r="CP353" s="497">
        <f t="shared" si="152"/>
        <v>0</v>
      </c>
      <c r="CQ353" s="497">
        <f t="shared" si="165"/>
        <v>1800000</v>
      </c>
      <c r="CR353" s="493"/>
      <c r="CS353" s="493"/>
      <c r="CU353" s="492">
        <v>349</v>
      </c>
      <c r="CV353" s="492">
        <v>30</v>
      </c>
      <c r="CW353" s="497">
        <f>IF(('Comparison Calculator'!$E$11-CV353)&gt;=0,0,IFERROR(-PPMT($DA$66/12,(CU353-60),($F$1-5)*12,$DA$65),0))</f>
        <v>0</v>
      </c>
      <c r="CX353" s="497">
        <f>IF(('Comparison Calculator'!$E$11-CV353)&gt;=0,$C$1*$DA$66/12,IFERROR(-IPMT($DA$66/12,(CU353-60),($F$1-5)*12,$DA$65,0),0))</f>
        <v>0</v>
      </c>
      <c r="CY353" s="497">
        <f t="shared" si="153"/>
        <v>0</v>
      </c>
      <c r="CZ353" s="497">
        <f t="shared" si="166"/>
        <v>1800000</v>
      </c>
      <c r="DA353" s="493"/>
      <c r="DB353" s="493"/>
      <c r="DD353" s="492">
        <v>349</v>
      </c>
      <c r="DE353" s="492">
        <v>30</v>
      </c>
      <c r="DF353" s="497">
        <f>IF(('Comparison Calculator'!$E$11-DE353)&gt;=0,0,IFERROR(-PPMT($DJ$66/12,(DD353-60),($F$1-5)*12,$DJ$65),0))</f>
        <v>0</v>
      </c>
      <c r="DG353" s="497">
        <f>IF(('Comparison Calculator'!$E$11-DE353)&gt;=0,$C$1*$DJ$66/12,IFERROR(-IPMT($DJ$66/12,(DD353-60),($F$1-5)*12,$DJ$65,0),0))</f>
        <v>0</v>
      </c>
      <c r="DH353" s="497">
        <f t="shared" si="154"/>
        <v>0</v>
      </c>
      <c r="DI353" s="497">
        <f t="shared" si="167"/>
        <v>1800000</v>
      </c>
      <c r="DJ353" s="493"/>
      <c r="DK353" s="493"/>
    </row>
    <row r="354" spans="1:115">
      <c r="A354" s="492">
        <v>350</v>
      </c>
      <c r="B354" s="492">
        <v>30</v>
      </c>
      <c r="C354" s="497">
        <f>IF(('Comparison Calculator'!$E$11-B354)&gt;=0,0,IFERROR(-PPMT($G$66/12,(A354-60),($F$1-5)*12,$G$65),0))</f>
        <v>0</v>
      </c>
      <c r="D354" s="497">
        <f>IF(('Comparison Calculator'!$E$11-B354)&gt;=0,$C$1*$G$66/12,IFERROR(-IPMT($G$66/12,(A354-60),($F$1-5)*12,$G$65,0),0))</f>
        <v>0</v>
      </c>
      <c r="E354" s="497">
        <f t="shared" si="142"/>
        <v>0</v>
      </c>
      <c r="F354" s="497">
        <f t="shared" si="155"/>
        <v>1800000</v>
      </c>
      <c r="G354" s="493"/>
      <c r="H354" s="493"/>
      <c r="I354" s="489"/>
      <c r="J354" s="492">
        <v>350</v>
      </c>
      <c r="K354" s="492">
        <v>30</v>
      </c>
      <c r="L354" s="497">
        <f>IF(('Comparison Calculator'!$E$11-K354)&gt;=0,0,IFERROR(-PPMT($P$66/12,(J354-60),($F$1-5)*12,$P$65),0))</f>
        <v>0</v>
      </c>
      <c r="M354" s="497">
        <f>IF(('Comparison Calculator'!$E$11-K354)&gt;=0,$C$1*$P$66/12,IFERROR(-IPMT($P$66/12,(J354-60),($F$1-5)*12,$P$65,0),0))</f>
        <v>0</v>
      </c>
      <c r="N354" s="497">
        <f t="shared" si="143"/>
        <v>0</v>
      </c>
      <c r="O354" s="497">
        <f t="shared" si="156"/>
        <v>1800000</v>
      </c>
      <c r="P354" s="493"/>
      <c r="Q354" s="493"/>
      <c r="S354" s="492">
        <v>350</v>
      </c>
      <c r="T354" s="492">
        <v>30</v>
      </c>
      <c r="U354" s="497">
        <f>IF(('Comparison Calculator'!$E$11-T354)&gt;=0,0,IFERROR(-PPMT($Y$66/12,(S354-60),($F$1-5)*12,$Y$65),0))</f>
        <v>0</v>
      </c>
      <c r="V354" s="497">
        <f>IF(('Comparison Calculator'!$E$11-T354)&gt;=0,$C$1*$Y$66/12,IFERROR(-IPMT($Y$66/12,(S354-60),($F$1-5)*12,$Y$65,0),0))</f>
        <v>0</v>
      </c>
      <c r="W354" s="497">
        <f t="shared" si="144"/>
        <v>0</v>
      </c>
      <c r="X354" s="497">
        <f t="shared" si="157"/>
        <v>1800000</v>
      </c>
      <c r="Y354" s="493"/>
      <c r="Z354" s="493"/>
      <c r="AB354" s="492">
        <v>350</v>
      </c>
      <c r="AC354" s="492">
        <v>30</v>
      </c>
      <c r="AD354" s="497">
        <f>IF(('Comparison Calculator'!$E$11-AC354)&gt;=0,0,IFERROR(-PPMT($AH$66/12,(AB354-60),($F$1-5)*12,$AH$65),0))</f>
        <v>0</v>
      </c>
      <c r="AE354" s="497">
        <f>IF(('Comparison Calculator'!$E$11-AC354)&gt;=0,$C$1*$AH$66/12,IFERROR(-IPMT($AH$66/12,(AB354-60),($F$1-5)*12,$AH$65,0),0))</f>
        <v>0</v>
      </c>
      <c r="AF354" s="497">
        <f t="shared" si="145"/>
        <v>0</v>
      </c>
      <c r="AG354" s="497">
        <f t="shared" si="158"/>
        <v>1800000</v>
      </c>
      <c r="AH354" s="493"/>
      <c r="AI354" s="493"/>
      <c r="AK354" s="492">
        <v>350</v>
      </c>
      <c r="AL354" s="492">
        <v>30</v>
      </c>
      <c r="AM354" s="497">
        <f>IF(('Comparison Calculator'!$E$11-AL354)&gt;=0,0,IFERROR(-PPMT($AQ$66/12,(AK354-60),($F$1-5)*12,$AQ$65),0))</f>
        <v>0</v>
      </c>
      <c r="AN354" s="497">
        <f>IF(('Comparison Calculator'!$E$11-AL354)&gt;=0,$C$1*$AQ$66/12,IFERROR(-IPMT($AQ$66/12,(AK354-60),($F$1-5)*12,$AQ$65,0),0))</f>
        <v>0</v>
      </c>
      <c r="AO354" s="497">
        <f t="shared" si="146"/>
        <v>0</v>
      </c>
      <c r="AP354" s="497">
        <f t="shared" si="159"/>
        <v>1800000</v>
      </c>
      <c r="AQ354" s="493"/>
      <c r="AR354" s="493"/>
      <c r="AT354" s="492">
        <v>350</v>
      </c>
      <c r="AU354" s="492">
        <v>30</v>
      </c>
      <c r="AV354" s="497">
        <f>IF(('Comparison Calculator'!$E$11-AU354)&gt;=0,0,IFERROR(-PPMT($AZ$66/12,(AT354-60),($F$1-5)*12,$AZ$65),0))</f>
        <v>0</v>
      </c>
      <c r="AW354" s="497">
        <f>IF(('Comparison Calculator'!$E$11-AU354)&gt;=0,$C$1*$AZ$66/12,IFERROR(-IPMT($AZ$66/12,(AT354-60),($F$1-5)*12,$AZ$65,0),0))</f>
        <v>0</v>
      </c>
      <c r="AX354" s="497">
        <f t="shared" si="147"/>
        <v>0</v>
      </c>
      <c r="AY354" s="497">
        <f t="shared" si="160"/>
        <v>1800000</v>
      </c>
      <c r="AZ354" s="493"/>
      <c r="BA354" s="493"/>
      <c r="BC354" s="492">
        <v>350</v>
      </c>
      <c r="BD354" s="492">
        <v>30</v>
      </c>
      <c r="BE354" s="497">
        <f>IF(('Comparison Calculator'!$E$11-BD354)&gt;=0,0,IFERROR(-PPMT($BI$66/12,(BC354-60),($F$1-5)*12,$BI$65),0))</f>
        <v>0</v>
      </c>
      <c r="BF354" s="497">
        <f>IF(('Comparison Calculator'!$E$11-BD354)&gt;=0,$C$1*$BI$66/12,IFERROR(-IPMT($BI$66/12,(BC354-60),($F$1-5)*12,$BI$65,0),0))</f>
        <v>0</v>
      </c>
      <c r="BG354" s="497">
        <f t="shared" si="148"/>
        <v>0</v>
      </c>
      <c r="BH354" s="497">
        <f t="shared" si="161"/>
        <v>1800000</v>
      </c>
      <c r="BI354" s="493"/>
      <c r="BJ354" s="493"/>
      <c r="BK354" s="492">
        <v>350</v>
      </c>
      <c r="BL354" s="492">
        <v>30</v>
      </c>
      <c r="BM354" s="497">
        <f>IF(('Comparison Calculator'!$E$11-BL354)&gt;=0,0,IFERROR(-PPMT($BQ$66/12,(BK354-60),($F$1-5)*12,$BQ$65),0))</f>
        <v>0</v>
      </c>
      <c r="BN354" s="497">
        <f>IF(('Comparison Calculator'!$E$11-BL354)&gt;=0,$C$1*$BQ$66/12,IFERROR(-IPMT($BQ$66/12,(BK354-60),($F$1-5)*12,$BQ$65,0),0))</f>
        <v>0</v>
      </c>
      <c r="BO354" s="497">
        <f t="shared" si="149"/>
        <v>0</v>
      </c>
      <c r="BP354" s="497">
        <f t="shared" si="162"/>
        <v>1800000</v>
      </c>
      <c r="BQ354" s="493"/>
      <c r="BR354" s="493"/>
      <c r="BT354" s="492">
        <v>350</v>
      </c>
      <c r="BU354" s="492">
        <v>30</v>
      </c>
      <c r="BV354" s="497">
        <f>IF(('Comparison Calculator'!$E$11-BU354)&gt;=0,0,IFERROR(-PPMT($BZ$66/12,(BT354-60),($F$1-5)*12,$BZ$65),0))</f>
        <v>0</v>
      </c>
      <c r="BW354" s="497">
        <f>IF(('Comparison Calculator'!$E$11-BU354)&gt;=0,$C$1*$BZ$66/12,IFERROR(-IPMT($BZ$66/12,(BT354-60),($F$1-5)*12,$BZ$65,0),0))</f>
        <v>0</v>
      </c>
      <c r="BX354" s="497">
        <f t="shared" si="150"/>
        <v>0</v>
      </c>
      <c r="BY354" s="497">
        <f t="shared" si="163"/>
        <v>1800000</v>
      </c>
      <c r="BZ354" s="493"/>
      <c r="CA354" s="493"/>
      <c r="CC354" s="492">
        <v>350</v>
      </c>
      <c r="CD354" s="492">
        <v>30</v>
      </c>
      <c r="CE354" s="497">
        <f>IF(('Comparison Calculator'!$E$11-CD354)&gt;=0,0,IFERROR(-PPMT($CI$66/12,(CC354-60),($F$1-5)*12,$CI$65),0))</f>
        <v>0</v>
      </c>
      <c r="CF354" s="497">
        <f>IF(('Comparison Calculator'!$E$11-CD354)&gt;=0,$C$1*$CI$66/12,IFERROR(-IPMT($CI$66/12,(CC354-60),($F$1-5)*12,$CI$65,0),0))</f>
        <v>0</v>
      </c>
      <c r="CG354" s="497">
        <f t="shared" si="151"/>
        <v>0</v>
      </c>
      <c r="CH354" s="497">
        <f t="shared" si="164"/>
        <v>1800000</v>
      </c>
      <c r="CI354" s="493"/>
      <c r="CJ354" s="493"/>
      <c r="CL354" s="492">
        <v>350</v>
      </c>
      <c r="CM354" s="492">
        <v>30</v>
      </c>
      <c r="CN354" s="497">
        <f>IF(('Comparison Calculator'!$E$11-CM354)&gt;=0,0,IFERROR(-PPMT($CR$66/12,(CL354-60),($F$1-5)*12,$CR$65),0))</f>
        <v>0</v>
      </c>
      <c r="CO354" s="497">
        <f>IF(('Comparison Calculator'!$E$11-CM354)&gt;=0,$C$1*$CI$66/12,IFERROR(-IPMT($CI$66/12,(CL354-60),($F$1-5)*12,$CI$65,0),0))</f>
        <v>0</v>
      </c>
      <c r="CP354" s="497">
        <f t="shared" si="152"/>
        <v>0</v>
      </c>
      <c r="CQ354" s="497">
        <f t="shared" si="165"/>
        <v>1800000</v>
      </c>
      <c r="CR354" s="493"/>
      <c r="CS354" s="493"/>
      <c r="CU354" s="492">
        <v>350</v>
      </c>
      <c r="CV354" s="492">
        <v>30</v>
      </c>
      <c r="CW354" s="497">
        <f>IF(('Comparison Calculator'!$E$11-CV354)&gt;=0,0,IFERROR(-PPMT($DA$66/12,(CU354-60),($F$1-5)*12,$DA$65),0))</f>
        <v>0</v>
      </c>
      <c r="CX354" s="497">
        <f>IF(('Comparison Calculator'!$E$11-CV354)&gt;=0,$C$1*$DA$66/12,IFERROR(-IPMT($DA$66/12,(CU354-60),($F$1-5)*12,$DA$65,0),0))</f>
        <v>0</v>
      </c>
      <c r="CY354" s="497">
        <f t="shared" si="153"/>
        <v>0</v>
      </c>
      <c r="CZ354" s="497">
        <f t="shared" si="166"/>
        <v>1800000</v>
      </c>
      <c r="DA354" s="493"/>
      <c r="DB354" s="493"/>
      <c r="DD354" s="492">
        <v>350</v>
      </c>
      <c r="DE354" s="492">
        <v>30</v>
      </c>
      <c r="DF354" s="497">
        <f>IF(('Comparison Calculator'!$E$11-DE354)&gt;=0,0,IFERROR(-PPMT($DJ$66/12,(DD354-60),($F$1-5)*12,$DJ$65),0))</f>
        <v>0</v>
      </c>
      <c r="DG354" s="497">
        <f>IF(('Comparison Calculator'!$E$11-DE354)&gt;=0,$C$1*$DJ$66/12,IFERROR(-IPMT($DJ$66/12,(DD354-60),($F$1-5)*12,$DJ$65,0),0))</f>
        <v>0</v>
      </c>
      <c r="DH354" s="497">
        <f t="shared" si="154"/>
        <v>0</v>
      </c>
      <c r="DI354" s="497">
        <f t="shared" si="167"/>
        <v>1800000</v>
      </c>
      <c r="DJ354" s="493"/>
      <c r="DK354" s="493"/>
    </row>
    <row r="355" spans="1:115">
      <c r="A355" s="492">
        <v>351</v>
      </c>
      <c r="B355" s="492">
        <v>30</v>
      </c>
      <c r="C355" s="497">
        <f>IF(('Comparison Calculator'!$E$11-B355)&gt;=0,0,IFERROR(-PPMT($G$66/12,(A355-60),($F$1-5)*12,$G$65),0))</f>
        <v>0</v>
      </c>
      <c r="D355" s="497">
        <f>IF(('Comparison Calculator'!$E$11-B355)&gt;=0,$C$1*$G$66/12,IFERROR(-IPMT($G$66/12,(A355-60),($F$1-5)*12,$G$65,0),0))</f>
        <v>0</v>
      </c>
      <c r="E355" s="497">
        <f t="shared" si="142"/>
        <v>0</v>
      </c>
      <c r="F355" s="497">
        <f t="shared" si="155"/>
        <v>1800000</v>
      </c>
      <c r="G355" s="493"/>
      <c r="H355" s="493"/>
      <c r="I355" s="489"/>
      <c r="J355" s="492">
        <v>351</v>
      </c>
      <c r="K355" s="492">
        <v>30</v>
      </c>
      <c r="L355" s="497">
        <f>IF(('Comparison Calculator'!$E$11-K355)&gt;=0,0,IFERROR(-PPMT($P$66/12,(J355-60),($F$1-5)*12,$P$65),0))</f>
        <v>0</v>
      </c>
      <c r="M355" s="497">
        <f>IF(('Comparison Calculator'!$E$11-K355)&gt;=0,$C$1*$P$66/12,IFERROR(-IPMT($P$66/12,(J355-60),($F$1-5)*12,$P$65,0),0))</f>
        <v>0</v>
      </c>
      <c r="N355" s="497">
        <f t="shared" si="143"/>
        <v>0</v>
      </c>
      <c r="O355" s="497">
        <f t="shared" si="156"/>
        <v>1800000</v>
      </c>
      <c r="P355" s="493"/>
      <c r="Q355" s="493"/>
      <c r="S355" s="492">
        <v>351</v>
      </c>
      <c r="T355" s="492">
        <v>30</v>
      </c>
      <c r="U355" s="497">
        <f>IF(('Comparison Calculator'!$E$11-T355)&gt;=0,0,IFERROR(-PPMT($Y$66/12,(S355-60),($F$1-5)*12,$Y$65),0))</f>
        <v>0</v>
      </c>
      <c r="V355" s="497">
        <f>IF(('Comparison Calculator'!$E$11-T355)&gt;=0,$C$1*$Y$66/12,IFERROR(-IPMT($Y$66/12,(S355-60),($F$1-5)*12,$Y$65,0),0))</f>
        <v>0</v>
      </c>
      <c r="W355" s="497">
        <f t="shared" si="144"/>
        <v>0</v>
      </c>
      <c r="X355" s="497">
        <f t="shared" si="157"/>
        <v>1800000</v>
      </c>
      <c r="Y355" s="493"/>
      <c r="Z355" s="493"/>
      <c r="AB355" s="492">
        <v>351</v>
      </c>
      <c r="AC355" s="492">
        <v>30</v>
      </c>
      <c r="AD355" s="497">
        <f>IF(('Comparison Calculator'!$E$11-AC355)&gt;=0,0,IFERROR(-PPMT($AH$66/12,(AB355-60),($F$1-5)*12,$AH$65),0))</f>
        <v>0</v>
      </c>
      <c r="AE355" s="497">
        <f>IF(('Comparison Calculator'!$E$11-AC355)&gt;=0,$C$1*$AH$66/12,IFERROR(-IPMT($AH$66/12,(AB355-60),($F$1-5)*12,$AH$65,0),0))</f>
        <v>0</v>
      </c>
      <c r="AF355" s="497">
        <f t="shared" si="145"/>
        <v>0</v>
      </c>
      <c r="AG355" s="497">
        <f t="shared" si="158"/>
        <v>1800000</v>
      </c>
      <c r="AH355" s="493"/>
      <c r="AI355" s="493"/>
      <c r="AK355" s="492">
        <v>351</v>
      </c>
      <c r="AL355" s="492">
        <v>30</v>
      </c>
      <c r="AM355" s="497">
        <f>IF(('Comparison Calculator'!$E$11-AL355)&gt;=0,0,IFERROR(-PPMT($AQ$66/12,(AK355-60),($F$1-5)*12,$AQ$65),0))</f>
        <v>0</v>
      </c>
      <c r="AN355" s="497">
        <f>IF(('Comparison Calculator'!$E$11-AL355)&gt;=0,$C$1*$AQ$66/12,IFERROR(-IPMT($AQ$66/12,(AK355-60),($F$1-5)*12,$AQ$65,0),0))</f>
        <v>0</v>
      </c>
      <c r="AO355" s="497">
        <f t="shared" si="146"/>
        <v>0</v>
      </c>
      <c r="AP355" s="497">
        <f t="shared" si="159"/>
        <v>1800000</v>
      </c>
      <c r="AQ355" s="493"/>
      <c r="AR355" s="493"/>
      <c r="AT355" s="492">
        <v>351</v>
      </c>
      <c r="AU355" s="492">
        <v>30</v>
      </c>
      <c r="AV355" s="497">
        <f>IF(('Comparison Calculator'!$E$11-AU355)&gt;=0,0,IFERROR(-PPMT($AZ$66/12,(AT355-60),($F$1-5)*12,$AZ$65),0))</f>
        <v>0</v>
      </c>
      <c r="AW355" s="497">
        <f>IF(('Comparison Calculator'!$E$11-AU355)&gt;=0,$C$1*$AZ$66/12,IFERROR(-IPMT($AZ$66/12,(AT355-60),($F$1-5)*12,$AZ$65,0),0))</f>
        <v>0</v>
      </c>
      <c r="AX355" s="497">
        <f t="shared" si="147"/>
        <v>0</v>
      </c>
      <c r="AY355" s="497">
        <f t="shared" si="160"/>
        <v>1800000</v>
      </c>
      <c r="AZ355" s="493"/>
      <c r="BA355" s="493"/>
      <c r="BC355" s="492">
        <v>351</v>
      </c>
      <c r="BD355" s="492">
        <v>30</v>
      </c>
      <c r="BE355" s="497">
        <f>IF(('Comparison Calculator'!$E$11-BD355)&gt;=0,0,IFERROR(-PPMT($BI$66/12,(BC355-60),($F$1-5)*12,$BI$65),0))</f>
        <v>0</v>
      </c>
      <c r="BF355" s="497">
        <f>IF(('Comparison Calculator'!$E$11-BD355)&gt;=0,$C$1*$BI$66/12,IFERROR(-IPMT($BI$66/12,(BC355-60),($F$1-5)*12,$BI$65,0),0))</f>
        <v>0</v>
      </c>
      <c r="BG355" s="497">
        <f t="shared" si="148"/>
        <v>0</v>
      </c>
      <c r="BH355" s="497">
        <f t="shared" si="161"/>
        <v>1800000</v>
      </c>
      <c r="BI355" s="493"/>
      <c r="BJ355" s="493"/>
      <c r="BK355" s="492">
        <v>351</v>
      </c>
      <c r="BL355" s="492">
        <v>30</v>
      </c>
      <c r="BM355" s="497">
        <f>IF(('Comparison Calculator'!$E$11-BL355)&gt;=0,0,IFERROR(-PPMT($BQ$66/12,(BK355-60),($F$1-5)*12,$BQ$65),0))</f>
        <v>0</v>
      </c>
      <c r="BN355" s="497">
        <f>IF(('Comparison Calculator'!$E$11-BL355)&gt;=0,$C$1*$BQ$66/12,IFERROR(-IPMT($BQ$66/12,(BK355-60),($F$1-5)*12,$BQ$65,0),0))</f>
        <v>0</v>
      </c>
      <c r="BO355" s="497">
        <f t="shared" si="149"/>
        <v>0</v>
      </c>
      <c r="BP355" s="497">
        <f t="shared" si="162"/>
        <v>1800000</v>
      </c>
      <c r="BQ355" s="493"/>
      <c r="BR355" s="493"/>
      <c r="BT355" s="492">
        <v>351</v>
      </c>
      <c r="BU355" s="492">
        <v>30</v>
      </c>
      <c r="BV355" s="497">
        <f>IF(('Comparison Calculator'!$E$11-BU355)&gt;=0,0,IFERROR(-PPMT($BZ$66/12,(BT355-60),($F$1-5)*12,$BZ$65),0))</f>
        <v>0</v>
      </c>
      <c r="BW355" s="497">
        <f>IF(('Comparison Calculator'!$E$11-BU355)&gt;=0,$C$1*$BZ$66/12,IFERROR(-IPMT($BZ$66/12,(BT355-60),($F$1-5)*12,$BZ$65,0),0))</f>
        <v>0</v>
      </c>
      <c r="BX355" s="497">
        <f t="shared" si="150"/>
        <v>0</v>
      </c>
      <c r="BY355" s="497">
        <f t="shared" si="163"/>
        <v>1800000</v>
      </c>
      <c r="BZ355" s="493"/>
      <c r="CA355" s="493"/>
      <c r="CC355" s="492">
        <v>351</v>
      </c>
      <c r="CD355" s="492">
        <v>30</v>
      </c>
      <c r="CE355" s="497">
        <f>IF(('Comparison Calculator'!$E$11-CD355)&gt;=0,0,IFERROR(-PPMT($CI$66/12,(CC355-60),($F$1-5)*12,$CI$65),0))</f>
        <v>0</v>
      </c>
      <c r="CF355" s="497">
        <f>IF(('Comparison Calculator'!$E$11-CD355)&gt;=0,$C$1*$CI$66/12,IFERROR(-IPMT($CI$66/12,(CC355-60),($F$1-5)*12,$CI$65,0),0))</f>
        <v>0</v>
      </c>
      <c r="CG355" s="497">
        <f t="shared" si="151"/>
        <v>0</v>
      </c>
      <c r="CH355" s="497">
        <f t="shared" si="164"/>
        <v>1800000</v>
      </c>
      <c r="CI355" s="493"/>
      <c r="CJ355" s="493"/>
      <c r="CL355" s="492">
        <v>351</v>
      </c>
      <c r="CM355" s="492">
        <v>30</v>
      </c>
      <c r="CN355" s="497">
        <f>IF(('Comparison Calculator'!$E$11-CM355)&gt;=0,0,IFERROR(-PPMT($CR$66/12,(CL355-60),($F$1-5)*12,$CR$65),0))</f>
        <v>0</v>
      </c>
      <c r="CO355" s="497">
        <f>IF(('Comparison Calculator'!$E$11-CM355)&gt;=0,$C$1*$CI$66/12,IFERROR(-IPMT($CI$66/12,(CL355-60),($F$1-5)*12,$CI$65,0),0))</f>
        <v>0</v>
      </c>
      <c r="CP355" s="497">
        <f t="shared" si="152"/>
        <v>0</v>
      </c>
      <c r="CQ355" s="497">
        <f t="shared" si="165"/>
        <v>1800000</v>
      </c>
      <c r="CR355" s="493"/>
      <c r="CS355" s="493"/>
      <c r="CU355" s="492">
        <v>351</v>
      </c>
      <c r="CV355" s="492">
        <v>30</v>
      </c>
      <c r="CW355" s="497">
        <f>IF(('Comparison Calculator'!$E$11-CV355)&gt;=0,0,IFERROR(-PPMT($DA$66/12,(CU355-60),($F$1-5)*12,$DA$65),0))</f>
        <v>0</v>
      </c>
      <c r="CX355" s="497">
        <f>IF(('Comparison Calculator'!$E$11-CV355)&gt;=0,$C$1*$DA$66/12,IFERROR(-IPMT($DA$66/12,(CU355-60),($F$1-5)*12,$DA$65,0),0))</f>
        <v>0</v>
      </c>
      <c r="CY355" s="497">
        <f t="shared" si="153"/>
        <v>0</v>
      </c>
      <c r="CZ355" s="497">
        <f t="shared" si="166"/>
        <v>1800000</v>
      </c>
      <c r="DA355" s="493"/>
      <c r="DB355" s="493"/>
      <c r="DD355" s="492">
        <v>351</v>
      </c>
      <c r="DE355" s="492">
        <v>30</v>
      </c>
      <c r="DF355" s="497">
        <f>IF(('Comparison Calculator'!$E$11-DE355)&gt;=0,0,IFERROR(-PPMT($DJ$66/12,(DD355-60),($F$1-5)*12,$DJ$65),0))</f>
        <v>0</v>
      </c>
      <c r="DG355" s="497">
        <f>IF(('Comparison Calculator'!$E$11-DE355)&gt;=0,$C$1*$DJ$66/12,IFERROR(-IPMT($DJ$66/12,(DD355-60),($F$1-5)*12,$DJ$65,0),0))</f>
        <v>0</v>
      </c>
      <c r="DH355" s="497">
        <f t="shared" si="154"/>
        <v>0</v>
      </c>
      <c r="DI355" s="497">
        <f t="shared" si="167"/>
        <v>1800000</v>
      </c>
      <c r="DJ355" s="493"/>
      <c r="DK355" s="493"/>
    </row>
    <row r="356" spans="1:115">
      <c r="A356" s="492">
        <v>352</v>
      </c>
      <c r="B356" s="492">
        <v>30</v>
      </c>
      <c r="C356" s="497">
        <f>IF(('Comparison Calculator'!$E$11-B356)&gt;=0,0,IFERROR(-PPMT($G$66/12,(A356-60),($F$1-5)*12,$G$65),0))</f>
        <v>0</v>
      </c>
      <c r="D356" s="497">
        <f>IF(('Comparison Calculator'!$E$11-B356)&gt;=0,$C$1*$G$66/12,IFERROR(-IPMT($G$66/12,(A356-60),($F$1-5)*12,$G$65,0),0))</f>
        <v>0</v>
      </c>
      <c r="E356" s="497">
        <f t="shared" si="142"/>
        <v>0</v>
      </c>
      <c r="F356" s="497">
        <f t="shared" si="155"/>
        <v>1800000</v>
      </c>
      <c r="G356" s="493"/>
      <c r="H356" s="493"/>
      <c r="I356" s="489"/>
      <c r="J356" s="492">
        <v>352</v>
      </c>
      <c r="K356" s="492">
        <v>30</v>
      </c>
      <c r="L356" s="497">
        <f>IF(('Comparison Calculator'!$E$11-K356)&gt;=0,0,IFERROR(-PPMT($P$66/12,(J356-60),($F$1-5)*12,$P$65),0))</f>
        <v>0</v>
      </c>
      <c r="M356" s="497">
        <f>IF(('Comparison Calculator'!$E$11-K356)&gt;=0,$C$1*$P$66/12,IFERROR(-IPMT($P$66/12,(J356-60),($F$1-5)*12,$P$65,0),0))</f>
        <v>0</v>
      </c>
      <c r="N356" s="497">
        <f t="shared" si="143"/>
        <v>0</v>
      </c>
      <c r="O356" s="497">
        <f t="shared" si="156"/>
        <v>1800000</v>
      </c>
      <c r="P356" s="493"/>
      <c r="Q356" s="493"/>
      <c r="S356" s="492">
        <v>352</v>
      </c>
      <c r="T356" s="492">
        <v>30</v>
      </c>
      <c r="U356" s="497">
        <f>IF(('Comparison Calculator'!$E$11-T356)&gt;=0,0,IFERROR(-PPMT($Y$66/12,(S356-60),($F$1-5)*12,$Y$65),0))</f>
        <v>0</v>
      </c>
      <c r="V356" s="497">
        <f>IF(('Comparison Calculator'!$E$11-T356)&gt;=0,$C$1*$Y$66/12,IFERROR(-IPMT($Y$66/12,(S356-60),($F$1-5)*12,$Y$65,0),0))</f>
        <v>0</v>
      </c>
      <c r="W356" s="497">
        <f t="shared" si="144"/>
        <v>0</v>
      </c>
      <c r="X356" s="497">
        <f t="shared" si="157"/>
        <v>1800000</v>
      </c>
      <c r="Y356" s="493"/>
      <c r="Z356" s="493"/>
      <c r="AB356" s="492">
        <v>352</v>
      </c>
      <c r="AC356" s="492">
        <v>30</v>
      </c>
      <c r="AD356" s="497">
        <f>IF(('Comparison Calculator'!$E$11-AC356)&gt;=0,0,IFERROR(-PPMT($AH$66/12,(AB356-60),($F$1-5)*12,$AH$65),0))</f>
        <v>0</v>
      </c>
      <c r="AE356" s="497">
        <f>IF(('Comparison Calculator'!$E$11-AC356)&gt;=0,$C$1*$AH$66/12,IFERROR(-IPMT($AH$66/12,(AB356-60),($F$1-5)*12,$AH$65,0),0))</f>
        <v>0</v>
      </c>
      <c r="AF356" s="497">
        <f t="shared" si="145"/>
        <v>0</v>
      </c>
      <c r="AG356" s="497">
        <f t="shared" si="158"/>
        <v>1800000</v>
      </c>
      <c r="AH356" s="493"/>
      <c r="AI356" s="493"/>
      <c r="AK356" s="492">
        <v>352</v>
      </c>
      <c r="AL356" s="492">
        <v>30</v>
      </c>
      <c r="AM356" s="497">
        <f>IF(('Comparison Calculator'!$E$11-AL356)&gt;=0,0,IFERROR(-PPMT($AQ$66/12,(AK356-60),($F$1-5)*12,$AQ$65),0))</f>
        <v>0</v>
      </c>
      <c r="AN356" s="497">
        <f>IF(('Comparison Calculator'!$E$11-AL356)&gt;=0,$C$1*$AQ$66/12,IFERROR(-IPMT($AQ$66/12,(AK356-60),($F$1-5)*12,$AQ$65,0),0))</f>
        <v>0</v>
      </c>
      <c r="AO356" s="497">
        <f t="shared" si="146"/>
        <v>0</v>
      </c>
      <c r="AP356" s="497">
        <f t="shared" si="159"/>
        <v>1800000</v>
      </c>
      <c r="AQ356" s="493"/>
      <c r="AR356" s="493"/>
      <c r="AT356" s="492">
        <v>352</v>
      </c>
      <c r="AU356" s="492">
        <v>30</v>
      </c>
      <c r="AV356" s="497">
        <f>IF(('Comparison Calculator'!$E$11-AU356)&gt;=0,0,IFERROR(-PPMT($AZ$66/12,(AT356-60),($F$1-5)*12,$AZ$65),0))</f>
        <v>0</v>
      </c>
      <c r="AW356" s="497">
        <f>IF(('Comparison Calculator'!$E$11-AU356)&gt;=0,$C$1*$AZ$66/12,IFERROR(-IPMT($AZ$66/12,(AT356-60),($F$1-5)*12,$AZ$65,0),0))</f>
        <v>0</v>
      </c>
      <c r="AX356" s="497">
        <f t="shared" si="147"/>
        <v>0</v>
      </c>
      <c r="AY356" s="497">
        <f t="shared" si="160"/>
        <v>1800000</v>
      </c>
      <c r="AZ356" s="493"/>
      <c r="BA356" s="493"/>
      <c r="BC356" s="492">
        <v>352</v>
      </c>
      <c r="BD356" s="492">
        <v>30</v>
      </c>
      <c r="BE356" s="497">
        <f>IF(('Comparison Calculator'!$E$11-BD356)&gt;=0,0,IFERROR(-PPMT($BI$66/12,(BC356-60),($F$1-5)*12,$BI$65),0))</f>
        <v>0</v>
      </c>
      <c r="BF356" s="497">
        <f>IF(('Comparison Calculator'!$E$11-BD356)&gt;=0,$C$1*$BI$66/12,IFERROR(-IPMT($BI$66/12,(BC356-60),($F$1-5)*12,$BI$65,0),0))</f>
        <v>0</v>
      </c>
      <c r="BG356" s="497">
        <f t="shared" si="148"/>
        <v>0</v>
      </c>
      <c r="BH356" s="497">
        <f t="shared" si="161"/>
        <v>1800000</v>
      </c>
      <c r="BI356" s="493"/>
      <c r="BJ356" s="493"/>
      <c r="BK356" s="492">
        <v>352</v>
      </c>
      <c r="BL356" s="492">
        <v>30</v>
      </c>
      <c r="BM356" s="497">
        <f>IF(('Comparison Calculator'!$E$11-BL356)&gt;=0,0,IFERROR(-PPMT($BQ$66/12,(BK356-60),($F$1-5)*12,$BQ$65),0))</f>
        <v>0</v>
      </c>
      <c r="BN356" s="497">
        <f>IF(('Comparison Calculator'!$E$11-BL356)&gt;=0,$C$1*$BQ$66/12,IFERROR(-IPMT($BQ$66/12,(BK356-60),($F$1-5)*12,$BQ$65,0),0))</f>
        <v>0</v>
      </c>
      <c r="BO356" s="497">
        <f t="shared" si="149"/>
        <v>0</v>
      </c>
      <c r="BP356" s="497">
        <f t="shared" si="162"/>
        <v>1800000</v>
      </c>
      <c r="BQ356" s="493"/>
      <c r="BR356" s="493"/>
      <c r="BT356" s="492">
        <v>352</v>
      </c>
      <c r="BU356" s="492">
        <v>30</v>
      </c>
      <c r="BV356" s="497">
        <f>IF(('Comparison Calculator'!$E$11-BU356)&gt;=0,0,IFERROR(-PPMT($BZ$66/12,(BT356-60),($F$1-5)*12,$BZ$65),0))</f>
        <v>0</v>
      </c>
      <c r="BW356" s="497">
        <f>IF(('Comparison Calculator'!$E$11-BU356)&gt;=0,$C$1*$BZ$66/12,IFERROR(-IPMT($BZ$66/12,(BT356-60),($F$1-5)*12,$BZ$65,0),0))</f>
        <v>0</v>
      </c>
      <c r="BX356" s="497">
        <f t="shared" si="150"/>
        <v>0</v>
      </c>
      <c r="BY356" s="497">
        <f t="shared" si="163"/>
        <v>1800000</v>
      </c>
      <c r="BZ356" s="493"/>
      <c r="CA356" s="493"/>
      <c r="CC356" s="492">
        <v>352</v>
      </c>
      <c r="CD356" s="492">
        <v>30</v>
      </c>
      <c r="CE356" s="497">
        <f>IF(('Comparison Calculator'!$E$11-CD356)&gt;=0,0,IFERROR(-PPMT($CI$66/12,(CC356-60),($F$1-5)*12,$CI$65),0))</f>
        <v>0</v>
      </c>
      <c r="CF356" s="497">
        <f>IF(('Comparison Calculator'!$E$11-CD356)&gt;=0,$C$1*$CI$66/12,IFERROR(-IPMT($CI$66/12,(CC356-60),($F$1-5)*12,$CI$65,0),0))</f>
        <v>0</v>
      </c>
      <c r="CG356" s="497">
        <f t="shared" si="151"/>
        <v>0</v>
      </c>
      <c r="CH356" s="497">
        <f t="shared" si="164"/>
        <v>1800000</v>
      </c>
      <c r="CI356" s="493"/>
      <c r="CJ356" s="493"/>
      <c r="CL356" s="492">
        <v>352</v>
      </c>
      <c r="CM356" s="492">
        <v>30</v>
      </c>
      <c r="CN356" s="497">
        <f>IF(('Comparison Calculator'!$E$11-CM356)&gt;=0,0,IFERROR(-PPMT($CR$66/12,(CL356-60),($F$1-5)*12,$CR$65),0))</f>
        <v>0</v>
      </c>
      <c r="CO356" s="497">
        <f>IF(('Comparison Calculator'!$E$11-CM356)&gt;=0,$C$1*$CI$66/12,IFERROR(-IPMT($CI$66/12,(CL356-60),($F$1-5)*12,$CI$65,0),0))</f>
        <v>0</v>
      </c>
      <c r="CP356" s="497">
        <f t="shared" si="152"/>
        <v>0</v>
      </c>
      <c r="CQ356" s="497">
        <f t="shared" si="165"/>
        <v>1800000</v>
      </c>
      <c r="CR356" s="493"/>
      <c r="CS356" s="493"/>
      <c r="CU356" s="492">
        <v>352</v>
      </c>
      <c r="CV356" s="492">
        <v>30</v>
      </c>
      <c r="CW356" s="497">
        <f>IF(('Comparison Calculator'!$E$11-CV356)&gt;=0,0,IFERROR(-PPMT($DA$66/12,(CU356-60),($F$1-5)*12,$DA$65),0))</f>
        <v>0</v>
      </c>
      <c r="CX356" s="497">
        <f>IF(('Comparison Calculator'!$E$11-CV356)&gt;=0,$C$1*$DA$66/12,IFERROR(-IPMT($DA$66/12,(CU356-60),($F$1-5)*12,$DA$65,0),0))</f>
        <v>0</v>
      </c>
      <c r="CY356" s="497">
        <f t="shared" si="153"/>
        <v>0</v>
      </c>
      <c r="CZ356" s="497">
        <f t="shared" si="166"/>
        <v>1800000</v>
      </c>
      <c r="DA356" s="493"/>
      <c r="DB356" s="493"/>
      <c r="DD356" s="492">
        <v>352</v>
      </c>
      <c r="DE356" s="492">
        <v>30</v>
      </c>
      <c r="DF356" s="497">
        <f>IF(('Comparison Calculator'!$E$11-DE356)&gt;=0,0,IFERROR(-PPMT($DJ$66/12,(DD356-60),($F$1-5)*12,$DJ$65),0))</f>
        <v>0</v>
      </c>
      <c r="DG356" s="497">
        <f>IF(('Comparison Calculator'!$E$11-DE356)&gt;=0,$C$1*$DJ$66/12,IFERROR(-IPMT($DJ$66/12,(DD356-60),($F$1-5)*12,$DJ$65,0),0))</f>
        <v>0</v>
      </c>
      <c r="DH356" s="497">
        <f t="shared" si="154"/>
        <v>0</v>
      </c>
      <c r="DI356" s="497">
        <f t="shared" si="167"/>
        <v>1800000</v>
      </c>
      <c r="DJ356" s="493"/>
      <c r="DK356" s="493"/>
    </row>
    <row r="357" spans="1:115">
      <c r="A357" s="492">
        <v>353</v>
      </c>
      <c r="B357" s="492">
        <v>30</v>
      </c>
      <c r="C357" s="497">
        <f>IF(('Comparison Calculator'!$E$11-B357)&gt;=0,0,IFERROR(-PPMT($G$66/12,(A357-60),($F$1-5)*12,$G$65),0))</f>
        <v>0</v>
      </c>
      <c r="D357" s="497">
        <f>IF(('Comparison Calculator'!$E$11-B357)&gt;=0,$C$1*$G$66/12,IFERROR(-IPMT($G$66/12,(A357-60),($F$1-5)*12,$G$65,0),0))</f>
        <v>0</v>
      </c>
      <c r="E357" s="497">
        <f t="shared" si="142"/>
        <v>0</v>
      </c>
      <c r="F357" s="497">
        <f t="shared" si="155"/>
        <v>1800000</v>
      </c>
      <c r="G357" s="493"/>
      <c r="H357" s="493"/>
      <c r="I357" s="489"/>
      <c r="J357" s="492">
        <v>353</v>
      </c>
      <c r="K357" s="492">
        <v>30</v>
      </c>
      <c r="L357" s="497">
        <f>IF(('Comparison Calculator'!$E$11-K357)&gt;=0,0,IFERROR(-PPMT($P$66/12,(J357-60),($F$1-5)*12,$P$65),0))</f>
        <v>0</v>
      </c>
      <c r="M357" s="497">
        <f>IF(('Comparison Calculator'!$E$11-K357)&gt;=0,$C$1*$P$66/12,IFERROR(-IPMT($P$66/12,(J357-60),($F$1-5)*12,$P$65,0),0))</f>
        <v>0</v>
      </c>
      <c r="N357" s="497">
        <f t="shared" si="143"/>
        <v>0</v>
      </c>
      <c r="O357" s="497">
        <f t="shared" si="156"/>
        <v>1800000</v>
      </c>
      <c r="P357" s="493"/>
      <c r="Q357" s="493"/>
      <c r="S357" s="492">
        <v>353</v>
      </c>
      <c r="T357" s="492">
        <v>30</v>
      </c>
      <c r="U357" s="497">
        <f>IF(('Comparison Calculator'!$E$11-T357)&gt;=0,0,IFERROR(-PPMT($Y$66/12,(S357-60),($F$1-5)*12,$Y$65),0))</f>
        <v>0</v>
      </c>
      <c r="V357" s="497">
        <f>IF(('Comparison Calculator'!$E$11-T357)&gt;=0,$C$1*$Y$66/12,IFERROR(-IPMT($Y$66/12,(S357-60),($F$1-5)*12,$Y$65,0),0))</f>
        <v>0</v>
      </c>
      <c r="W357" s="497">
        <f t="shared" si="144"/>
        <v>0</v>
      </c>
      <c r="X357" s="497">
        <f t="shared" si="157"/>
        <v>1800000</v>
      </c>
      <c r="Y357" s="493"/>
      <c r="Z357" s="493"/>
      <c r="AB357" s="492">
        <v>353</v>
      </c>
      <c r="AC357" s="492">
        <v>30</v>
      </c>
      <c r="AD357" s="497">
        <f>IF(('Comparison Calculator'!$E$11-AC357)&gt;=0,0,IFERROR(-PPMT($AH$66/12,(AB357-60),($F$1-5)*12,$AH$65),0))</f>
        <v>0</v>
      </c>
      <c r="AE357" s="497">
        <f>IF(('Comparison Calculator'!$E$11-AC357)&gt;=0,$C$1*$AH$66/12,IFERROR(-IPMT($AH$66/12,(AB357-60),($F$1-5)*12,$AH$65,0),0))</f>
        <v>0</v>
      </c>
      <c r="AF357" s="497">
        <f t="shared" si="145"/>
        <v>0</v>
      </c>
      <c r="AG357" s="497">
        <f t="shared" si="158"/>
        <v>1800000</v>
      </c>
      <c r="AH357" s="493"/>
      <c r="AI357" s="493"/>
      <c r="AK357" s="492">
        <v>353</v>
      </c>
      <c r="AL357" s="492">
        <v>30</v>
      </c>
      <c r="AM357" s="497">
        <f>IF(('Comparison Calculator'!$E$11-AL357)&gt;=0,0,IFERROR(-PPMT($AQ$66/12,(AK357-60),($F$1-5)*12,$AQ$65),0))</f>
        <v>0</v>
      </c>
      <c r="AN357" s="497">
        <f>IF(('Comparison Calculator'!$E$11-AL357)&gt;=0,$C$1*$AQ$66/12,IFERROR(-IPMT($AQ$66/12,(AK357-60),($F$1-5)*12,$AQ$65,0),0))</f>
        <v>0</v>
      </c>
      <c r="AO357" s="497">
        <f t="shared" si="146"/>
        <v>0</v>
      </c>
      <c r="AP357" s="497">
        <f t="shared" si="159"/>
        <v>1800000</v>
      </c>
      <c r="AQ357" s="493"/>
      <c r="AR357" s="493"/>
      <c r="AT357" s="492">
        <v>353</v>
      </c>
      <c r="AU357" s="492">
        <v>30</v>
      </c>
      <c r="AV357" s="497">
        <f>IF(('Comparison Calculator'!$E$11-AU357)&gt;=0,0,IFERROR(-PPMT($AZ$66/12,(AT357-60),($F$1-5)*12,$AZ$65),0))</f>
        <v>0</v>
      </c>
      <c r="AW357" s="497">
        <f>IF(('Comparison Calculator'!$E$11-AU357)&gt;=0,$C$1*$AZ$66/12,IFERROR(-IPMT($AZ$66/12,(AT357-60),($F$1-5)*12,$AZ$65,0),0))</f>
        <v>0</v>
      </c>
      <c r="AX357" s="497">
        <f t="shared" si="147"/>
        <v>0</v>
      </c>
      <c r="AY357" s="497">
        <f t="shared" si="160"/>
        <v>1800000</v>
      </c>
      <c r="AZ357" s="493"/>
      <c r="BA357" s="493"/>
      <c r="BC357" s="492">
        <v>353</v>
      </c>
      <c r="BD357" s="492">
        <v>30</v>
      </c>
      <c r="BE357" s="497">
        <f>IF(('Comparison Calculator'!$E$11-BD357)&gt;=0,0,IFERROR(-PPMT($BI$66/12,(BC357-60),($F$1-5)*12,$BI$65),0))</f>
        <v>0</v>
      </c>
      <c r="BF357" s="497">
        <f>IF(('Comparison Calculator'!$E$11-BD357)&gt;=0,$C$1*$BI$66/12,IFERROR(-IPMT($BI$66/12,(BC357-60),($F$1-5)*12,$BI$65,0),0))</f>
        <v>0</v>
      </c>
      <c r="BG357" s="497">
        <f t="shared" si="148"/>
        <v>0</v>
      </c>
      <c r="BH357" s="497">
        <f t="shared" si="161"/>
        <v>1800000</v>
      </c>
      <c r="BI357" s="493"/>
      <c r="BJ357" s="493"/>
      <c r="BK357" s="492">
        <v>353</v>
      </c>
      <c r="BL357" s="492">
        <v>30</v>
      </c>
      <c r="BM357" s="497">
        <f>IF(('Comparison Calculator'!$E$11-BL357)&gt;=0,0,IFERROR(-PPMT($BQ$66/12,(BK357-60),($F$1-5)*12,$BQ$65),0))</f>
        <v>0</v>
      </c>
      <c r="BN357" s="497">
        <f>IF(('Comparison Calculator'!$E$11-BL357)&gt;=0,$C$1*$BQ$66/12,IFERROR(-IPMT($BQ$66/12,(BK357-60),($F$1-5)*12,$BQ$65,0),0))</f>
        <v>0</v>
      </c>
      <c r="BO357" s="497">
        <f t="shared" si="149"/>
        <v>0</v>
      </c>
      <c r="BP357" s="497">
        <f t="shared" si="162"/>
        <v>1800000</v>
      </c>
      <c r="BQ357" s="493"/>
      <c r="BR357" s="493"/>
      <c r="BT357" s="492">
        <v>353</v>
      </c>
      <c r="BU357" s="492">
        <v>30</v>
      </c>
      <c r="BV357" s="497">
        <f>IF(('Comparison Calculator'!$E$11-BU357)&gt;=0,0,IFERROR(-PPMT($BZ$66/12,(BT357-60),($F$1-5)*12,$BZ$65),0))</f>
        <v>0</v>
      </c>
      <c r="BW357" s="497">
        <f>IF(('Comparison Calculator'!$E$11-BU357)&gt;=0,$C$1*$BZ$66/12,IFERROR(-IPMT($BZ$66/12,(BT357-60),($F$1-5)*12,$BZ$65,0),0))</f>
        <v>0</v>
      </c>
      <c r="BX357" s="497">
        <f t="shared" si="150"/>
        <v>0</v>
      </c>
      <c r="BY357" s="497">
        <f t="shared" si="163"/>
        <v>1800000</v>
      </c>
      <c r="BZ357" s="493"/>
      <c r="CA357" s="493"/>
      <c r="CC357" s="492">
        <v>353</v>
      </c>
      <c r="CD357" s="492">
        <v>30</v>
      </c>
      <c r="CE357" s="497">
        <f>IF(('Comparison Calculator'!$E$11-CD357)&gt;=0,0,IFERROR(-PPMT($CI$66/12,(CC357-60),($F$1-5)*12,$CI$65),0))</f>
        <v>0</v>
      </c>
      <c r="CF357" s="497">
        <f>IF(('Comparison Calculator'!$E$11-CD357)&gt;=0,$C$1*$CI$66/12,IFERROR(-IPMT($CI$66/12,(CC357-60),($F$1-5)*12,$CI$65,0),0))</f>
        <v>0</v>
      </c>
      <c r="CG357" s="497">
        <f t="shared" si="151"/>
        <v>0</v>
      </c>
      <c r="CH357" s="497">
        <f t="shared" si="164"/>
        <v>1800000</v>
      </c>
      <c r="CI357" s="493"/>
      <c r="CJ357" s="493"/>
      <c r="CL357" s="492">
        <v>353</v>
      </c>
      <c r="CM357" s="492">
        <v>30</v>
      </c>
      <c r="CN357" s="497">
        <f>IF(('Comparison Calculator'!$E$11-CM357)&gt;=0,0,IFERROR(-PPMT($CR$66/12,(CL357-60),($F$1-5)*12,$CR$65),0))</f>
        <v>0</v>
      </c>
      <c r="CO357" s="497">
        <f>IF(('Comparison Calculator'!$E$11-CM357)&gt;=0,$C$1*$CI$66/12,IFERROR(-IPMT($CI$66/12,(CL357-60),($F$1-5)*12,$CI$65,0),0))</f>
        <v>0</v>
      </c>
      <c r="CP357" s="497">
        <f t="shared" si="152"/>
        <v>0</v>
      </c>
      <c r="CQ357" s="497">
        <f t="shared" si="165"/>
        <v>1800000</v>
      </c>
      <c r="CR357" s="493"/>
      <c r="CS357" s="493"/>
      <c r="CU357" s="492">
        <v>353</v>
      </c>
      <c r="CV357" s="492">
        <v>30</v>
      </c>
      <c r="CW357" s="497">
        <f>IF(('Comparison Calculator'!$E$11-CV357)&gt;=0,0,IFERROR(-PPMT($DA$66/12,(CU357-60),($F$1-5)*12,$DA$65),0))</f>
        <v>0</v>
      </c>
      <c r="CX357" s="497">
        <f>IF(('Comparison Calculator'!$E$11-CV357)&gt;=0,$C$1*$DA$66/12,IFERROR(-IPMT($DA$66/12,(CU357-60),($F$1-5)*12,$DA$65,0),0))</f>
        <v>0</v>
      </c>
      <c r="CY357" s="497">
        <f t="shared" si="153"/>
        <v>0</v>
      </c>
      <c r="CZ357" s="497">
        <f t="shared" si="166"/>
        <v>1800000</v>
      </c>
      <c r="DA357" s="493"/>
      <c r="DB357" s="493"/>
      <c r="DD357" s="492">
        <v>353</v>
      </c>
      <c r="DE357" s="492">
        <v>30</v>
      </c>
      <c r="DF357" s="497">
        <f>IF(('Comparison Calculator'!$E$11-DE357)&gt;=0,0,IFERROR(-PPMT($DJ$66/12,(DD357-60),($F$1-5)*12,$DJ$65),0))</f>
        <v>0</v>
      </c>
      <c r="DG357" s="497">
        <f>IF(('Comparison Calculator'!$E$11-DE357)&gt;=0,$C$1*$DJ$66/12,IFERROR(-IPMT($DJ$66/12,(DD357-60),($F$1-5)*12,$DJ$65,0),0))</f>
        <v>0</v>
      </c>
      <c r="DH357" s="497">
        <f t="shared" si="154"/>
        <v>0</v>
      </c>
      <c r="DI357" s="497">
        <f t="shared" si="167"/>
        <v>1800000</v>
      </c>
      <c r="DJ357" s="493"/>
      <c r="DK357" s="493"/>
    </row>
    <row r="358" spans="1:115">
      <c r="A358" s="492">
        <v>354</v>
      </c>
      <c r="B358" s="492">
        <v>30</v>
      </c>
      <c r="C358" s="497">
        <f>IF(('Comparison Calculator'!$E$11-B358)&gt;=0,0,IFERROR(-PPMT($G$66/12,(A358-60),($F$1-5)*12,$G$65),0))</f>
        <v>0</v>
      </c>
      <c r="D358" s="497">
        <f>IF(('Comparison Calculator'!$E$11-B358)&gt;=0,$C$1*$G$66/12,IFERROR(-IPMT($G$66/12,(A358-60),($F$1-5)*12,$G$65,0),0))</f>
        <v>0</v>
      </c>
      <c r="E358" s="497">
        <f t="shared" si="142"/>
        <v>0</v>
      </c>
      <c r="F358" s="497">
        <f t="shared" si="155"/>
        <v>1800000</v>
      </c>
      <c r="G358" s="493"/>
      <c r="H358" s="493"/>
      <c r="I358" s="489"/>
      <c r="J358" s="492">
        <v>354</v>
      </c>
      <c r="K358" s="492">
        <v>30</v>
      </c>
      <c r="L358" s="497">
        <f>IF(('Comparison Calculator'!$E$11-K358)&gt;=0,0,IFERROR(-PPMT($P$66/12,(J358-60),($F$1-5)*12,$P$65),0))</f>
        <v>0</v>
      </c>
      <c r="M358" s="497">
        <f>IF(('Comparison Calculator'!$E$11-K358)&gt;=0,$C$1*$P$66/12,IFERROR(-IPMT($P$66/12,(J358-60),($F$1-5)*12,$P$65,0),0))</f>
        <v>0</v>
      </c>
      <c r="N358" s="497">
        <f t="shared" si="143"/>
        <v>0</v>
      </c>
      <c r="O358" s="497">
        <f t="shared" si="156"/>
        <v>1800000</v>
      </c>
      <c r="P358" s="493"/>
      <c r="Q358" s="493"/>
      <c r="S358" s="492">
        <v>354</v>
      </c>
      <c r="T358" s="492">
        <v>30</v>
      </c>
      <c r="U358" s="497">
        <f>IF(('Comparison Calculator'!$E$11-T358)&gt;=0,0,IFERROR(-PPMT($Y$66/12,(S358-60),($F$1-5)*12,$Y$65),0))</f>
        <v>0</v>
      </c>
      <c r="V358" s="497">
        <f>IF(('Comparison Calculator'!$E$11-T358)&gt;=0,$C$1*$Y$66/12,IFERROR(-IPMT($Y$66/12,(S358-60),($F$1-5)*12,$Y$65,0),0))</f>
        <v>0</v>
      </c>
      <c r="W358" s="497">
        <f t="shared" si="144"/>
        <v>0</v>
      </c>
      <c r="X358" s="497">
        <f t="shared" si="157"/>
        <v>1800000</v>
      </c>
      <c r="Y358" s="493"/>
      <c r="Z358" s="493"/>
      <c r="AB358" s="492">
        <v>354</v>
      </c>
      <c r="AC358" s="492">
        <v>30</v>
      </c>
      <c r="AD358" s="497">
        <f>IF(('Comparison Calculator'!$E$11-AC358)&gt;=0,0,IFERROR(-PPMT($AH$66/12,(AB358-60),($F$1-5)*12,$AH$65),0))</f>
        <v>0</v>
      </c>
      <c r="AE358" s="497">
        <f>IF(('Comparison Calculator'!$E$11-AC358)&gt;=0,$C$1*$AH$66/12,IFERROR(-IPMT($AH$66/12,(AB358-60),($F$1-5)*12,$AH$65,0),0))</f>
        <v>0</v>
      </c>
      <c r="AF358" s="497">
        <f t="shared" si="145"/>
        <v>0</v>
      </c>
      <c r="AG358" s="497">
        <f t="shared" si="158"/>
        <v>1800000</v>
      </c>
      <c r="AH358" s="493"/>
      <c r="AI358" s="493"/>
      <c r="AK358" s="492">
        <v>354</v>
      </c>
      <c r="AL358" s="492">
        <v>30</v>
      </c>
      <c r="AM358" s="497">
        <f>IF(('Comparison Calculator'!$E$11-AL358)&gt;=0,0,IFERROR(-PPMT($AQ$66/12,(AK358-60),($F$1-5)*12,$AQ$65),0))</f>
        <v>0</v>
      </c>
      <c r="AN358" s="497">
        <f>IF(('Comparison Calculator'!$E$11-AL358)&gt;=0,$C$1*$AQ$66/12,IFERROR(-IPMT($AQ$66/12,(AK358-60),($F$1-5)*12,$AQ$65,0),0))</f>
        <v>0</v>
      </c>
      <c r="AO358" s="497">
        <f t="shared" si="146"/>
        <v>0</v>
      </c>
      <c r="AP358" s="497">
        <f t="shared" si="159"/>
        <v>1800000</v>
      </c>
      <c r="AQ358" s="493"/>
      <c r="AR358" s="493"/>
      <c r="AT358" s="492">
        <v>354</v>
      </c>
      <c r="AU358" s="492">
        <v>30</v>
      </c>
      <c r="AV358" s="497">
        <f>IF(('Comparison Calculator'!$E$11-AU358)&gt;=0,0,IFERROR(-PPMT($AZ$66/12,(AT358-60),($F$1-5)*12,$AZ$65),0))</f>
        <v>0</v>
      </c>
      <c r="AW358" s="497">
        <f>IF(('Comparison Calculator'!$E$11-AU358)&gt;=0,$C$1*$AZ$66/12,IFERROR(-IPMT($AZ$66/12,(AT358-60),($F$1-5)*12,$AZ$65,0),0))</f>
        <v>0</v>
      </c>
      <c r="AX358" s="497">
        <f t="shared" si="147"/>
        <v>0</v>
      </c>
      <c r="AY358" s="497">
        <f t="shared" si="160"/>
        <v>1800000</v>
      </c>
      <c r="AZ358" s="493"/>
      <c r="BA358" s="493"/>
      <c r="BC358" s="492">
        <v>354</v>
      </c>
      <c r="BD358" s="492">
        <v>30</v>
      </c>
      <c r="BE358" s="497">
        <f>IF(('Comparison Calculator'!$E$11-BD358)&gt;=0,0,IFERROR(-PPMT($BI$66/12,(BC358-60),($F$1-5)*12,$BI$65),0))</f>
        <v>0</v>
      </c>
      <c r="BF358" s="497">
        <f>IF(('Comparison Calculator'!$E$11-BD358)&gt;=0,$C$1*$BI$66/12,IFERROR(-IPMT($BI$66/12,(BC358-60),($F$1-5)*12,$BI$65,0),0))</f>
        <v>0</v>
      </c>
      <c r="BG358" s="497">
        <f t="shared" si="148"/>
        <v>0</v>
      </c>
      <c r="BH358" s="497">
        <f t="shared" si="161"/>
        <v>1800000</v>
      </c>
      <c r="BI358" s="493"/>
      <c r="BJ358" s="493"/>
      <c r="BK358" s="492">
        <v>354</v>
      </c>
      <c r="BL358" s="492">
        <v>30</v>
      </c>
      <c r="BM358" s="497">
        <f>IF(('Comparison Calculator'!$E$11-BL358)&gt;=0,0,IFERROR(-PPMT($BQ$66/12,(BK358-60),($F$1-5)*12,$BQ$65),0))</f>
        <v>0</v>
      </c>
      <c r="BN358" s="497">
        <f>IF(('Comparison Calculator'!$E$11-BL358)&gt;=0,$C$1*$BQ$66/12,IFERROR(-IPMT($BQ$66/12,(BK358-60),($F$1-5)*12,$BQ$65,0),0))</f>
        <v>0</v>
      </c>
      <c r="BO358" s="497">
        <f t="shared" si="149"/>
        <v>0</v>
      </c>
      <c r="BP358" s="497">
        <f t="shared" si="162"/>
        <v>1800000</v>
      </c>
      <c r="BQ358" s="493"/>
      <c r="BR358" s="493"/>
      <c r="BT358" s="492">
        <v>354</v>
      </c>
      <c r="BU358" s="492">
        <v>30</v>
      </c>
      <c r="BV358" s="497">
        <f>IF(('Comparison Calculator'!$E$11-BU358)&gt;=0,0,IFERROR(-PPMT($BZ$66/12,(BT358-60),($F$1-5)*12,$BZ$65),0))</f>
        <v>0</v>
      </c>
      <c r="BW358" s="497">
        <f>IF(('Comparison Calculator'!$E$11-BU358)&gt;=0,$C$1*$BZ$66/12,IFERROR(-IPMT($BZ$66/12,(BT358-60),($F$1-5)*12,$BZ$65,0),0))</f>
        <v>0</v>
      </c>
      <c r="BX358" s="497">
        <f t="shared" si="150"/>
        <v>0</v>
      </c>
      <c r="BY358" s="497">
        <f t="shared" si="163"/>
        <v>1800000</v>
      </c>
      <c r="BZ358" s="493"/>
      <c r="CA358" s="493"/>
      <c r="CC358" s="492">
        <v>354</v>
      </c>
      <c r="CD358" s="492">
        <v>30</v>
      </c>
      <c r="CE358" s="497">
        <f>IF(('Comparison Calculator'!$E$11-CD358)&gt;=0,0,IFERROR(-PPMT($CI$66/12,(CC358-60),($F$1-5)*12,$CI$65),0))</f>
        <v>0</v>
      </c>
      <c r="CF358" s="497">
        <f>IF(('Comparison Calculator'!$E$11-CD358)&gt;=0,$C$1*$CI$66/12,IFERROR(-IPMT($CI$66/12,(CC358-60),($F$1-5)*12,$CI$65,0),0))</f>
        <v>0</v>
      </c>
      <c r="CG358" s="497">
        <f t="shared" si="151"/>
        <v>0</v>
      </c>
      <c r="CH358" s="497">
        <f t="shared" si="164"/>
        <v>1800000</v>
      </c>
      <c r="CI358" s="493"/>
      <c r="CJ358" s="493"/>
      <c r="CL358" s="492">
        <v>354</v>
      </c>
      <c r="CM358" s="492">
        <v>30</v>
      </c>
      <c r="CN358" s="497">
        <f>IF(('Comparison Calculator'!$E$11-CM358)&gt;=0,0,IFERROR(-PPMT($CR$66/12,(CL358-60),($F$1-5)*12,$CR$65),0))</f>
        <v>0</v>
      </c>
      <c r="CO358" s="497">
        <f>IF(('Comparison Calculator'!$E$11-CM358)&gt;=0,$C$1*$CI$66/12,IFERROR(-IPMT($CI$66/12,(CL358-60),($F$1-5)*12,$CI$65,0),0))</f>
        <v>0</v>
      </c>
      <c r="CP358" s="497">
        <f t="shared" si="152"/>
        <v>0</v>
      </c>
      <c r="CQ358" s="497">
        <f t="shared" si="165"/>
        <v>1800000</v>
      </c>
      <c r="CR358" s="493"/>
      <c r="CS358" s="493"/>
      <c r="CU358" s="492">
        <v>354</v>
      </c>
      <c r="CV358" s="492">
        <v>30</v>
      </c>
      <c r="CW358" s="497">
        <f>IF(('Comparison Calculator'!$E$11-CV358)&gt;=0,0,IFERROR(-PPMT($DA$66/12,(CU358-60),($F$1-5)*12,$DA$65),0))</f>
        <v>0</v>
      </c>
      <c r="CX358" s="497">
        <f>IF(('Comparison Calculator'!$E$11-CV358)&gt;=0,$C$1*$DA$66/12,IFERROR(-IPMT($DA$66/12,(CU358-60),($F$1-5)*12,$DA$65,0),0))</f>
        <v>0</v>
      </c>
      <c r="CY358" s="497">
        <f t="shared" si="153"/>
        <v>0</v>
      </c>
      <c r="CZ358" s="497">
        <f t="shared" si="166"/>
        <v>1800000</v>
      </c>
      <c r="DA358" s="493"/>
      <c r="DB358" s="493"/>
      <c r="DD358" s="492">
        <v>354</v>
      </c>
      <c r="DE358" s="492">
        <v>30</v>
      </c>
      <c r="DF358" s="497">
        <f>IF(('Comparison Calculator'!$E$11-DE358)&gt;=0,0,IFERROR(-PPMT($DJ$66/12,(DD358-60),($F$1-5)*12,$DJ$65),0))</f>
        <v>0</v>
      </c>
      <c r="DG358" s="497">
        <f>IF(('Comparison Calculator'!$E$11-DE358)&gt;=0,$C$1*$DJ$66/12,IFERROR(-IPMT($DJ$66/12,(DD358-60),($F$1-5)*12,$DJ$65,0),0))</f>
        <v>0</v>
      </c>
      <c r="DH358" s="497">
        <f t="shared" si="154"/>
        <v>0</v>
      </c>
      <c r="DI358" s="497">
        <f t="shared" si="167"/>
        <v>1800000</v>
      </c>
      <c r="DJ358" s="493"/>
      <c r="DK358" s="493"/>
    </row>
    <row r="359" spans="1:115">
      <c r="A359" s="492">
        <v>355</v>
      </c>
      <c r="B359" s="492">
        <v>30</v>
      </c>
      <c r="C359" s="497">
        <f>IF(('Comparison Calculator'!$E$11-B359)&gt;=0,0,IFERROR(-PPMT($G$66/12,(A359-60),($F$1-5)*12,$G$65),0))</f>
        <v>0</v>
      </c>
      <c r="D359" s="497">
        <f>IF(('Comparison Calculator'!$E$11-B359)&gt;=0,$C$1*$G$66/12,IFERROR(-IPMT($G$66/12,(A359-60),($F$1-5)*12,$G$65,0),0))</f>
        <v>0</v>
      </c>
      <c r="E359" s="497">
        <f t="shared" si="142"/>
        <v>0</v>
      </c>
      <c r="F359" s="497">
        <f t="shared" si="155"/>
        <v>1800000</v>
      </c>
      <c r="G359" s="493"/>
      <c r="H359" s="493"/>
      <c r="I359" s="489"/>
      <c r="J359" s="492">
        <v>355</v>
      </c>
      <c r="K359" s="492">
        <v>30</v>
      </c>
      <c r="L359" s="497">
        <f>IF(('Comparison Calculator'!$E$11-K359)&gt;=0,0,IFERROR(-PPMT($P$66/12,(J359-60),($F$1-5)*12,$P$65),0))</f>
        <v>0</v>
      </c>
      <c r="M359" s="497">
        <f>IF(('Comparison Calculator'!$E$11-K359)&gt;=0,$C$1*$P$66/12,IFERROR(-IPMT($P$66/12,(J359-60),($F$1-5)*12,$P$65,0),0))</f>
        <v>0</v>
      </c>
      <c r="N359" s="497">
        <f t="shared" si="143"/>
        <v>0</v>
      </c>
      <c r="O359" s="497">
        <f t="shared" si="156"/>
        <v>1800000</v>
      </c>
      <c r="P359" s="493"/>
      <c r="Q359" s="493"/>
      <c r="S359" s="492">
        <v>355</v>
      </c>
      <c r="T359" s="492">
        <v>30</v>
      </c>
      <c r="U359" s="497">
        <f>IF(('Comparison Calculator'!$E$11-T359)&gt;=0,0,IFERROR(-PPMT($Y$66/12,(S359-60),($F$1-5)*12,$Y$65),0))</f>
        <v>0</v>
      </c>
      <c r="V359" s="497">
        <f>IF(('Comparison Calculator'!$E$11-T359)&gt;=0,$C$1*$Y$66/12,IFERROR(-IPMT($Y$66/12,(S359-60),($F$1-5)*12,$Y$65,0),0))</f>
        <v>0</v>
      </c>
      <c r="W359" s="497">
        <f t="shared" si="144"/>
        <v>0</v>
      </c>
      <c r="X359" s="497">
        <f t="shared" si="157"/>
        <v>1800000</v>
      </c>
      <c r="Y359" s="493"/>
      <c r="Z359" s="493"/>
      <c r="AB359" s="492">
        <v>355</v>
      </c>
      <c r="AC359" s="492">
        <v>30</v>
      </c>
      <c r="AD359" s="497">
        <f>IF(('Comparison Calculator'!$E$11-AC359)&gt;=0,0,IFERROR(-PPMT($AH$66/12,(AB359-60),($F$1-5)*12,$AH$65),0))</f>
        <v>0</v>
      </c>
      <c r="AE359" s="497">
        <f>IF(('Comparison Calculator'!$E$11-AC359)&gt;=0,$C$1*$AH$66/12,IFERROR(-IPMT($AH$66/12,(AB359-60),($F$1-5)*12,$AH$65,0),0))</f>
        <v>0</v>
      </c>
      <c r="AF359" s="497">
        <f t="shared" si="145"/>
        <v>0</v>
      </c>
      <c r="AG359" s="497">
        <f t="shared" si="158"/>
        <v>1800000</v>
      </c>
      <c r="AH359" s="493"/>
      <c r="AI359" s="493"/>
      <c r="AK359" s="492">
        <v>355</v>
      </c>
      <c r="AL359" s="492">
        <v>30</v>
      </c>
      <c r="AM359" s="497">
        <f>IF(('Comparison Calculator'!$E$11-AL359)&gt;=0,0,IFERROR(-PPMT($AQ$66/12,(AK359-60),($F$1-5)*12,$AQ$65),0))</f>
        <v>0</v>
      </c>
      <c r="AN359" s="497">
        <f>IF(('Comparison Calculator'!$E$11-AL359)&gt;=0,$C$1*$AQ$66/12,IFERROR(-IPMT($AQ$66/12,(AK359-60),($F$1-5)*12,$AQ$65,0),0))</f>
        <v>0</v>
      </c>
      <c r="AO359" s="497">
        <f t="shared" si="146"/>
        <v>0</v>
      </c>
      <c r="AP359" s="497">
        <f t="shared" si="159"/>
        <v>1800000</v>
      </c>
      <c r="AQ359" s="493"/>
      <c r="AR359" s="493"/>
      <c r="AT359" s="492">
        <v>355</v>
      </c>
      <c r="AU359" s="492">
        <v>30</v>
      </c>
      <c r="AV359" s="497">
        <f>IF(('Comparison Calculator'!$E$11-AU359)&gt;=0,0,IFERROR(-PPMT($AZ$66/12,(AT359-60),($F$1-5)*12,$AZ$65),0))</f>
        <v>0</v>
      </c>
      <c r="AW359" s="497">
        <f>IF(('Comparison Calculator'!$E$11-AU359)&gt;=0,$C$1*$AZ$66/12,IFERROR(-IPMT($AZ$66/12,(AT359-60),($F$1-5)*12,$AZ$65,0),0))</f>
        <v>0</v>
      </c>
      <c r="AX359" s="497">
        <f t="shared" si="147"/>
        <v>0</v>
      </c>
      <c r="AY359" s="497">
        <f t="shared" si="160"/>
        <v>1800000</v>
      </c>
      <c r="AZ359" s="493"/>
      <c r="BA359" s="493"/>
      <c r="BC359" s="492">
        <v>355</v>
      </c>
      <c r="BD359" s="492">
        <v>30</v>
      </c>
      <c r="BE359" s="497">
        <f>IF(('Comparison Calculator'!$E$11-BD359)&gt;=0,0,IFERROR(-PPMT($BI$66/12,(BC359-60),($F$1-5)*12,$BI$65),0))</f>
        <v>0</v>
      </c>
      <c r="BF359" s="497">
        <f>IF(('Comparison Calculator'!$E$11-BD359)&gt;=0,$C$1*$BI$66/12,IFERROR(-IPMT($BI$66/12,(BC359-60),($F$1-5)*12,$BI$65,0),0))</f>
        <v>0</v>
      </c>
      <c r="BG359" s="497">
        <f t="shared" si="148"/>
        <v>0</v>
      </c>
      <c r="BH359" s="497">
        <f t="shared" si="161"/>
        <v>1800000</v>
      </c>
      <c r="BI359" s="493"/>
      <c r="BJ359" s="493"/>
      <c r="BK359" s="492">
        <v>355</v>
      </c>
      <c r="BL359" s="492">
        <v>30</v>
      </c>
      <c r="BM359" s="497">
        <f>IF(('Comparison Calculator'!$E$11-BL359)&gt;=0,0,IFERROR(-PPMT($BQ$66/12,(BK359-60),($F$1-5)*12,$BQ$65),0))</f>
        <v>0</v>
      </c>
      <c r="BN359" s="497">
        <f>IF(('Comparison Calculator'!$E$11-BL359)&gt;=0,$C$1*$BQ$66/12,IFERROR(-IPMT($BQ$66/12,(BK359-60),($F$1-5)*12,$BQ$65,0),0))</f>
        <v>0</v>
      </c>
      <c r="BO359" s="497">
        <f t="shared" si="149"/>
        <v>0</v>
      </c>
      <c r="BP359" s="497">
        <f t="shared" si="162"/>
        <v>1800000</v>
      </c>
      <c r="BQ359" s="493"/>
      <c r="BR359" s="493"/>
      <c r="BT359" s="492">
        <v>355</v>
      </c>
      <c r="BU359" s="492">
        <v>30</v>
      </c>
      <c r="BV359" s="497">
        <f>IF(('Comparison Calculator'!$E$11-BU359)&gt;=0,0,IFERROR(-PPMT($BZ$66/12,(BT359-60),($F$1-5)*12,$BZ$65),0))</f>
        <v>0</v>
      </c>
      <c r="BW359" s="497">
        <f>IF(('Comparison Calculator'!$E$11-BU359)&gt;=0,$C$1*$BZ$66/12,IFERROR(-IPMT($BZ$66/12,(BT359-60),($F$1-5)*12,$BZ$65,0),0))</f>
        <v>0</v>
      </c>
      <c r="BX359" s="497">
        <f t="shared" si="150"/>
        <v>0</v>
      </c>
      <c r="BY359" s="497">
        <f t="shared" si="163"/>
        <v>1800000</v>
      </c>
      <c r="BZ359" s="493"/>
      <c r="CA359" s="493"/>
      <c r="CC359" s="492">
        <v>355</v>
      </c>
      <c r="CD359" s="492">
        <v>30</v>
      </c>
      <c r="CE359" s="497">
        <f>IF(('Comparison Calculator'!$E$11-CD359)&gt;=0,0,IFERROR(-PPMT($CI$66/12,(CC359-60),($F$1-5)*12,$CI$65),0))</f>
        <v>0</v>
      </c>
      <c r="CF359" s="497">
        <f>IF(('Comparison Calculator'!$E$11-CD359)&gt;=0,$C$1*$CI$66/12,IFERROR(-IPMT($CI$66/12,(CC359-60),($F$1-5)*12,$CI$65,0),0))</f>
        <v>0</v>
      </c>
      <c r="CG359" s="497">
        <f t="shared" si="151"/>
        <v>0</v>
      </c>
      <c r="CH359" s="497">
        <f t="shared" si="164"/>
        <v>1800000</v>
      </c>
      <c r="CI359" s="493"/>
      <c r="CJ359" s="493"/>
      <c r="CL359" s="492">
        <v>355</v>
      </c>
      <c r="CM359" s="492">
        <v>30</v>
      </c>
      <c r="CN359" s="497">
        <f>IF(('Comparison Calculator'!$E$11-CM359)&gt;=0,0,IFERROR(-PPMT($CR$66/12,(CL359-60),($F$1-5)*12,$CR$65),0))</f>
        <v>0</v>
      </c>
      <c r="CO359" s="497">
        <f>IF(('Comparison Calculator'!$E$11-CM359)&gt;=0,$C$1*$CI$66/12,IFERROR(-IPMT($CI$66/12,(CL359-60),($F$1-5)*12,$CI$65,0),0))</f>
        <v>0</v>
      </c>
      <c r="CP359" s="497">
        <f t="shared" si="152"/>
        <v>0</v>
      </c>
      <c r="CQ359" s="497">
        <f t="shared" si="165"/>
        <v>1800000</v>
      </c>
      <c r="CR359" s="493"/>
      <c r="CS359" s="493"/>
      <c r="CU359" s="492">
        <v>355</v>
      </c>
      <c r="CV359" s="492">
        <v>30</v>
      </c>
      <c r="CW359" s="497">
        <f>IF(('Comparison Calculator'!$E$11-CV359)&gt;=0,0,IFERROR(-PPMT($DA$66/12,(CU359-60),($F$1-5)*12,$DA$65),0))</f>
        <v>0</v>
      </c>
      <c r="CX359" s="497">
        <f>IF(('Comparison Calculator'!$E$11-CV359)&gt;=0,$C$1*$DA$66/12,IFERROR(-IPMT($DA$66/12,(CU359-60),($F$1-5)*12,$DA$65,0),0))</f>
        <v>0</v>
      </c>
      <c r="CY359" s="497">
        <f t="shared" si="153"/>
        <v>0</v>
      </c>
      <c r="CZ359" s="497">
        <f t="shared" si="166"/>
        <v>1800000</v>
      </c>
      <c r="DA359" s="493"/>
      <c r="DB359" s="493"/>
      <c r="DD359" s="492">
        <v>355</v>
      </c>
      <c r="DE359" s="492">
        <v>30</v>
      </c>
      <c r="DF359" s="497">
        <f>IF(('Comparison Calculator'!$E$11-DE359)&gt;=0,0,IFERROR(-PPMT($DJ$66/12,(DD359-60),($F$1-5)*12,$DJ$65),0))</f>
        <v>0</v>
      </c>
      <c r="DG359" s="497">
        <f>IF(('Comparison Calculator'!$E$11-DE359)&gt;=0,$C$1*$DJ$66/12,IFERROR(-IPMT($DJ$66/12,(DD359-60),($F$1-5)*12,$DJ$65,0),0))</f>
        <v>0</v>
      </c>
      <c r="DH359" s="497">
        <f t="shared" si="154"/>
        <v>0</v>
      </c>
      <c r="DI359" s="497">
        <f t="shared" si="167"/>
        <v>1800000</v>
      </c>
      <c r="DJ359" s="493"/>
      <c r="DK359" s="493"/>
    </row>
    <row r="360" spans="1:115">
      <c r="A360" s="492">
        <v>356</v>
      </c>
      <c r="B360" s="492">
        <v>30</v>
      </c>
      <c r="C360" s="497">
        <f>IF(('Comparison Calculator'!$E$11-B360)&gt;=0,0,IFERROR(-PPMT($G$66/12,(A360-60),($F$1-5)*12,$G$65),0))</f>
        <v>0</v>
      </c>
      <c r="D360" s="497">
        <f>IF(('Comparison Calculator'!$E$11-B360)&gt;=0,$C$1*$G$66/12,IFERROR(-IPMT($G$66/12,(A360-60),($F$1-5)*12,$G$65,0),0))</f>
        <v>0</v>
      </c>
      <c r="E360" s="497">
        <f t="shared" si="142"/>
        <v>0</v>
      </c>
      <c r="F360" s="497">
        <f t="shared" si="155"/>
        <v>1800000</v>
      </c>
      <c r="G360" s="493"/>
      <c r="H360" s="493"/>
      <c r="I360" s="489"/>
      <c r="J360" s="492">
        <v>356</v>
      </c>
      <c r="K360" s="492">
        <v>30</v>
      </c>
      <c r="L360" s="497">
        <f>IF(('Comparison Calculator'!$E$11-K360)&gt;=0,0,IFERROR(-PPMT($P$66/12,(J360-60),($F$1-5)*12,$P$65),0))</f>
        <v>0</v>
      </c>
      <c r="M360" s="497">
        <f>IF(('Comparison Calculator'!$E$11-K360)&gt;=0,$C$1*$P$66/12,IFERROR(-IPMT($P$66/12,(J360-60),($F$1-5)*12,$P$65,0),0))</f>
        <v>0</v>
      </c>
      <c r="N360" s="497">
        <f t="shared" si="143"/>
        <v>0</v>
      </c>
      <c r="O360" s="497">
        <f t="shared" si="156"/>
        <v>1800000</v>
      </c>
      <c r="P360" s="493"/>
      <c r="Q360" s="493"/>
      <c r="S360" s="492">
        <v>356</v>
      </c>
      <c r="T360" s="492">
        <v>30</v>
      </c>
      <c r="U360" s="497">
        <f>IF(('Comparison Calculator'!$E$11-T360)&gt;=0,0,IFERROR(-PPMT($Y$66/12,(S360-60),($F$1-5)*12,$Y$65),0))</f>
        <v>0</v>
      </c>
      <c r="V360" s="497">
        <f>IF(('Comparison Calculator'!$E$11-T360)&gt;=0,$C$1*$Y$66/12,IFERROR(-IPMT($Y$66/12,(S360-60),($F$1-5)*12,$Y$65,0),0))</f>
        <v>0</v>
      </c>
      <c r="W360" s="497">
        <f t="shared" si="144"/>
        <v>0</v>
      </c>
      <c r="X360" s="497">
        <f t="shared" si="157"/>
        <v>1800000</v>
      </c>
      <c r="Y360" s="493"/>
      <c r="Z360" s="493"/>
      <c r="AB360" s="492">
        <v>356</v>
      </c>
      <c r="AC360" s="492">
        <v>30</v>
      </c>
      <c r="AD360" s="497">
        <f>IF(('Comparison Calculator'!$E$11-AC360)&gt;=0,0,IFERROR(-PPMT($AH$66/12,(AB360-60),($F$1-5)*12,$AH$65),0))</f>
        <v>0</v>
      </c>
      <c r="AE360" s="497">
        <f>IF(('Comparison Calculator'!$E$11-AC360)&gt;=0,$C$1*$AH$66/12,IFERROR(-IPMT($AH$66/12,(AB360-60),($F$1-5)*12,$AH$65,0),0))</f>
        <v>0</v>
      </c>
      <c r="AF360" s="497">
        <f t="shared" si="145"/>
        <v>0</v>
      </c>
      <c r="AG360" s="497">
        <f t="shared" si="158"/>
        <v>1800000</v>
      </c>
      <c r="AH360" s="493"/>
      <c r="AI360" s="493"/>
      <c r="AK360" s="492">
        <v>356</v>
      </c>
      <c r="AL360" s="492">
        <v>30</v>
      </c>
      <c r="AM360" s="497">
        <f>IF(('Comparison Calculator'!$E$11-AL360)&gt;=0,0,IFERROR(-PPMT($AQ$66/12,(AK360-60),($F$1-5)*12,$AQ$65),0))</f>
        <v>0</v>
      </c>
      <c r="AN360" s="497">
        <f>IF(('Comparison Calculator'!$E$11-AL360)&gt;=0,$C$1*$AQ$66/12,IFERROR(-IPMT($AQ$66/12,(AK360-60),($F$1-5)*12,$AQ$65,0),0))</f>
        <v>0</v>
      </c>
      <c r="AO360" s="497">
        <f t="shared" si="146"/>
        <v>0</v>
      </c>
      <c r="AP360" s="497">
        <f t="shared" si="159"/>
        <v>1800000</v>
      </c>
      <c r="AQ360" s="493"/>
      <c r="AR360" s="493"/>
      <c r="AT360" s="492">
        <v>356</v>
      </c>
      <c r="AU360" s="492">
        <v>30</v>
      </c>
      <c r="AV360" s="497">
        <f>IF(('Comparison Calculator'!$E$11-AU360)&gt;=0,0,IFERROR(-PPMT($AZ$66/12,(AT360-60),($F$1-5)*12,$AZ$65),0))</f>
        <v>0</v>
      </c>
      <c r="AW360" s="497">
        <f>IF(('Comparison Calculator'!$E$11-AU360)&gt;=0,$C$1*$AZ$66/12,IFERROR(-IPMT($AZ$66/12,(AT360-60),($F$1-5)*12,$AZ$65,0),0))</f>
        <v>0</v>
      </c>
      <c r="AX360" s="497">
        <f t="shared" si="147"/>
        <v>0</v>
      </c>
      <c r="AY360" s="497">
        <f t="shared" si="160"/>
        <v>1800000</v>
      </c>
      <c r="AZ360" s="493"/>
      <c r="BA360" s="493"/>
      <c r="BC360" s="492">
        <v>356</v>
      </c>
      <c r="BD360" s="492">
        <v>30</v>
      </c>
      <c r="BE360" s="497">
        <f>IF(('Comparison Calculator'!$E$11-BD360)&gt;=0,0,IFERROR(-PPMT($BI$66/12,(BC360-60),($F$1-5)*12,$BI$65),0))</f>
        <v>0</v>
      </c>
      <c r="BF360" s="497">
        <f>IF(('Comparison Calculator'!$E$11-BD360)&gt;=0,$C$1*$BI$66/12,IFERROR(-IPMT($BI$66/12,(BC360-60),($F$1-5)*12,$BI$65,0),0))</f>
        <v>0</v>
      </c>
      <c r="BG360" s="497">
        <f t="shared" si="148"/>
        <v>0</v>
      </c>
      <c r="BH360" s="497">
        <f t="shared" si="161"/>
        <v>1800000</v>
      </c>
      <c r="BI360" s="493"/>
      <c r="BJ360" s="493"/>
      <c r="BK360" s="492">
        <v>356</v>
      </c>
      <c r="BL360" s="492">
        <v>30</v>
      </c>
      <c r="BM360" s="497">
        <f>IF(('Comparison Calculator'!$E$11-BL360)&gt;=0,0,IFERROR(-PPMT($BQ$66/12,(BK360-60),($F$1-5)*12,$BQ$65),0))</f>
        <v>0</v>
      </c>
      <c r="BN360" s="497">
        <f>IF(('Comparison Calculator'!$E$11-BL360)&gt;=0,$C$1*$BQ$66/12,IFERROR(-IPMT($BQ$66/12,(BK360-60),($F$1-5)*12,$BQ$65,0),0))</f>
        <v>0</v>
      </c>
      <c r="BO360" s="497">
        <f t="shared" si="149"/>
        <v>0</v>
      </c>
      <c r="BP360" s="497">
        <f t="shared" si="162"/>
        <v>1800000</v>
      </c>
      <c r="BQ360" s="493"/>
      <c r="BR360" s="493"/>
      <c r="BT360" s="492">
        <v>356</v>
      </c>
      <c r="BU360" s="492">
        <v>30</v>
      </c>
      <c r="BV360" s="497">
        <f>IF(('Comparison Calculator'!$E$11-BU360)&gt;=0,0,IFERROR(-PPMT($BZ$66/12,(BT360-60),($F$1-5)*12,$BZ$65),0))</f>
        <v>0</v>
      </c>
      <c r="BW360" s="497">
        <f>IF(('Comparison Calculator'!$E$11-BU360)&gt;=0,$C$1*$BZ$66/12,IFERROR(-IPMT($BZ$66/12,(BT360-60),($F$1-5)*12,$BZ$65,0),0))</f>
        <v>0</v>
      </c>
      <c r="BX360" s="497">
        <f t="shared" si="150"/>
        <v>0</v>
      </c>
      <c r="BY360" s="497">
        <f t="shared" si="163"/>
        <v>1800000</v>
      </c>
      <c r="BZ360" s="493"/>
      <c r="CA360" s="493"/>
      <c r="CC360" s="492">
        <v>356</v>
      </c>
      <c r="CD360" s="492">
        <v>30</v>
      </c>
      <c r="CE360" s="497">
        <f>IF(('Comparison Calculator'!$E$11-CD360)&gt;=0,0,IFERROR(-PPMT($CI$66/12,(CC360-60),($F$1-5)*12,$CI$65),0))</f>
        <v>0</v>
      </c>
      <c r="CF360" s="497">
        <f>IF(('Comparison Calculator'!$E$11-CD360)&gt;=0,$C$1*$CI$66/12,IFERROR(-IPMT($CI$66/12,(CC360-60),($F$1-5)*12,$CI$65,0),0))</f>
        <v>0</v>
      </c>
      <c r="CG360" s="497">
        <f t="shared" si="151"/>
        <v>0</v>
      </c>
      <c r="CH360" s="497">
        <f t="shared" si="164"/>
        <v>1800000</v>
      </c>
      <c r="CI360" s="493"/>
      <c r="CJ360" s="493"/>
      <c r="CL360" s="492">
        <v>356</v>
      </c>
      <c r="CM360" s="492">
        <v>30</v>
      </c>
      <c r="CN360" s="497">
        <f>IF(('Comparison Calculator'!$E$11-CM360)&gt;=0,0,IFERROR(-PPMT($CR$66/12,(CL360-60),($F$1-5)*12,$CR$65),0))</f>
        <v>0</v>
      </c>
      <c r="CO360" s="497">
        <f>IF(('Comparison Calculator'!$E$11-CM360)&gt;=0,$C$1*$CI$66/12,IFERROR(-IPMT($CI$66/12,(CL360-60),($F$1-5)*12,$CI$65,0),0))</f>
        <v>0</v>
      </c>
      <c r="CP360" s="497">
        <f t="shared" si="152"/>
        <v>0</v>
      </c>
      <c r="CQ360" s="497">
        <f t="shared" si="165"/>
        <v>1800000</v>
      </c>
      <c r="CR360" s="493"/>
      <c r="CS360" s="493"/>
      <c r="CU360" s="492">
        <v>356</v>
      </c>
      <c r="CV360" s="492">
        <v>30</v>
      </c>
      <c r="CW360" s="497">
        <f>IF(('Comparison Calculator'!$E$11-CV360)&gt;=0,0,IFERROR(-PPMT($DA$66/12,(CU360-60),($F$1-5)*12,$DA$65),0))</f>
        <v>0</v>
      </c>
      <c r="CX360" s="497">
        <f>IF(('Comparison Calculator'!$E$11-CV360)&gt;=0,$C$1*$DA$66/12,IFERROR(-IPMT($DA$66/12,(CU360-60),($F$1-5)*12,$DA$65,0),0))</f>
        <v>0</v>
      </c>
      <c r="CY360" s="497">
        <f t="shared" si="153"/>
        <v>0</v>
      </c>
      <c r="CZ360" s="497">
        <f t="shared" si="166"/>
        <v>1800000</v>
      </c>
      <c r="DA360" s="493"/>
      <c r="DB360" s="493"/>
      <c r="DD360" s="492">
        <v>356</v>
      </c>
      <c r="DE360" s="492">
        <v>30</v>
      </c>
      <c r="DF360" s="497">
        <f>IF(('Comparison Calculator'!$E$11-DE360)&gt;=0,0,IFERROR(-PPMT($DJ$66/12,(DD360-60),($F$1-5)*12,$DJ$65),0))</f>
        <v>0</v>
      </c>
      <c r="DG360" s="497">
        <f>IF(('Comparison Calculator'!$E$11-DE360)&gt;=0,$C$1*$DJ$66/12,IFERROR(-IPMT($DJ$66/12,(DD360-60),($F$1-5)*12,$DJ$65,0),0))</f>
        <v>0</v>
      </c>
      <c r="DH360" s="497">
        <f t="shared" si="154"/>
        <v>0</v>
      </c>
      <c r="DI360" s="497">
        <f t="shared" si="167"/>
        <v>1800000</v>
      </c>
      <c r="DJ360" s="493"/>
      <c r="DK360" s="493"/>
    </row>
    <row r="361" spans="1:115">
      <c r="A361" s="492">
        <v>357</v>
      </c>
      <c r="B361" s="492">
        <v>30</v>
      </c>
      <c r="C361" s="497">
        <f>IF(('Comparison Calculator'!$E$11-B361)&gt;=0,0,IFERROR(-PPMT($G$66/12,(A361-60),($F$1-5)*12,$G$65),0))</f>
        <v>0</v>
      </c>
      <c r="D361" s="497">
        <f>IF(('Comparison Calculator'!$E$11-B361)&gt;=0,$C$1*$G$66/12,IFERROR(-IPMT($G$66/12,(A361-60),($F$1-5)*12,$G$65,0),0))</f>
        <v>0</v>
      </c>
      <c r="E361" s="497">
        <f t="shared" si="142"/>
        <v>0</v>
      </c>
      <c r="F361" s="497">
        <f t="shared" si="155"/>
        <v>1800000</v>
      </c>
      <c r="G361" s="493"/>
      <c r="H361" s="493"/>
      <c r="I361" s="489"/>
      <c r="J361" s="492">
        <v>357</v>
      </c>
      <c r="K361" s="492">
        <v>30</v>
      </c>
      <c r="L361" s="497">
        <f>IF(('Comparison Calculator'!$E$11-K361)&gt;=0,0,IFERROR(-PPMT($P$66/12,(J361-60),($F$1-5)*12,$P$65),0))</f>
        <v>0</v>
      </c>
      <c r="M361" s="497">
        <f>IF(('Comparison Calculator'!$E$11-K361)&gt;=0,$C$1*$P$66/12,IFERROR(-IPMT($P$66/12,(J361-60),($F$1-5)*12,$P$65,0),0))</f>
        <v>0</v>
      </c>
      <c r="N361" s="497">
        <f t="shared" si="143"/>
        <v>0</v>
      </c>
      <c r="O361" s="497">
        <f t="shared" si="156"/>
        <v>1800000</v>
      </c>
      <c r="P361" s="493"/>
      <c r="Q361" s="493"/>
      <c r="S361" s="492">
        <v>357</v>
      </c>
      <c r="T361" s="492">
        <v>30</v>
      </c>
      <c r="U361" s="497">
        <f>IF(('Comparison Calculator'!$E$11-T361)&gt;=0,0,IFERROR(-PPMT($Y$66/12,(S361-60),($F$1-5)*12,$Y$65),0))</f>
        <v>0</v>
      </c>
      <c r="V361" s="497">
        <f>IF(('Comparison Calculator'!$E$11-T361)&gt;=0,$C$1*$Y$66/12,IFERROR(-IPMT($Y$66/12,(S361-60),($F$1-5)*12,$Y$65,0),0))</f>
        <v>0</v>
      </c>
      <c r="W361" s="497">
        <f t="shared" si="144"/>
        <v>0</v>
      </c>
      <c r="X361" s="497">
        <f t="shared" si="157"/>
        <v>1800000</v>
      </c>
      <c r="Y361" s="493"/>
      <c r="Z361" s="493"/>
      <c r="AB361" s="492">
        <v>357</v>
      </c>
      <c r="AC361" s="492">
        <v>30</v>
      </c>
      <c r="AD361" s="497">
        <f>IF(('Comparison Calculator'!$E$11-AC361)&gt;=0,0,IFERROR(-PPMT($AH$66/12,(AB361-60),($F$1-5)*12,$AH$65),0))</f>
        <v>0</v>
      </c>
      <c r="AE361" s="497">
        <f>IF(('Comparison Calculator'!$E$11-AC361)&gt;=0,$C$1*$AH$66/12,IFERROR(-IPMT($AH$66/12,(AB361-60),($F$1-5)*12,$AH$65,0),0))</f>
        <v>0</v>
      </c>
      <c r="AF361" s="497">
        <f t="shared" si="145"/>
        <v>0</v>
      </c>
      <c r="AG361" s="497">
        <f t="shared" si="158"/>
        <v>1800000</v>
      </c>
      <c r="AH361" s="493"/>
      <c r="AI361" s="493"/>
      <c r="AK361" s="492">
        <v>357</v>
      </c>
      <c r="AL361" s="492">
        <v>30</v>
      </c>
      <c r="AM361" s="497">
        <f>IF(('Comparison Calculator'!$E$11-AL361)&gt;=0,0,IFERROR(-PPMT($AQ$66/12,(AK361-60),($F$1-5)*12,$AQ$65),0))</f>
        <v>0</v>
      </c>
      <c r="AN361" s="497">
        <f>IF(('Comparison Calculator'!$E$11-AL361)&gt;=0,$C$1*$AQ$66/12,IFERROR(-IPMT($AQ$66/12,(AK361-60),($F$1-5)*12,$AQ$65,0),0))</f>
        <v>0</v>
      </c>
      <c r="AO361" s="497">
        <f t="shared" si="146"/>
        <v>0</v>
      </c>
      <c r="AP361" s="497">
        <f t="shared" si="159"/>
        <v>1800000</v>
      </c>
      <c r="AQ361" s="493"/>
      <c r="AR361" s="493"/>
      <c r="AT361" s="492">
        <v>357</v>
      </c>
      <c r="AU361" s="492">
        <v>30</v>
      </c>
      <c r="AV361" s="497">
        <f>IF(('Comparison Calculator'!$E$11-AU361)&gt;=0,0,IFERROR(-PPMT($AZ$66/12,(AT361-60),($F$1-5)*12,$AZ$65),0))</f>
        <v>0</v>
      </c>
      <c r="AW361" s="497">
        <f>IF(('Comparison Calculator'!$E$11-AU361)&gt;=0,$C$1*$AZ$66/12,IFERROR(-IPMT($AZ$66/12,(AT361-60),($F$1-5)*12,$AZ$65,0),0))</f>
        <v>0</v>
      </c>
      <c r="AX361" s="497">
        <f t="shared" si="147"/>
        <v>0</v>
      </c>
      <c r="AY361" s="497">
        <f t="shared" si="160"/>
        <v>1800000</v>
      </c>
      <c r="AZ361" s="493"/>
      <c r="BA361" s="493"/>
      <c r="BC361" s="492">
        <v>357</v>
      </c>
      <c r="BD361" s="492">
        <v>30</v>
      </c>
      <c r="BE361" s="497">
        <f>IF(('Comparison Calculator'!$E$11-BD361)&gt;=0,0,IFERROR(-PPMT($BI$66/12,(BC361-60),($F$1-5)*12,$BI$65),0))</f>
        <v>0</v>
      </c>
      <c r="BF361" s="497">
        <f>IF(('Comparison Calculator'!$E$11-BD361)&gt;=0,$C$1*$BI$66/12,IFERROR(-IPMT($BI$66/12,(BC361-60),($F$1-5)*12,$BI$65,0),0))</f>
        <v>0</v>
      </c>
      <c r="BG361" s="497">
        <f t="shared" si="148"/>
        <v>0</v>
      </c>
      <c r="BH361" s="497">
        <f t="shared" si="161"/>
        <v>1800000</v>
      </c>
      <c r="BI361" s="493"/>
      <c r="BJ361" s="493"/>
      <c r="BK361" s="492">
        <v>357</v>
      </c>
      <c r="BL361" s="492">
        <v>30</v>
      </c>
      <c r="BM361" s="497">
        <f>IF(('Comparison Calculator'!$E$11-BL361)&gt;=0,0,IFERROR(-PPMT($BQ$66/12,(BK361-60),($F$1-5)*12,$BQ$65),0))</f>
        <v>0</v>
      </c>
      <c r="BN361" s="497">
        <f>IF(('Comparison Calculator'!$E$11-BL361)&gt;=0,$C$1*$BQ$66/12,IFERROR(-IPMT($BQ$66/12,(BK361-60),($F$1-5)*12,$BQ$65,0),0))</f>
        <v>0</v>
      </c>
      <c r="BO361" s="497">
        <f t="shared" si="149"/>
        <v>0</v>
      </c>
      <c r="BP361" s="497">
        <f t="shared" si="162"/>
        <v>1800000</v>
      </c>
      <c r="BQ361" s="493"/>
      <c r="BR361" s="493"/>
      <c r="BT361" s="492">
        <v>357</v>
      </c>
      <c r="BU361" s="492">
        <v>30</v>
      </c>
      <c r="BV361" s="497">
        <f>IF(('Comparison Calculator'!$E$11-BU361)&gt;=0,0,IFERROR(-PPMT($BZ$66/12,(BT361-60),($F$1-5)*12,$BZ$65),0))</f>
        <v>0</v>
      </c>
      <c r="BW361" s="497">
        <f>IF(('Comparison Calculator'!$E$11-BU361)&gt;=0,$C$1*$BZ$66/12,IFERROR(-IPMT($BZ$66/12,(BT361-60),($F$1-5)*12,$BZ$65,0),0))</f>
        <v>0</v>
      </c>
      <c r="BX361" s="497">
        <f t="shared" si="150"/>
        <v>0</v>
      </c>
      <c r="BY361" s="497">
        <f t="shared" si="163"/>
        <v>1800000</v>
      </c>
      <c r="BZ361" s="493"/>
      <c r="CA361" s="493"/>
      <c r="CC361" s="492">
        <v>357</v>
      </c>
      <c r="CD361" s="492">
        <v>30</v>
      </c>
      <c r="CE361" s="497">
        <f>IF(('Comparison Calculator'!$E$11-CD361)&gt;=0,0,IFERROR(-PPMT($CI$66/12,(CC361-60),($F$1-5)*12,$CI$65),0))</f>
        <v>0</v>
      </c>
      <c r="CF361" s="497">
        <f>IF(('Comparison Calculator'!$E$11-CD361)&gt;=0,$C$1*$CI$66/12,IFERROR(-IPMT($CI$66/12,(CC361-60),($F$1-5)*12,$CI$65,0),0))</f>
        <v>0</v>
      </c>
      <c r="CG361" s="497">
        <f t="shared" si="151"/>
        <v>0</v>
      </c>
      <c r="CH361" s="497">
        <f t="shared" si="164"/>
        <v>1800000</v>
      </c>
      <c r="CI361" s="493"/>
      <c r="CJ361" s="493"/>
      <c r="CL361" s="492">
        <v>357</v>
      </c>
      <c r="CM361" s="492">
        <v>30</v>
      </c>
      <c r="CN361" s="497">
        <f>IF(('Comparison Calculator'!$E$11-CM361)&gt;=0,0,IFERROR(-PPMT($CR$66/12,(CL361-60),($F$1-5)*12,$CR$65),0))</f>
        <v>0</v>
      </c>
      <c r="CO361" s="497">
        <f>IF(('Comparison Calculator'!$E$11-CM361)&gt;=0,$C$1*$CI$66/12,IFERROR(-IPMT($CI$66/12,(CL361-60),($F$1-5)*12,$CI$65,0),0))</f>
        <v>0</v>
      </c>
      <c r="CP361" s="497">
        <f t="shared" si="152"/>
        <v>0</v>
      </c>
      <c r="CQ361" s="497">
        <f t="shared" si="165"/>
        <v>1800000</v>
      </c>
      <c r="CR361" s="493"/>
      <c r="CS361" s="493"/>
      <c r="CU361" s="492">
        <v>357</v>
      </c>
      <c r="CV361" s="492">
        <v>30</v>
      </c>
      <c r="CW361" s="497">
        <f>IF(('Comparison Calculator'!$E$11-CV361)&gt;=0,0,IFERROR(-PPMT($DA$66/12,(CU361-60),($F$1-5)*12,$DA$65),0))</f>
        <v>0</v>
      </c>
      <c r="CX361" s="497">
        <f>IF(('Comparison Calculator'!$E$11-CV361)&gt;=0,$C$1*$DA$66/12,IFERROR(-IPMT($DA$66/12,(CU361-60),($F$1-5)*12,$DA$65,0),0))</f>
        <v>0</v>
      </c>
      <c r="CY361" s="497">
        <f t="shared" si="153"/>
        <v>0</v>
      </c>
      <c r="CZ361" s="497">
        <f t="shared" si="166"/>
        <v>1800000</v>
      </c>
      <c r="DA361" s="493"/>
      <c r="DB361" s="493"/>
      <c r="DD361" s="492">
        <v>357</v>
      </c>
      <c r="DE361" s="492">
        <v>30</v>
      </c>
      <c r="DF361" s="497">
        <f>IF(('Comparison Calculator'!$E$11-DE361)&gt;=0,0,IFERROR(-PPMT($DJ$66/12,(DD361-60),($F$1-5)*12,$DJ$65),0))</f>
        <v>0</v>
      </c>
      <c r="DG361" s="497">
        <f>IF(('Comparison Calculator'!$E$11-DE361)&gt;=0,$C$1*$DJ$66/12,IFERROR(-IPMT($DJ$66/12,(DD361-60),($F$1-5)*12,$DJ$65,0),0))</f>
        <v>0</v>
      </c>
      <c r="DH361" s="497">
        <f t="shared" si="154"/>
        <v>0</v>
      </c>
      <c r="DI361" s="497">
        <f t="shared" si="167"/>
        <v>1800000</v>
      </c>
      <c r="DJ361" s="493"/>
      <c r="DK361" s="493"/>
    </row>
    <row r="362" spans="1:115">
      <c r="A362" s="492">
        <v>358</v>
      </c>
      <c r="B362" s="492">
        <v>30</v>
      </c>
      <c r="C362" s="497">
        <f>IF(('Comparison Calculator'!$E$11-B362)&gt;=0,0,IFERROR(-PPMT($G$66/12,(A362-60),($F$1-5)*12,$G$65),0))</f>
        <v>0</v>
      </c>
      <c r="D362" s="497">
        <f>IF(('Comparison Calculator'!$E$11-B362)&gt;=0,$C$1*$G$66/12,IFERROR(-IPMT($G$66/12,(A362-60),($F$1-5)*12,$G$65,0),0))</f>
        <v>0</v>
      </c>
      <c r="E362" s="497">
        <f t="shared" si="142"/>
        <v>0</v>
      </c>
      <c r="F362" s="497">
        <f t="shared" si="155"/>
        <v>1800000</v>
      </c>
      <c r="G362" s="493"/>
      <c r="H362" s="493"/>
      <c r="I362" s="489"/>
      <c r="J362" s="492">
        <v>358</v>
      </c>
      <c r="K362" s="492">
        <v>30</v>
      </c>
      <c r="L362" s="497">
        <f>IF(('Comparison Calculator'!$E$11-K362)&gt;=0,0,IFERROR(-PPMT($P$66/12,(J362-60),($F$1-5)*12,$P$65),0))</f>
        <v>0</v>
      </c>
      <c r="M362" s="497">
        <f>IF(('Comparison Calculator'!$E$11-K362)&gt;=0,$C$1*$P$66/12,IFERROR(-IPMT($P$66/12,(J362-60),($F$1-5)*12,$P$65,0),0))</f>
        <v>0</v>
      </c>
      <c r="N362" s="497">
        <f t="shared" si="143"/>
        <v>0</v>
      </c>
      <c r="O362" s="497">
        <f t="shared" si="156"/>
        <v>1800000</v>
      </c>
      <c r="P362" s="493"/>
      <c r="Q362" s="493"/>
      <c r="S362" s="492">
        <v>358</v>
      </c>
      <c r="T362" s="492">
        <v>30</v>
      </c>
      <c r="U362" s="497">
        <f>IF(('Comparison Calculator'!$E$11-T362)&gt;=0,0,IFERROR(-PPMT($Y$66/12,(S362-60),($F$1-5)*12,$Y$65),0))</f>
        <v>0</v>
      </c>
      <c r="V362" s="497">
        <f>IF(('Comparison Calculator'!$E$11-T362)&gt;=0,$C$1*$Y$66/12,IFERROR(-IPMT($Y$66/12,(S362-60),($F$1-5)*12,$Y$65,0),0))</f>
        <v>0</v>
      </c>
      <c r="W362" s="497">
        <f t="shared" si="144"/>
        <v>0</v>
      </c>
      <c r="X362" s="497">
        <f t="shared" si="157"/>
        <v>1800000</v>
      </c>
      <c r="Y362" s="493"/>
      <c r="Z362" s="493"/>
      <c r="AB362" s="492">
        <v>358</v>
      </c>
      <c r="AC362" s="492">
        <v>30</v>
      </c>
      <c r="AD362" s="497">
        <f>IF(('Comparison Calculator'!$E$11-AC362)&gt;=0,0,IFERROR(-PPMT($AH$66/12,(AB362-60),($F$1-5)*12,$AH$65),0))</f>
        <v>0</v>
      </c>
      <c r="AE362" s="497">
        <f>IF(('Comparison Calculator'!$E$11-AC362)&gt;=0,$C$1*$AH$66/12,IFERROR(-IPMT($AH$66/12,(AB362-60),($F$1-5)*12,$AH$65,0),0))</f>
        <v>0</v>
      </c>
      <c r="AF362" s="497">
        <f t="shared" si="145"/>
        <v>0</v>
      </c>
      <c r="AG362" s="497">
        <f t="shared" si="158"/>
        <v>1800000</v>
      </c>
      <c r="AH362" s="493"/>
      <c r="AI362" s="493"/>
      <c r="AK362" s="492">
        <v>358</v>
      </c>
      <c r="AL362" s="492">
        <v>30</v>
      </c>
      <c r="AM362" s="497">
        <f>IF(('Comparison Calculator'!$E$11-AL362)&gt;=0,0,IFERROR(-PPMT($AQ$66/12,(AK362-60),($F$1-5)*12,$AQ$65),0))</f>
        <v>0</v>
      </c>
      <c r="AN362" s="497">
        <f>IF(('Comparison Calculator'!$E$11-AL362)&gt;=0,$C$1*$AQ$66/12,IFERROR(-IPMT($AQ$66/12,(AK362-60),($F$1-5)*12,$AQ$65,0),0))</f>
        <v>0</v>
      </c>
      <c r="AO362" s="497">
        <f t="shared" si="146"/>
        <v>0</v>
      </c>
      <c r="AP362" s="497">
        <f t="shared" si="159"/>
        <v>1800000</v>
      </c>
      <c r="AQ362" s="493"/>
      <c r="AR362" s="493"/>
      <c r="AT362" s="492">
        <v>358</v>
      </c>
      <c r="AU362" s="492">
        <v>30</v>
      </c>
      <c r="AV362" s="497">
        <f>IF(('Comparison Calculator'!$E$11-AU362)&gt;=0,0,IFERROR(-PPMT($AZ$66/12,(AT362-60),($F$1-5)*12,$AZ$65),0))</f>
        <v>0</v>
      </c>
      <c r="AW362" s="497">
        <f>IF(('Comparison Calculator'!$E$11-AU362)&gt;=0,$C$1*$AZ$66/12,IFERROR(-IPMT($AZ$66/12,(AT362-60),($F$1-5)*12,$AZ$65,0),0))</f>
        <v>0</v>
      </c>
      <c r="AX362" s="497">
        <f t="shared" si="147"/>
        <v>0</v>
      </c>
      <c r="AY362" s="497">
        <f t="shared" si="160"/>
        <v>1800000</v>
      </c>
      <c r="AZ362" s="493"/>
      <c r="BA362" s="493"/>
      <c r="BC362" s="492">
        <v>358</v>
      </c>
      <c r="BD362" s="492">
        <v>30</v>
      </c>
      <c r="BE362" s="497">
        <f>IF(('Comparison Calculator'!$E$11-BD362)&gt;=0,0,IFERROR(-PPMT($BI$66/12,(BC362-60),($F$1-5)*12,$BI$65),0))</f>
        <v>0</v>
      </c>
      <c r="BF362" s="497">
        <f>IF(('Comparison Calculator'!$E$11-BD362)&gt;=0,$C$1*$BI$66/12,IFERROR(-IPMT($BI$66/12,(BC362-60),($F$1-5)*12,$BI$65,0),0))</f>
        <v>0</v>
      </c>
      <c r="BG362" s="497">
        <f t="shared" si="148"/>
        <v>0</v>
      </c>
      <c r="BH362" s="497">
        <f t="shared" si="161"/>
        <v>1800000</v>
      </c>
      <c r="BI362" s="493"/>
      <c r="BJ362" s="493"/>
      <c r="BK362" s="492">
        <v>358</v>
      </c>
      <c r="BL362" s="492">
        <v>30</v>
      </c>
      <c r="BM362" s="497">
        <f>IF(('Comparison Calculator'!$E$11-BL362)&gt;=0,0,IFERROR(-PPMT($BQ$66/12,(BK362-60),($F$1-5)*12,$BQ$65),0))</f>
        <v>0</v>
      </c>
      <c r="BN362" s="497">
        <f>IF(('Comparison Calculator'!$E$11-BL362)&gt;=0,$C$1*$BQ$66/12,IFERROR(-IPMT($BQ$66/12,(BK362-60),($F$1-5)*12,$BQ$65,0),0))</f>
        <v>0</v>
      </c>
      <c r="BO362" s="497">
        <f t="shared" si="149"/>
        <v>0</v>
      </c>
      <c r="BP362" s="497">
        <f t="shared" si="162"/>
        <v>1800000</v>
      </c>
      <c r="BQ362" s="493"/>
      <c r="BR362" s="493"/>
      <c r="BT362" s="492">
        <v>358</v>
      </c>
      <c r="BU362" s="492">
        <v>30</v>
      </c>
      <c r="BV362" s="497">
        <f>IF(('Comparison Calculator'!$E$11-BU362)&gt;=0,0,IFERROR(-PPMT($BZ$66/12,(BT362-60),($F$1-5)*12,$BZ$65),0))</f>
        <v>0</v>
      </c>
      <c r="BW362" s="497">
        <f>IF(('Comparison Calculator'!$E$11-BU362)&gt;=0,$C$1*$BZ$66/12,IFERROR(-IPMT($BZ$66/12,(BT362-60),($F$1-5)*12,$BZ$65,0),0))</f>
        <v>0</v>
      </c>
      <c r="BX362" s="497">
        <f t="shared" si="150"/>
        <v>0</v>
      </c>
      <c r="BY362" s="497">
        <f t="shared" si="163"/>
        <v>1800000</v>
      </c>
      <c r="BZ362" s="493"/>
      <c r="CA362" s="493"/>
      <c r="CC362" s="492">
        <v>358</v>
      </c>
      <c r="CD362" s="492">
        <v>30</v>
      </c>
      <c r="CE362" s="497">
        <f>IF(('Comparison Calculator'!$E$11-CD362)&gt;=0,0,IFERROR(-PPMT($CI$66/12,(CC362-60),($F$1-5)*12,$CI$65),0))</f>
        <v>0</v>
      </c>
      <c r="CF362" s="497">
        <f>IF(('Comparison Calculator'!$E$11-CD362)&gt;=0,$C$1*$CI$66/12,IFERROR(-IPMT($CI$66/12,(CC362-60),($F$1-5)*12,$CI$65,0),0))</f>
        <v>0</v>
      </c>
      <c r="CG362" s="497">
        <f t="shared" si="151"/>
        <v>0</v>
      </c>
      <c r="CH362" s="497">
        <f t="shared" si="164"/>
        <v>1800000</v>
      </c>
      <c r="CI362" s="493"/>
      <c r="CJ362" s="493"/>
      <c r="CL362" s="492">
        <v>358</v>
      </c>
      <c r="CM362" s="492">
        <v>30</v>
      </c>
      <c r="CN362" s="497">
        <f>IF(('Comparison Calculator'!$E$11-CM362)&gt;=0,0,IFERROR(-PPMT($CR$66/12,(CL362-60),($F$1-5)*12,$CR$65),0))</f>
        <v>0</v>
      </c>
      <c r="CO362" s="497">
        <f>IF(('Comparison Calculator'!$E$11-CM362)&gt;=0,$C$1*$CI$66/12,IFERROR(-IPMT($CI$66/12,(CL362-60),($F$1-5)*12,$CI$65,0),0))</f>
        <v>0</v>
      </c>
      <c r="CP362" s="497">
        <f t="shared" si="152"/>
        <v>0</v>
      </c>
      <c r="CQ362" s="497">
        <f t="shared" si="165"/>
        <v>1800000</v>
      </c>
      <c r="CR362" s="493"/>
      <c r="CS362" s="493"/>
      <c r="CU362" s="492">
        <v>358</v>
      </c>
      <c r="CV362" s="492">
        <v>30</v>
      </c>
      <c r="CW362" s="497">
        <f>IF(('Comparison Calculator'!$E$11-CV362)&gt;=0,0,IFERROR(-PPMT($DA$66/12,(CU362-60),($F$1-5)*12,$DA$65),0))</f>
        <v>0</v>
      </c>
      <c r="CX362" s="497">
        <f>IF(('Comparison Calculator'!$E$11-CV362)&gt;=0,$C$1*$DA$66/12,IFERROR(-IPMT($DA$66/12,(CU362-60),($F$1-5)*12,$DA$65,0),0))</f>
        <v>0</v>
      </c>
      <c r="CY362" s="497">
        <f t="shared" si="153"/>
        <v>0</v>
      </c>
      <c r="CZ362" s="497">
        <f t="shared" si="166"/>
        <v>1800000</v>
      </c>
      <c r="DA362" s="493"/>
      <c r="DB362" s="493"/>
      <c r="DD362" s="492">
        <v>358</v>
      </c>
      <c r="DE362" s="492">
        <v>30</v>
      </c>
      <c r="DF362" s="497">
        <f>IF(('Comparison Calculator'!$E$11-DE362)&gt;=0,0,IFERROR(-PPMT($DJ$66/12,(DD362-60),($F$1-5)*12,$DJ$65),0))</f>
        <v>0</v>
      </c>
      <c r="DG362" s="497">
        <f>IF(('Comparison Calculator'!$E$11-DE362)&gt;=0,$C$1*$DJ$66/12,IFERROR(-IPMT($DJ$66/12,(DD362-60),($F$1-5)*12,$DJ$65,0),0))</f>
        <v>0</v>
      </c>
      <c r="DH362" s="497">
        <f t="shared" si="154"/>
        <v>0</v>
      </c>
      <c r="DI362" s="497">
        <f t="shared" si="167"/>
        <v>1800000</v>
      </c>
      <c r="DJ362" s="493"/>
      <c r="DK362" s="493"/>
    </row>
    <row r="363" spans="1:115">
      <c r="A363" s="492">
        <v>359</v>
      </c>
      <c r="B363" s="492">
        <v>30</v>
      </c>
      <c r="C363" s="497">
        <f>IF(('Comparison Calculator'!$E$11-B363)&gt;=0,0,IFERROR(-PPMT($G$66/12,(A363-60),($F$1-5)*12,$G$65),0))</f>
        <v>0</v>
      </c>
      <c r="D363" s="497">
        <f>IF(('Comparison Calculator'!$E$11-B363)&gt;=0,$C$1*$G$66/12,IFERROR(-IPMT($G$66/12,(A363-60),($F$1-5)*12,$G$65,0),0))</f>
        <v>0</v>
      </c>
      <c r="E363" s="497">
        <f t="shared" si="142"/>
        <v>0</v>
      </c>
      <c r="F363" s="497">
        <f t="shared" si="155"/>
        <v>1800000</v>
      </c>
      <c r="G363" s="493"/>
      <c r="H363" s="493"/>
      <c r="I363" s="489"/>
      <c r="J363" s="492">
        <v>359</v>
      </c>
      <c r="K363" s="492">
        <v>30</v>
      </c>
      <c r="L363" s="497">
        <f>IF(('Comparison Calculator'!$E$11-K363)&gt;=0,0,IFERROR(-PPMT($P$66/12,(J363-60),($F$1-5)*12,$P$65),0))</f>
        <v>0</v>
      </c>
      <c r="M363" s="497">
        <f>IF(('Comparison Calculator'!$E$11-K363)&gt;=0,$C$1*$P$66/12,IFERROR(-IPMT($P$66/12,(J363-60),($F$1-5)*12,$P$65,0),0))</f>
        <v>0</v>
      </c>
      <c r="N363" s="497">
        <f t="shared" si="143"/>
        <v>0</v>
      </c>
      <c r="O363" s="497">
        <f t="shared" si="156"/>
        <v>1800000</v>
      </c>
      <c r="P363" s="493"/>
      <c r="Q363" s="493"/>
      <c r="S363" s="492">
        <v>359</v>
      </c>
      <c r="T363" s="492">
        <v>30</v>
      </c>
      <c r="U363" s="497">
        <f>IF(('Comparison Calculator'!$E$11-T363)&gt;=0,0,IFERROR(-PPMT($Y$66/12,(S363-60),($F$1-5)*12,$Y$65),0))</f>
        <v>0</v>
      </c>
      <c r="V363" s="497">
        <f>IF(('Comparison Calculator'!$E$11-T363)&gt;=0,$C$1*$Y$66/12,IFERROR(-IPMT($Y$66/12,(S363-60),($F$1-5)*12,$Y$65,0),0))</f>
        <v>0</v>
      </c>
      <c r="W363" s="497">
        <f t="shared" si="144"/>
        <v>0</v>
      </c>
      <c r="X363" s="497">
        <f t="shared" si="157"/>
        <v>1800000</v>
      </c>
      <c r="Y363" s="493"/>
      <c r="Z363" s="493"/>
      <c r="AB363" s="492">
        <v>359</v>
      </c>
      <c r="AC363" s="492">
        <v>30</v>
      </c>
      <c r="AD363" s="497">
        <f>IF(('Comparison Calculator'!$E$11-AC363)&gt;=0,0,IFERROR(-PPMT($AH$66/12,(AB363-60),($F$1-5)*12,$AH$65),0))</f>
        <v>0</v>
      </c>
      <c r="AE363" s="497">
        <f>IF(('Comparison Calculator'!$E$11-AC363)&gt;=0,$C$1*$AH$66/12,IFERROR(-IPMT($AH$66/12,(AB363-60),($F$1-5)*12,$AH$65,0),0))</f>
        <v>0</v>
      </c>
      <c r="AF363" s="497">
        <f t="shared" si="145"/>
        <v>0</v>
      </c>
      <c r="AG363" s="497">
        <f t="shared" si="158"/>
        <v>1800000</v>
      </c>
      <c r="AH363" s="493"/>
      <c r="AI363" s="493"/>
      <c r="AK363" s="492">
        <v>359</v>
      </c>
      <c r="AL363" s="492">
        <v>30</v>
      </c>
      <c r="AM363" s="497">
        <f>IF(('Comparison Calculator'!$E$11-AL363)&gt;=0,0,IFERROR(-PPMT($AQ$66/12,(AK363-60),($F$1-5)*12,$AQ$65),0))</f>
        <v>0</v>
      </c>
      <c r="AN363" s="497">
        <f>IF(('Comparison Calculator'!$E$11-AL363)&gt;=0,$C$1*$AQ$66/12,IFERROR(-IPMT($AQ$66/12,(AK363-60),($F$1-5)*12,$AQ$65,0),0))</f>
        <v>0</v>
      </c>
      <c r="AO363" s="497">
        <f t="shared" si="146"/>
        <v>0</v>
      </c>
      <c r="AP363" s="497">
        <f t="shared" si="159"/>
        <v>1800000</v>
      </c>
      <c r="AQ363" s="493"/>
      <c r="AR363" s="493"/>
      <c r="AT363" s="492">
        <v>359</v>
      </c>
      <c r="AU363" s="492">
        <v>30</v>
      </c>
      <c r="AV363" s="497">
        <f>IF(('Comparison Calculator'!$E$11-AU363)&gt;=0,0,IFERROR(-PPMT($AZ$66/12,(AT363-60),($F$1-5)*12,$AZ$65),0))</f>
        <v>0</v>
      </c>
      <c r="AW363" s="497">
        <f>IF(('Comparison Calculator'!$E$11-AU363)&gt;=0,$C$1*$AZ$66/12,IFERROR(-IPMT($AZ$66/12,(AT363-60),($F$1-5)*12,$AZ$65,0),0))</f>
        <v>0</v>
      </c>
      <c r="AX363" s="497">
        <f t="shared" si="147"/>
        <v>0</v>
      </c>
      <c r="AY363" s="497">
        <f t="shared" si="160"/>
        <v>1800000</v>
      </c>
      <c r="AZ363" s="493"/>
      <c r="BA363" s="493"/>
      <c r="BC363" s="492">
        <v>359</v>
      </c>
      <c r="BD363" s="492">
        <v>30</v>
      </c>
      <c r="BE363" s="497">
        <f>IF(('Comparison Calculator'!$E$11-BD363)&gt;=0,0,IFERROR(-PPMT($BI$66/12,(BC363-60),($F$1-5)*12,$BI$65),0))</f>
        <v>0</v>
      </c>
      <c r="BF363" s="497">
        <f>IF(('Comparison Calculator'!$E$11-BD363)&gt;=0,$C$1*$BI$66/12,IFERROR(-IPMT($BI$66/12,(BC363-60),($F$1-5)*12,$BI$65,0),0))</f>
        <v>0</v>
      </c>
      <c r="BG363" s="497">
        <f t="shared" si="148"/>
        <v>0</v>
      </c>
      <c r="BH363" s="497">
        <f t="shared" si="161"/>
        <v>1800000</v>
      </c>
      <c r="BI363" s="493"/>
      <c r="BJ363" s="493"/>
      <c r="BK363" s="492">
        <v>359</v>
      </c>
      <c r="BL363" s="492">
        <v>30</v>
      </c>
      <c r="BM363" s="497">
        <f>IF(('Comparison Calculator'!$E$11-BL363)&gt;=0,0,IFERROR(-PPMT($BQ$66/12,(BK363-60),($F$1-5)*12,$BQ$65),0))</f>
        <v>0</v>
      </c>
      <c r="BN363" s="497">
        <f>IF(('Comparison Calculator'!$E$11-BL363)&gt;=0,$C$1*$BQ$66/12,IFERROR(-IPMT($BQ$66/12,(BK363-60),($F$1-5)*12,$BQ$65,0),0))</f>
        <v>0</v>
      </c>
      <c r="BO363" s="497">
        <f t="shared" si="149"/>
        <v>0</v>
      </c>
      <c r="BP363" s="497">
        <f t="shared" si="162"/>
        <v>1800000</v>
      </c>
      <c r="BQ363" s="493"/>
      <c r="BR363" s="493"/>
      <c r="BT363" s="492">
        <v>359</v>
      </c>
      <c r="BU363" s="492">
        <v>30</v>
      </c>
      <c r="BV363" s="497">
        <f>IF(('Comparison Calculator'!$E$11-BU363)&gt;=0,0,IFERROR(-PPMT($BZ$66/12,(BT363-60),($F$1-5)*12,$BZ$65),0))</f>
        <v>0</v>
      </c>
      <c r="BW363" s="497">
        <f>IF(('Comparison Calculator'!$E$11-BU363)&gt;=0,$C$1*$BZ$66/12,IFERROR(-IPMT($BZ$66/12,(BT363-60),($F$1-5)*12,$BZ$65,0),0))</f>
        <v>0</v>
      </c>
      <c r="BX363" s="497">
        <f t="shared" si="150"/>
        <v>0</v>
      </c>
      <c r="BY363" s="497">
        <f t="shared" si="163"/>
        <v>1800000</v>
      </c>
      <c r="BZ363" s="493"/>
      <c r="CA363" s="493"/>
      <c r="CC363" s="492">
        <v>359</v>
      </c>
      <c r="CD363" s="492">
        <v>30</v>
      </c>
      <c r="CE363" s="497">
        <f>IF(('Comparison Calculator'!$E$11-CD363)&gt;=0,0,IFERROR(-PPMT($CI$66/12,(CC363-60),($F$1-5)*12,$CI$65),0))</f>
        <v>0</v>
      </c>
      <c r="CF363" s="497">
        <f>IF(('Comparison Calculator'!$E$11-CD363)&gt;=0,$C$1*$CI$66/12,IFERROR(-IPMT($CI$66/12,(CC363-60),($F$1-5)*12,$CI$65,0),0))</f>
        <v>0</v>
      </c>
      <c r="CG363" s="497">
        <f t="shared" si="151"/>
        <v>0</v>
      </c>
      <c r="CH363" s="497">
        <f t="shared" si="164"/>
        <v>1800000</v>
      </c>
      <c r="CI363" s="493"/>
      <c r="CJ363" s="493"/>
      <c r="CL363" s="492">
        <v>359</v>
      </c>
      <c r="CM363" s="492">
        <v>30</v>
      </c>
      <c r="CN363" s="497">
        <f>IF(('Comparison Calculator'!$E$11-CM363)&gt;=0,0,IFERROR(-PPMT($CR$66/12,(CL363-60),($F$1-5)*12,$CR$65),0))</f>
        <v>0</v>
      </c>
      <c r="CO363" s="497">
        <f>IF(('Comparison Calculator'!$E$11-CM363)&gt;=0,$C$1*$CI$66/12,IFERROR(-IPMT($CI$66/12,(CL363-60),($F$1-5)*12,$CI$65,0),0))</f>
        <v>0</v>
      </c>
      <c r="CP363" s="497">
        <f t="shared" si="152"/>
        <v>0</v>
      </c>
      <c r="CQ363" s="497">
        <f t="shared" si="165"/>
        <v>1800000</v>
      </c>
      <c r="CR363" s="493"/>
      <c r="CS363" s="493"/>
      <c r="CU363" s="492">
        <v>359</v>
      </c>
      <c r="CV363" s="492">
        <v>30</v>
      </c>
      <c r="CW363" s="497">
        <f>IF(('Comparison Calculator'!$E$11-CV363)&gt;=0,0,IFERROR(-PPMT($DA$66/12,(CU363-60),($F$1-5)*12,$DA$65),0))</f>
        <v>0</v>
      </c>
      <c r="CX363" s="497">
        <f>IF(('Comparison Calculator'!$E$11-CV363)&gt;=0,$C$1*$DA$66/12,IFERROR(-IPMT($DA$66/12,(CU363-60),($F$1-5)*12,$DA$65,0),0))</f>
        <v>0</v>
      </c>
      <c r="CY363" s="497">
        <f>CW363+CX363</f>
        <v>0</v>
      </c>
      <c r="CZ363" s="497">
        <f t="shared" si="166"/>
        <v>1800000</v>
      </c>
      <c r="DA363" s="493"/>
      <c r="DB363" s="493"/>
      <c r="DD363" s="492">
        <v>359</v>
      </c>
      <c r="DE363" s="492">
        <v>30</v>
      </c>
      <c r="DF363" s="497">
        <f>IF(('Comparison Calculator'!$E$11-DE363)&gt;=0,0,IFERROR(-PPMT($DJ$66/12,(DD363-60),($F$1-5)*12,$DJ$65),0))</f>
        <v>0</v>
      </c>
      <c r="DG363" s="497">
        <f>IF(('Comparison Calculator'!$E$11-DE363)&gt;=0,$C$1*$DJ$66/12,IFERROR(-IPMT($DJ$66/12,(DD363-60),($F$1-5)*12,$DJ$65,0),0))</f>
        <v>0</v>
      </c>
      <c r="DH363" s="497">
        <f>DF363+DG363</f>
        <v>0</v>
      </c>
      <c r="DI363" s="497">
        <f t="shared" si="167"/>
        <v>1800000</v>
      </c>
      <c r="DJ363" s="493"/>
      <c r="DK363" s="493"/>
    </row>
    <row r="364" spans="1:115">
      <c r="A364" s="492">
        <v>360</v>
      </c>
      <c r="B364" s="492">
        <v>30</v>
      </c>
      <c r="C364" s="497">
        <f>IF(('Comparison Calculator'!$E$11-B364)&gt;=0,0,IFERROR(-PPMT($G$66/12,(A364-60),($F$1-5)*12,$G$65),0))</f>
        <v>0</v>
      </c>
      <c r="D364" s="497">
        <f>IF(('Comparison Calculator'!$E$11-B364)&gt;=0,$C$1*$G$66/12,IFERROR(-IPMT($G$66/12,(A364-60),($F$1-5)*12,$G$65,0),0))</f>
        <v>0</v>
      </c>
      <c r="E364" s="497">
        <f t="shared" si="142"/>
        <v>0</v>
      </c>
      <c r="F364" s="497">
        <f t="shared" si="155"/>
        <v>1800000</v>
      </c>
      <c r="G364" s="493"/>
      <c r="H364" s="493"/>
      <c r="I364" s="489"/>
      <c r="J364" s="492">
        <v>360</v>
      </c>
      <c r="K364" s="492">
        <v>30</v>
      </c>
      <c r="L364" s="497">
        <f>IF(('Comparison Calculator'!$E$11-K364)&gt;=0,0,IFERROR(-PPMT($P$66/12,(J364-60),($F$1-5)*12,$P$65),0))</f>
        <v>0</v>
      </c>
      <c r="M364" s="497">
        <f>IF(('Comparison Calculator'!$E$11-K364)&gt;=0,$C$1*$P$66/12,IFERROR(-IPMT($P$66/12,(J364-60),($F$1-5)*12,$P$65,0),0))</f>
        <v>0</v>
      </c>
      <c r="N364" s="497">
        <f t="shared" si="143"/>
        <v>0</v>
      </c>
      <c r="O364" s="497">
        <f t="shared" si="156"/>
        <v>1800000</v>
      </c>
      <c r="P364" s="493"/>
      <c r="Q364" s="493"/>
      <c r="S364" s="492">
        <v>360</v>
      </c>
      <c r="T364" s="492">
        <v>30</v>
      </c>
      <c r="U364" s="497">
        <f>IF(('Comparison Calculator'!$E$11-T364)&gt;=0,0,IFERROR(-PPMT($Y$66/12,(S364-60),($F$1-5)*12,$Y$65),0))</f>
        <v>0</v>
      </c>
      <c r="V364" s="497">
        <f>IF(('Comparison Calculator'!$E$11-T364)&gt;=0,$C$1*$Y$66/12,IFERROR(-IPMT($Y$66/12,(S364-60),($F$1-5)*12,$Y$65,0),0))</f>
        <v>0</v>
      </c>
      <c r="W364" s="497">
        <f t="shared" si="144"/>
        <v>0</v>
      </c>
      <c r="X364" s="497">
        <f t="shared" si="157"/>
        <v>1800000</v>
      </c>
      <c r="Y364" s="493"/>
      <c r="Z364" s="493"/>
      <c r="AB364" s="492">
        <v>360</v>
      </c>
      <c r="AC364" s="492">
        <v>30</v>
      </c>
      <c r="AD364" s="497">
        <f>IF(('Comparison Calculator'!$E$11-AC364)&gt;=0,0,IFERROR(-PPMT($AH$66/12,(AB364-60),($F$1-5)*12,$AH$65),0))</f>
        <v>0</v>
      </c>
      <c r="AE364" s="497">
        <f>IF(('Comparison Calculator'!$E$11-AC364)&gt;=0,$C$1*$AH$66/12,IFERROR(-IPMT($AH$66/12,(AB364-60),($F$1-5)*12,$AH$65,0),0))</f>
        <v>0</v>
      </c>
      <c r="AF364" s="497">
        <f t="shared" si="145"/>
        <v>0</v>
      </c>
      <c r="AG364" s="497">
        <f t="shared" si="158"/>
        <v>1800000</v>
      </c>
      <c r="AH364" s="493"/>
      <c r="AI364" s="493"/>
      <c r="AK364" s="492">
        <v>360</v>
      </c>
      <c r="AL364" s="492">
        <v>30</v>
      </c>
      <c r="AM364" s="497">
        <f>IF(('Comparison Calculator'!$E$11-AL364)&gt;=0,0,IFERROR(-PPMT($AQ$66/12,(AK364-60),($F$1-5)*12,$AQ$65),0))</f>
        <v>0</v>
      </c>
      <c r="AN364" s="497">
        <f>IF(('Comparison Calculator'!$E$11-AL364)&gt;=0,$C$1*$AQ$66/12,IFERROR(-IPMT($AQ$66/12,(AK364-60),($F$1-5)*12,$AQ$65,0),0))</f>
        <v>0</v>
      </c>
      <c r="AO364" s="497">
        <f>AM364+AN364</f>
        <v>0</v>
      </c>
      <c r="AP364" s="497">
        <f>AP363-AM364</f>
        <v>1800000</v>
      </c>
      <c r="AQ364" s="493"/>
      <c r="AR364" s="493"/>
      <c r="AT364" s="492">
        <v>360</v>
      </c>
      <c r="AU364" s="492">
        <v>30</v>
      </c>
      <c r="AV364" s="497">
        <f>IF(('Comparison Calculator'!$E$11-AU364)&gt;=0,0,IFERROR(-PPMT($AZ$66/12,(AT364-60),($F$1-5)*12,$AZ$65),0))</f>
        <v>0</v>
      </c>
      <c r="AW364" s="497">
        <f>IF(('Comparison Calculator'!$E$11-AU364)&gt;=0,$C$1*$AZ$66/12,IFERROR(-IPMT($AZ$66/12,(AT364-60),($F$1-5)*12,$AZ$65,0),0))</f>
        <v>0</v>
      </c>
      <c r="AX364" s="497">
        <f>AV364+AW364</f>
        <v>0</v>
      </c>
      <c r="AY364" s="497">
        <f>AY363-AV364</f>
        <v>1800000</v>
      </c>
      <c r="AZ364" s="493"/>
      <c r="BA364" s="493"/>
      <c r="BC364" s="492">
        <v>360</v>
      </c>
      <c r="BD364" s="492">
        <v>30</v>
      </c>
      <c r="BE364" s="497">
        <f>IF(('Comparison Calculator'!$E$11-BD364)&gt;=0,0,IFERROR(-PPMT($BI$66/12,(BC364-60),($F$1-5)*12,$BI$65),0))</f>
        <v>0</v>
      </c>
      <c r="BF364" s="497">
        <f>IF(('Comparison Calculator'!$E$11-BD364)&gt;=0,$C$1*$BI$66/12,IFERROR(-IPMT($BI$66/12,(BC364-60),($F$1-5)*12,$BI$65,0),0))</f>
        <v>0</v>
      </c>
      <c r="BG364" s="497">
        <f>BE364+BF364</f>
        <v>0</v>
      </c>
      <c r="BH364" s="497">
        <f>BH363-BE364</f>
        <v>1800000</v>
      </c>
      <c r="BI364" s="493"/>
      <c r="BJ364" s="493"/>
      <c r="BK364" s="492">
        <v>360</v>
      </c>
      <c r="BL364" s="492">
        <v>30</v>
      </c>
      <c r="BM364" s="497">
        <f>IF(('Comparison Calculator'!$E$11-BL364)&gt;=0,0,IFERROR(-PPMT($BQ$66/12,(BK364-60),($F$1-5)*12,$BQ$65),0))</f>
        <v>0</v>
      </c>
      <c r="BN364" s="497">
        <f>IF(('Comparison Calculator'!$E$11-BL364)&gt;=0,$C$1*$BQ$66/12,IFERROR(-IPMT($BQ$66/12,(BK364-60),($F$1-5)*12,$BQ$65,0),0))</f>
        <v>0</v>
      </c>
      <c r="BO364" s="497">
        <f>BM364+BN364</f>
        <v>0</v>
      </c>
      <c r="BP364" s="497">
        <f>BP363-BM364</f>
        <v>1800000</v>
      </c>
      <c r="BQ364" s="493"/>
      <c r="BR364" s="493"/>
      <c r="BT364" s="492">
        <v>360</v>
      </c>
      <c r="BU364" s="492">
        <v>30</v>
      </c>
      <c r="BV364" s="497">
        <f>IF(('Comparison Calculator'!$E$11-BU364)&gt;=0,0,IFERROR(-PPMT($BZ$66/12,(BT364-60),($F$1-5)*12,$BZ$65),0))</f>
        <v>0</v>
      </c>
      <c r="BW364" s="497">
        <f>IF(('Comparison Calculator'!$E$11-BU364)&gt;=0,$C$1*$BZ$66/12,IFERROR(-IPMT($BZ$66/12,(BT364-60),($F$1-5)*12,$BZ$65,0),0))</f>
        <v>0</v>
      </c>
      <c r="BX364" s="497">
        <f>BV364+BW364</f>
        <v>0</v>
      </c>
      <c r="BY364" s="497">
        <f>BY363-BV364</f>
        <v>1800000</v>
      </c>
      <c r="BZ364" s="493"/>
      <c r="CA364" s="493"/>
      <c r="CC364" s="492">
        <v>360</v>
      </c>
      <c r="CD364" s="492">
        <v>30</v>
      </c>
      <c r="CE364" s="497">
        <f>IF(('Comparison Calculator'!$E$11-CD364)&gt;=0,0,IFERROR(-PPMT($CI$66/12,(CC364-60),($F$1-5)*12,$CI$65),0))</f>
        <v>0</v>
      </c>
      <c r="CF364" s="497">
        <f>IF(('Comparison Calculator'!$E$11-CD364)&gt;=0,$C$1*$CI$66/12,IFERROR(-IPMT($CI$66/12,(CC364-60),($F$1-5)*12,$CI$65,0),0))</f>
        <v>0</v>
      </c>
      <c r="CG364" s="497">
        <f>CE364+CF364</f>
        <v>0</v>
      </c>
      <c r="CH364" s="497">
        <f>CH363-CE364</f>
        <v>1800000</v>
      </c>
      <c r="CI364" s="493"/>
      <c r="CJ364" s="493"/>
      <c r="CL364" s="492">
        <v>360</v>
      </c>
      <c r="CM364" s="492">
        <v>30</v>
      </c>
      <c r="CN364" s="497">
        <f>IF(('Comparison Calculator'!$E$11-CM364)&gt;=0,0,IFERROR(-PPMT($CR$66/12,(CL364-60),($F$1-5)*12,$CR$65),0))</f>
        <v>0</v>
      </c>
      <c r="CO364" s="497">
        <f>IF(('Comparison Calculator'!$E$11-CM364)&gt;=0,$C$1*$CI$66/12,IFERROR(-IPMT($CI$66/12,(CL364-60),($F$1-5)*12,$CI$65,0),0))</f>
        <v>0</v>
      </c>
      <c r="CP364" s="497">
        <f>CN364+CO364</f>
        <v>0</v>
      </c>
      <c r="CQ364" s="497">
        <f>CQ363-CN364</f>
        <v>1800000</v>
      </c>
      <c r="CR364" s="493"/>
      <c r="CS364" s="493"/>
      <c r="CU364" s="492">
        <v>360</v>
      </c>
      <c r="CV364" s="492">
        <v>30</v>
      </c>
      <c r="CW364" s="497">
        <f>IF(('Comparison Calculator'!$E$11-CV364)&gt;=0,0,IFERROR(-PPMT($DA$66/12,(CU364-60),($F$1-5)*12,$DA$65),0))</f>
        <v>0</v>
      </c>
      <c r="CX364" s="497">
        <f>IF(('Comparison Calculator'!$E$11-CV364)&gt;=0,$C$1*$DA$66/12,IFERROR(-IPMT($DA$66/12,(CU364-60),($F$1-5)*12,$DA$65,0),0))</f>
        <v>0</v>
      </c>
      <c r="CY364" s="497">
        <f>CW364+CX364</f>
        <v>0</v>
      </c>
      <c r="CZ364" s="497">
        <f>CZ363-CW364</f>
        <v>1800000</v>
      </c>
      <c r="DA364" s="493"/>
      <c r="DB364" s="493"/>
      <c r="DD364" s="492">
        <v>360</v>
      </c>
      <c r="DE364" s="492">
        <v>30</v>
      </c>
      <c r="DF364" s="497">
        <f>IF(('Comparison Calculator'!$E$11-DE364)&gt;=0,0,IFERROR(-PPMT($DJ$66/12,(DD364-60),($F$1-5)*12,$DJ$65),0))</f>
        <v>0</v>
      </c>
      <c r="DG364" s="497">
        <f>IF(('Comparison Calculator'!$E$11-DE364)&gt;=0,$C$1*$DJ$66/12,IFERROR(-IPMT($DJ$66/12,(DD364-60),($F$1-5)*12,$DJ$65,0),0))</f>
        <v>0</v>
      </c>
      <c r="DH364" s="497">
        <f>DF364+DG364</f>
        <v>0</v>
      </c>
      <c r="DI364" s="497">
        <f>DI363-DF364</f>
        <v>1800000</v>
      </c>
      <c r="DJ364" s="493"/>
      <c r="DK364" s="493"/>
    </row>
    <row r="365" spans="1:115">
      <c r="A365" s="487"/>
      <c r="B365" s="487"/>
      <c r="C365" s="505"/>
      <c r="D365" s="487"/>
      <c r="E365" s="487"/>
      <c r="F365" s="487"/>
      <c r="G365" s="489"/>
      <c r="H365" s="489"/>
      <c r="I365" s="489"/>
      <c r="J365" s="487"/>
      <c r="K365" s="487"/>
      <c r="L365" s="505"/>
      <c r="M365" s="487"/>
      <c r="N365" s="487"/>
      <c r="O365" s="487"/>
      <c r="P365" s="489"/>
      <c r="Q365" s="489"/>
    </row>
    <row r="366" spans="1:115">
      <c r="A366" s="487"/>
      <c r="B366" s="487"/>
      <c r="C366" s="505"/>
      <c r="D366" s="487"/>
      <c r="E366" s="487"/>
      <c r="F366" s="487"/>
      <c r="G366" s="489"/>
      <c r="H366" s="489"/>
      <c r="I366" s="489"/>
      <c r="J366" s="487"/>
      <c r="K366" s="487"/>
      <c r="L366" s="505"/>
      <c r="M366" s="487"/>
      <c r="N366" s="487"/>
      <c r="O366" s="487"/>
      <c r="P366" s="489"/>
      <c r="Q366" s="489"/>
    </row>
    <row r="367" spans="1:115">
      <c r="A367" s="487"/>
      <c r="B367" s="487"/>
      <c r="C367" s="505"/>
      <c r="D367" s="487"/>
      <c r="E367" s="487"/>
      <c r="F367" s="487"/>
      <c r="G367" s="489"/>
      <c r="H367" s="489"/>
      <c r="I367" s="489"/>
      <c r="J367" s="487"/>
      <c r="K367" s="487"/>
      <c r="L367" s="505"/>
      <c r="M367" s="487"/>
      <c r="N367" s="487"/>
      <c r="O367" s="487"/>
      <c r="P367" s="489"/>
      <c r="Q367" s="489"/>
    </row>
  </sheetData>
  <mergeCells count="13">
    <mergeCell ref="AT2:BA2"/>
    <mergeCell ref="A2:H2"/>
    <mergeCell ref="J2:Q2"/>
    <mergeCell ref="S2:Z2"/>
    <mergeCell ref="AB2:AI2"/>
    <mergeCell ref="AK2:AR2"/>
    <mergeCell ref="DD2:DK2"/>
    <mergeCell ref="BC2:BJ2"/>
    <mergeCell ref="BK2:BR2"/>
    <mergeCell ref="BT2:CA2"/>
    <mergeCell ref="CC2:CJ2"/>
    <mergeCell ref="CL2:CS2"/>
    <mergeCell ref="CU2:DB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367B4-1307-47FE-B518-FD6245EE4879}">
  <sheetPr codeName="Sheet16"/>
  <dimension ref="B1:DG44"/>
  <sheetViews>
    <sheetView workbookViewId="0"/>
  </sheetViews>
  <sheetFormatPr defaultColWidth="9.1796875" defaultRowHeight="14.5"/>
  <cols>
    <col min="1" max="1" width="0.54296875" customWidth="1"/>
    <col min="2" max="2" width="16.7265625" bestFit="1" customWidth="1"/>
    <col min="3" max="3" width="18" customWidth="1"/>
    <col min="4" max="4" width="14.7265625" customWidth="1"/>
    <col min="5" max="5" width="1.26953125" customWidth="1"/>
    <col min="6" max="8" width="9.1796875" customWidth="1"/>
    <col min="9" max="9" width="1.26953125" customWidth="1"/>
    <col min="10" max="11" width="9.1796875" customWidth="1"/>
    <col min="12" max="12" width="1.1796875" customWidth="1"/>
    <col min="13" max="13" width="9.1796875" customWidth="1"/>
    <col min="14" max="14" width="1.7265625" customWidth="1"/>
    <col min="15" max="15" width="16.26953125" customWidth="1"/>
    <col min="16" max="16" width="1.26953125" customWidth="1"/>
    <col min="17" max="17" width="1" customWidth="1"/>
    <col min="18" max="18" width="15" customWidth="1"/>
    <col min="19" max="19" width="13.26953125" customWidth="1"/>
    <col min="20" max="20" width="16.1796875" bestFit="1" customWidth="1"/>
    <col min="21" max="21" width="9.1796875" customWidth="1"/>
    <col min="22" max="22" width="12.26953125" customWidth="1"/>
    <col min="23" max="23" width="9.1796875" customWidth="1"/>
    <col min="24" max="24" width="15.26953125" bestFit="1" customWidth="1"/>
    <col min="25" max="25" width="9.1796875" customWidth="1"/>
    <col min="26" max="26" width="14.81640625" customWidth="1"/>
    <col min="27" max="27" width="16.1796875" bestFit="1" customWidth="1"/>
    <col min="28" max="28" width="9.1796875" customWidth="1"/>
    <col min="29" max="29" width="15" customWidth="1"/>
    <col min="30" max="30" width="10.7265625" customWidth="1"/>
    <col min="31" max="31" width="12.7265625" customWidth="1"/>
    <col min="32" max="32" width="30" bestFit="1" customWidth="1"/>
    <col min="33" max="33" width="13.1796875" customWidth="1"/>
    <col min="34" max="34" width="21.1796875" customWidth="1"/>
    <col min="35" max="35" width="15" customWidth="1"/>
    <col min="36" max="36" width="13" bestFit="1" customWidth="1"/>
    <col min="37" max="37" width="11.54296875" customWidth="1"/>
    <col min="38" max="38" width="14.26953125" customWidth="1"/>
    <col min="39" max="39" width="15" customWidth="1"/>
    <col min="40" max="40" width="27.81640625" customWidth="1"/>
    <col min="41" max="41" width="19.26953125" customWidth="1"/>
    <col min="42" max="42" width="1.7265625" customWidth="1"/>
    <col min="43" max="43" width="16.54296875" customWidth="1"/>
    <col min="44" max="44" width="19.1796875" bestFit="1" customWidth="1"/>
    <col min="45" max="45" width="14.81640625" bestFit="1" customWidth="1"/>
    <col min="46" max="46" width="9.1796875" customWidth="1"/>
    <col min="47" max="47" width="13.54296875" customWidth="1"/>
    <col min="48" max="48" width="14.81640625" bestFit="1" customWidth="1"/>
    <col min="49" max="49" width="2.1796875" customWidth="1"/>
    <col min="50" max="50" width="13" customWidth="1"/>
    <col min="51" max="51" width="18.26953125" customWidth="1"/>
    <col min="52" max="52" width="2.26953125" customWidth="1"/>
    <col min="53" max="53" width="0" style="761" hidden="1" customWidth="1"/>
    <col min="54" max="54" width="19.54296875" style="761" hidden="1" customWidth="1"/>
    <col min="55" max="55" width="15.81640625" style="761" hidden="1" customWidth="1"/>
    <col min="56" max="56" width="30" style="761" hidden="1" customWidth="1"/>
    <col min="57" max="57" width="0" style="761" hidden="1" customWidth="1"/>
    <col min="58" max="58" width="22.26953125" style="761" hidden="1" customWidth="1"/>
    <col min="59" max="63" width="0" style="761" hidden="1" customWidth="1"/>
    <col min="64" max="64" width="6.7265625" style="761" hidden="1" customWidth="1"/>
    <col min="65" max="65" width="28.26953125" style="761" hidden="1" customWidth="1"/>
    <col min="66" max="66" width="16.54296875" style="761" hidden="1" customWidth="1"/>
    <col min="67" max="67" width="16.81640625" style="761" hidden="1" customWidth="1"/>
    <col min="68" max="68" width="17.26953125" style="761" hidden="1" customWidth="1"/>
    <col min="69" max="73" width="0" style="761" hidden="1" customWidth="1"/>
    <col min="74" max="74" width="17.26953125" style="761" hidden="1" customWidth="1"/>
    <col min="75" max="75" width="19.1796875" style="761" hidden="1" customWidth="1"/>
    <col min="76" max="76" width="13.54296875" style="761" hidden="1" customWidth="1"/>
    <col min="77" max="77" width="0" style="761" hidden="1" customWidth="1"/>
    <col min="78" max="78" width="19.1796875" style="761" hidden="1" customWidth="1"/>
    <col min="79" max="79" width="10.1796875" style="761" hidden="1" customWidth="1"/>
    <col min="80" max="83" width="9.1796875" style="761" customWidth="1"/>
    <col min="84" max="16383" width="9.1796875" customWidth="1"/>
  </cols>
  <sheetData>
    <row r="1" spans="2:111" ht="6" customHeight="1">
      <c r="BA1"/>
      <c r="BB1"/>
      <c r="BC1"/>
      <c r="BD1"/>
      <c r="BE1"/>
      <c r="BF1"/>
      <c r="BG1"/>
      <c r="BH1"/>
      <c r="BI1"/>
      <c r="BJ1"/>
      <c r="BK1"/>
      <c r="BL1"/>
      <c r="BM1"/>
      <c r="BN1"/>
      <c r="BO1"/>
      <c r="BP1"/>
      <c r="BQ1"/>
      <c r="BR1"/>
      <c r="BS1"/>
      <c r="BT1"/>
      <c r="BU1"/>
      <c r="BV1"/>
      <c r="BW1"/>
      <c r="BX1"/>
      <c r="BY1"/>
      <c r="BZ1"/>
      <c r="CA1"/>
      <c r="CB1"/>
      <c r="CC1"/>
      <c r="CD1"/>
      <c r="CE1"/>
    </row>
    <row r="2" spans="2:111" ht="17" thickBot="1">
      <c r="B2" s="1181" t="s">
        <v>233</v>
      </c>
      <c r="C2" s="1181"/>
      <c r="D2" s="1181"/>
      <c r="F2" s="1181" t="s">
        <v>17</v>
      </c>
      <c r="G2" s="1181"/>
      <c r="H2" s="1181"/>
      <c r="J2" s="1182" t="s">
        <v>18</v>
      </c>
      <c r="K2" s="1182"/>
      <c r="M2" s="638" t="s">
        <v>19</v>
      </c>
      <c r="O2" s="638" t="s">
        <v>137</v>
      </c>
      <c r="R2" s="1182" t="s">
        <v>347</v>
      </c>
      <c r="S2" s="1182"/>
      <c r="T2" s="1182"/>
      <c r="U2" s="1182"/>
      <c r="V2" s="1182"/>
      <c r="W2" s="1182"/>
      <c r="X2" s="1182"/>
      <c r="Y2" s="1182"/>
      <c r="Z2" s="1182"/>
      <c r="AA2" s="1182"/>
      <c r="AB2" s="1182"/>
      <c r="AC2" s="1182"/>
      <c r="AE2" s="639"/>
      <c r="AF2" s="639" t="s">
        <v>2</v>
      </c>
      <c r="AG2" s="639" t="s">
        <v>3</v>
      </c>
      <c r="AH2" s="639" t="s">
        <v>4</v>
      </c>
      <c r="AI2" s="639" t="s">
        <v>5</v>
      </c>
      <c r="AJ2" s="639" t="s">
        <v>6</v>
      </c>
      <c r="AK2" s="639" t="s">
        <v>7</v>
      </c>
      <c r="AL2" s="639" t="s">
        <v>8</v>
      </c>
      <c r="AM2" s="639"/>
      <c r="AN2" s="639" t="s">
        <v>9</v>
      </c>
      <c r="AO2" s="639"/>
      <c r="AQ2" s="824"/>
      <c r="AR2" s="1176" t="s">
        <v>81</v>
      </c>
      <c r="AS2" s="1176"/>
      <c r="AT2" s="1176"/>
      <c r="AU2" s="1176"/>
      <c r="AV2" s="1176"/>
      <c r="AX2" s="1182" t="s">
        <v>348</v>
      </c>
      <c r="AY2" s="1182"/>
      <c r="BA2" s="1186" t="s">
        <v>349</v>
      </c>
      <c r="BB2" s="1186"/>
      <c r="BC2" s="1186"/>
      <c r="CB2" s="1169" t="s">
        <v>350</v>
      </c>
      <c r="CC2" s="1169"/>
      <c r="CD2" s="1169"/>
      <c r="CE2" s="1169"/>
      <c r="CF2" s="761"/>
      <c r="CG2" s="1171" t="s">
        <v>17</v>
      </c>
      <c r="CH2" s="1171"/>
      <c r="CI2" s="1172" t="s">
        <v>351</v>
      </c>
      <c r="CJ2" s="1172"/>
      <c r="CK2" s="761"/>
      <c r="CL2" s="761"/>
      <c r="CM2" s="761"/>
      <c r="CN2" s="761"/>
      <c r="CO2" s="761"/>
      <c r="CP2" s="761"/>
      <c r="CQ2" s="761"/>
      <c r="CR2" s="761"/>
      <c r="CS2" s="761"/>
      <c r="CT2" s="761"/>
      <c r="CU2" s="761"/>
      <c r="CV2" s="761"/>
      <c r="CW2" s="761"/>
      <c r="CX2" s="761"/>
      <c r="CY2" s="761"/>
      <c r="CZ2" s="761"/>
      <c r="DA2" s="761"/>
      <c r="DB2" s="761"/>
      <c r="DC2" s="761"/>
      <c r="DD2" s="761"/>
      <c r="DE2" s="761"/>
      <c r="DF2" s="761"/>
      <c r="DG2" s="761"/>
    </row>
    <row r="3" spans="2:111" ht="15.5" thickBot="1">
      <c r="B3" s="785" t="s">
        <v>137</v>
      </c>
      <c r="C3" s="786" t="s">
        <v>234</v>
      </c>
      <c r="D3" s="786" t="s">
        <v>235</v>
      </c>
      <c r="F3" s="761" t="s">
        <v>28</v>
      </c>
      <c r="G3" s="761"/>
      <c r="H3" s="761"/>
      <c r="J3" s="761" t="s">
        <v>29</v>
      </c>
      <c r="K3" s="761"/>
      <c r="M3" s="787">
        <v>0</v>
      </c>
      <c r="O3" s="761" t="s">
        <v>0</v>
      </c>
      <c r="R3" s="845" t="s">
        <v>83</v>
      </c>
      <c r="S3" s="846"/>
      <c r="T3" s="846" t="s">
        <v>84</v>
      </c>
      <c r="U3" s="846"/>
      <c r="V3" s="846" t="s">
        <v>80</v>
      </c>
      <c r="W3" s="16"/>
      <c r="X3" s="16"/>
      <c r="Y3" s="1173" t="s">
        <v>85</v>
      </c>
      <c r="Z3" s="1175"/>
      <c r="AA3" s="846" t="s">
        <v>50</v>
      </c>
      <c r="AB3" s="846"/>
      <c r="AC3" s="846" t="s">
        <v>80</v>
      </c>
      <c r="AE3" s="33"/>
      <c r="AF3" s="857"/>
      <c r="AG3" s="857"/>
      <c r="AH3" s="857"/>
      <c r="AI3" s="857"/>
      <c r="AJ3" s="857"/>
      <c r="AK3" s="857"/>
      <c r="AL3" s="857"/>
      <c r="AM3" s="33"/>
      <c r="AN3" s="857"/>
      <c r="AO3" s="33"/>
      <c r="AQ3" s="826"/>
      <c r="AR3" s="827" t="s">
        <v>14</v>
      </c>
      <c r="AS3" s="826"/>
      <c r="AT3" s="826"/>
      <c r="AU3" s="827" t="s">
        <v>22</v>
      </c>
      <c r="AV3" s="826"/>
      <c r="AX3" s="830">
        <f>IF((('Servicing Calc'!T35+'Servicing Calc'!O53+INDEX!AA34)&gt;(AA57+AA58)),(E52+AD52+O52+AK52), (AA57+AA58))</f>
        <v>0</v>
      </c>
      <c r="AY3" s="830"/>
      <c r="BA3" s="1186"/>
      <c r="BB3" s="1186"/>
      <c r="BC3" s="1186"/>
      <c r="CB3" s="1170"/>
      <c r="CC3" s="1170"/>
      <c r="CD3" s="1170"/>
      <c r="CE3" s="1170"/>
      <c r="CF3" s="761"/>
      <c r="CG3" s="761" t="s">
        <v>352</v>
      </c>
      <c r="CH3" s="761"/>
      <c r="CI3" s="761" t="s">
        <v>30</v>
      </c>
      <c r="CJ3" s="761"/>
      <c r="CK3" s="761"/>
      <c r="CL3" s="761"/>
      <c r="CM3" s="761"/>
      <c r="CN3" s="761"/>
      <c r="CO3" s="761"/>
      <c r="CP3" s="761"/>
      <c r="CQ3" s="761"/>
      <c r="CR3" s="761"/>
      <c r="CS3" s="761"/>
      <c r="CT3" s="761"/>
      <c r="CU3" s="761"/>
      <c r="CV3" s="761"/>
      <c r="CW3" s="761"/>
      <c r="CX3" s="761"/>
      <c r="CY3" s="761"/>
      <c r="CZ3" s="761"/>
      <c r="DA3" s="761"/>
      <c r="DB3" s="761"/>
      <c r="DC3" s="761"/>
      <c r="DD3" s="761"/>
      <c r="DE3" s="761"/>
      <c r="DF3" s="761"/>
      <c r="DG3" s="761"/>
    </row>
    <row r="4" spans="2:111" ht="15">
      <c r="B4" s="761" t="s">
        <v>0</v>
      </c>
      <c r="C4" s="787" t="s">
        <v>34</v>
      </c>
      <c r="D4" s="788">
        <f>'Exchange Rates'!D4</f>
        <v>1</v>
      </c>
      <c r="F4" s="761" t="s">
        <v>77</v>
      </c>
      <c r="G4" s="761"/>
      <c r="H4" s="761"/>
      <c r="J4" s="761" t="s">
        <v>36</v>
      </c>
      <c r="K4" s="761"/>
      <c r="M4" s="787">
        <v>1</v>
      </c>
      <c r="O4" s="761" t="s">
        <v>1</v>
      </c>
      <c r="R4" s="847" t="s">
        <v>90</v>
      </c>
      <c r="S4" s="33"/>
      <c r="T4" s="848">
        <f>IF(A4="CNY",0,(IFERROR(('Servicing Calc'!H22/V4),0)))</f>
        <v>0</v>
      </c>
      <c r="U4" s="848"/>
      <c r="V4" s="849" t="str">
        <f>IFERROR(VLOOKUP('Servicing Calc'!K22,INDEX!C4:D16,2,0),"")</f>
        <v/>
      </c>
      <c r="W4" s="20"/>
      <c r="X4" s="21"/>
      <c r="Y4" s="847" t="s">
        <v>90</v>
      </c>
      <c r="Z4" s="33"/>
      <c r="AA4" s="848">
        <f>IF('Servicing Calc'!U22="CNY",0,(IFERROR(('Servicing Calc'!R22/AC4),0)))</f>
        <v>0</v>
      </c>
      <c r="AB4" s="848"/>
      <c r="AC4" s="849" t="str">
        <f>IFERROR(VLOOKUP('Servicing Calc'!U22,INDEX!C4:D16,2,0),"")</f>
        <v/>
      </c>
      <c r="AE4" s="33"/>
      <c r="AF4" s="857"/>
      <c r="AG4" s="857"/>
      <c r="AH4" s="857"/>
      <c r="AI4" s="857"/>
      <c r="AJ4" s="857"/>
      <c r="AK4" s="857"/>
      <c r="AL4" s="857"/>
      <c r="AM4" s="33"/>
      <c r="AN4" s="857"/>
      <c r="AO4" s="33"/>
      <c r="AQ4" s="528" t="s">
        <v>91</v>
      </c>
      <c r="AR4" s="42">
        <f>'Servicing Calc'!K22</f>
        <v>0</v>
      </c>
      <c r="AS4" s="828">
        <f>'Servicing Calc'!H22</f>
        <v>0</v>
      </c>
      <c r="AT4" s="829"/>
      <c r="AU4" s="42">
        <f>'Servicing Calc'!K23</f>
        <v>0</v>
      </c>
      <c r="AV4" s="828">
        <f>'Servicing Calc'!H23</f>
        <v>0</v>
      </c>
      <c r="AX4" s="818" t="s">
        <v>50</v>
      </c>
      <c r="AY4" s="31">
        <f>('Servicing Calc'!E50*AY6)+('Servicing Calc'!O50*AY6)+('Servicing Calc'!E51*AY7)+('Servicing Calc'!O51*AY7)+('Servicing Calc'!E52*AY8)+('Servicing Calc'!O52*AY8)</f>
        <v>0</v>
      </c>
      <c r="CF4" s="761"/>
      <c r="CG4" s="761" t="s">
        <v>353</v>
      </c>
      <c r="CH4" s="761"/>
      <c r="CI4" s="761" t="s">
        <v>37</v>
      </c>
      <c r="CJ4" s="761"/>
      <c r="CK4" s="761"/>
      <c r="CL4" s="761"/>
      <c r="CM4" s="761"/>
      <c r="CN4" s="761"/>
      <c r="CO4" s="761"/>
      <c r="CP4" s="761"/>
      <c r="CQ4" s="761"/>
      <c r="CR4" s="761"/>
      <c r="CS4" s="761"/>
      <c r="CT4" s="761"/>
      <c r="CU4" s="761"/>
      <c r="CV4" s="761"/>
      <c r="CW4" s="761"/>
      <c r="CX4" s="761"/>
      <c r="CY4" s="761"/>
      <c r="CZ4" s="761"/>
      <c r="DA4" s="761"/>
      <c r="DB4" s="761"/>
      <c r="DC4" s="761"/>
      <c r="DD4" s="761"/>
      <c r="DE4" s="761"/>
      <c r="DF4" s="761"/>
      <c r="DG4" s="761"/>
    </row>
    <row r="5" spans="2:111" ht="16.5">
      <c r="B5" s="761" t="s">
        <v>1</v>
      </c>
      <c r="C5" s="787" t="s">
        <v>109</v>
      </c>
      <c r="D5" s="788">
        <f>'Exchange Rates'!D5</f>
        <v>4.5226600000000001</v>
      </c>
      <c r="F5" s="761" t="s">
        <v>79</v>
      </c>
      <c r="G5" s="761"/>
      <c r="H5" s="761"/>
      <c r="M5" s="787">
        <v>2</v>
      </c>
      <c r="O5" s="761" t="s">
        <v>10</v>
      </c>
      <c r="R5" s="847" t="s">
        <v>33</v>
      </c>
      <c r="S5" s="33"/>
      <c r="T5" s="848">
        <f>IF(A5="CNY",0,(IFERROR(('Servicing Calc'!H23/V5),0)))</f>
        <v>0</v>
      </c>
      <c r="U5" s="848"/>
      <c r="V5" s="849" t="str">
        <f>IFERROR(VLOOKUP('Servicing Calc'!K23,C4:D16,2,0),"")</f>
        <v/>
      </c>
      <c r="W5" s="20"/>
      <c r="X5" s="21"/>
      <c r="Y5" s="847" t="s">
        <v>33</v>
      </c>
      <c r="Z5" s="33"/>
      <c r="AA5" s="848">
        <f>IF('Servicing Calc'!U23="CNY",0,(IFERROR(('Servicing Calc'!R23/AC5),0)))</f>
        <v>0</v>
      </c>
      <c r="AB5" s="848"/>
      <c r="AC5" s="849" t="str">
        <f>IFERROR(VLOOKUP('Servicing Calc'!U23,INDEX!C4:D16,2,0),"")</f>
        <v/>
      </c>
      <c r="AE5" s="33" t="s">
        <v>14</v>
      </c>
      <c r="AF5" s="41">
        <f>SUM('Servicing Calc'!E22)+SUM('Servicing Calc'!E31)+(SUM('Servicing Calc'!E36)*80%)+(SUM('Servicing Calc'!O22)*80%)+(SUM('Servicing Calc'!O26)*0.8)+(SUM('Servicing Calc'!O31)*80%)+(SUM('Servicing Calc'!O36)*80%)+(SUM('Servicing Calc'!E26)*80%)</f>
        <v>0</v>
      </c>
      <c r="AG5" s="41">
        <f>AS15</f>
        <v>0</v>
      </c>
      <c r="AH5" s="41">
        <f>(SUM(T4*90%)+SUM(T12*90%)+(SUM(T18)*80%)+(SUM(AA4)*80%)+(SUM(T24+AA24)*0.8)+(SUM(AA12)*80%)+(SUM(AA18)*80%))</f>
        <v>0</v>
      </c>
      <c r="AI5" s="50">
        <f>(AL12*(SUM(AK12:AK15))/12)+'Additional Borrowers'!BP3</f>
        <v>0</v>
      </c>
      <c r="AJ5" s="41">
        <f>(('Servicing Calc'!E42+'Servicing Calc'!O42+'Servicing Calc'!E46)*125%)+(('Servicing Calc'!O44*3%))+'Additional Borrowers'!BQ3</f>
        <v>0</v>
      </c>
      <c r="AK5" s="41">
        <f>AS263+AV28+'Additional Borrowers'!BR3</f>
        <v>0</v>
      </c>
      <c r="AL5" s="41">
        <f>(((V29+V30+V31)*125%)+AY48+(((AA29+AA30)*3%))-AK5)+'Additional Borrowers'!BS3</f>
        <v>0</v>
      </c>
      <c r="AM5" s="33"/>
      <c r="AN5" s="50">
        <f>AG9-AK9</f>
        <v>0</v>
      </c>
      <c r="AO5" s="33" t="s">
        <v>15</v>
      </c>
      <c r="AQ5" s="528" t="s">
        <v>92</v>
      </c>
      <c r="AR5" s="42">
        <f>'Servicing Calc'!K26</f>
        <v>0</v>
      </c>
      <c r="AS5" s="828">
        <f>'Servicing Calc'!H26*80%</f>
        <v>0</v>
      </c>
      <c r="AT5" s="829"/>
      <c r="AU5" s="42">
        <f>'Servicing Calc'!K27</f>
        <v>0</v>
      </c>
      <c r="AV5" s="828">
        <f>'Servicing Calc'!H27*80%</f>
        <v>0</v>
      </c>
      <c r="AX5" s="818" t="s">
        <v>80</v>
      </c>
      <c r="AY5" s="32">
        <f>SUM(R38:AG38)</f>
        <v>0</v>
      </c>
      <c r="BB5" s="887" t="s">
        <v>354</v>
      </c>
      <c r="BC5" s="830"/>
      <c r="BD5" s="836" t="e">
        <f>SUM(#REF!)+SUM(#REF!)+(SUM(#REF!)*80%)+(SUM(#REF!)*80%)+(SUM(#REF!)*0.8)+(SUM(#REF!)*80%)+(SUM(#REF!)*80%)+(SUM(#REF!)*80%)</f>
        <v>#REF!</v>
      </c>
      <c r="BE5" s="830"/>
      <c r="BF5" s="876">
        <v>50000</v>
      </c>
      <c r="BG5" s="707"/>
      <c r="BV5" s="654"/>
      <c r="BW5" s="1189" t="s">
        <v>81</v>
      </c>
      <c r="BX5" s="1189"/>
      <c r="BY5" s="1189"/>
      <c r="BZ5" s="1189"/>
      <c r="CA5" s="1189"/>
      <c r="CF5" s="761"/>
      <c r="CG5" s="761" t="s">
        <v>355</v>
      </c>
      <c r="CH5" s="761"/>
      <c r="CI5" s="761"/>
      <c r="CJ5" s="761"/>
      <c r="CK5" s="761"/>
      <c r="CL5" s="761"/>
      <c r="CM5" s="761"/>
      <c r="CN5" s="761"/>
      <c r="CO5" s="761"/>
      <c r="CP5" s="761"/>
      <c r="CQ5" s="761"/>
      <c r="CR5" s="761"/>
      <c r="CS5" s="761"/>
      <c r="CT5" s="761"/>
      <c r="CU5" s="761"/>
      <c r="CV5" s="761"/>
      <c r="CW5" s="761"/>
      <c r="CX5" s="761"/>
      <c r="CY5" s="761"/>
      <c r="CZ5" s="761"/>
      <c r="DA5" s="761"/>
      <c r="DB5" s="761"/>
      <c r="DC5" s="761"/>
      <c r="DD5" s="761"/>
      <c r="DE5" s="761"/>
      <c r="DF5" s="761"/>
      <c r="DG5" s="761"/>
    </row>
    <row r="6" spans="2:111" ht="16.5">
      <c r="B6" s="761" t="s">
        <v>10</v>
      </c>
      <c r="C6" s="787" t="s">
        <v>237</v>
      </c>
      <c r="D6" s="788">
        <f>'Exchange Rates'!D6</f>
        <v>5.4801200000000003</v>
      </c>
      <c r="F6" s="761" t="s">
        <v>78</v>
      </c>
      <c r="G6" s="761"/>
      <c r="H6" s="761"/>
      <c r="M6" s="787">
        <v>3</v>
      </c>
      <c r="O6" s="761" t="s">
        <v>11</v>
      </c>
      <c r="R6" s="847" t="s">
        <v>93</v>
      </c>
      <c r="S6" s="33"/>
      <c r="T6" s="848">
        <f>IF('Additional Borrowers'!K13="CNY",0,(IFERROR(('Additional Borrowers'!H13/V6),0)))</f>
        <v>0</v>
      </c>
      <c r="U6" s="848"/>
      <c r="V6" s="849" t="str">
        <f>IFERROR(VLOOKUP('Additional Borrowers'!K13,C4:D16,2,FALSE),"")</f>
        <v/>
      </c>
      <c r="W6" s="20"/>
      <c r="X6" s="21"/>
      <c r="Y6" s="847" t="s">
        <v>93</v>
      </c>
      <c r="Z6" s="33"/>
      <c r="AA6" s="848">
        <f>IF('Additional Borrowers'!U13="CNY",0,(IFERROR(('Additional Borrowers'!R13/AC6),0)))</f>
        <v>0</v>
      </c>
      <c r="AB6" s="848"/>
      <c r="AC6" s="849" t="str">
        <f>IFERROR(VLOOKUP('Additional Borrowers'!U13,C4:D16,2,FALSE),"")</f>
        <v/>
      </c>
      <c r="AE6" s="33" t="s">
        <v>22</v>
      </c>
      <c r="AF6" s="41">
        <f>SUM('Servicing Calc'!E23)+SUM('Servicing Calc'!E32)+(SUM('Servicing Calc'!E37)*80%)+(SUM('Servicing Calc'!O23)*80%)+(SUM('Servicing Calc'!O27)*0.8)+(SUM('Servicing Calc'!O32)*80%)+(SUM('Servicing Calc'!O37)*80%)+(SUM('Servicing Calc'!E27)*80%)</f>
        <v>0</v>
      </c>
      <c r="AG6" s="41">
        <f>AV15</f>
        <v>0</v>
      </c>
      <c r="AH6" s="41">
        <f t="shared" ref="AH6:AH8" si="0">(SUM(T5*90%)+SUM(T13*90%)+(SUM(T19)*80%)+(SUM(AA5)*80%)+(SUM(T25+AA25)*0.8)+(SUM(AA13)*80%)+(SUM(AA19)*80%))</f>
        <v>0</v>
      </c>
      <c r="AI6" s="858"/>
      <c r="AJ6" s="33"/>
      <c r="AK6" s="33"/>
      <c r="AL6" s="858"/>
      <c r="AM6" s="859">
        <f>IF((AG9=0),AP7,AN6)</f>
        <v>0</v>
      </c>
      <c r="AN6" s="50" t="b">
        <f>IF(IF(((AN5*12)&gt;(AL12)),(AL12/12),(AN5)),(AL12/12))</f>
        <v>0</v>
      </c>
      <c r="AO6" s="33" t="s">
        <v>23</v>
      </c>
      <c r="AQ6" s="528" t="s">
        <v>94</v>
      </c>
      <c r="AR6" s="42">
        <f>'Servicing Calc'!K31</f>
        <v>0</v>
      </c>
      <c r="AS6" s="828">
        <f>'Servicing Calc'!H31</f>
        <v>0</v>
      </c>
      <c r="AT6" s="829"/>
      <c r="AU6" s="42">
        <f>'Servicing Calc'!K32</f>
        <v>0</v>
      </c>
      <c r="AV6" s="828">
        <f>'Servicing Calc'!H32</f>
        <v>0</v>
      </c>
      <c r="AX6" s="813" t="s">
        <v>145</v>
      </c>
      <c r="AY6" s="814">
        <v>1300</v>
      </c>
      <c r="BB6" s="887" t="s">
        <v>356</v>
      </c>
      <c r="BC6" s="830"/>
      <c r="BD6" s="836" t="e">
        <f>SUM(#REF!)+SUM(#REF!)+(SUM(#REF!)*80%)+(SUM(#REF!)*80%)+(SUM(#REF!)*0.8)+(SUM(#REF!)*80%)+(SUM(#REF!)*80%)+(SUM(#REF!)*80%)</f>
        <v>#REF!</v>
      </c>
      <c r="BE6" s="830"/>
      <c r="BF6" s="872">
        <f>BF5/'Exchange Rates'!D15</f>
        <v>96495.291029797751</v>
      </c>
      <c r="BG6" s="707" t="s">
        <v>34</v>
      </c>
      <c r="BV6" s="682"/>
      <c r="BW6" s="646" t="s">
        <v>32</v>
      </c>
      <c r="BX6" s="682"/>
      <c r="BY6" s="676"/>
      <c r="BZ6" s="646" t="s">
        <v>39</v>
      </c>
      <c r="CA6" s="676"/>
      <c r="CF6" s="761"/>
      <c r="CG6" s="761" t="s">
        <v>357</v>
      </c>
      <c r="CH6" s="761"/>
      <c r="CI6" s="761"/>
      <c r="CJ6" s="761"/>
      <c r="CK6" s="761"/>
      <c r="CL6" s="761"/>
      <c r="CM6" s="761"/>
      <c r="CN6" s="761"/>
      <c r="CO6" s="761"/>
      <c r="CP6" s="761"/>
      <c r="CQ6" s="761"/>
      <c r="CR6" s="761"/>
      <c r="CS6" s="761"/>
      <c r="CT6" s="761"/>
      <c r="CU6" s="761"/>
      <c r="CV6" s="761"/>
      <c r="CW6" s="761"/>
      <c r="CX6" s="761"/>
      <c r="CY6" s="761"/>
      <c r="CZ6" s="761"/>
      <c r="DA6" s="761"/>
      <c r="DB6" s="761"/>
      <c r="DC6" s="761"/>
      <c r="DD6" s="761"/>
      <c r="DE6" s="761"/>
      <c r="DF6" s="761"/>
      <c r="DG6" s="761"/>
    </row>
    <row r="7" spans="2:111" ht="15">
      <c r="B7" s="761" t="s">
        <v>11</v>
      </c>
      <c r="C7" s="787" t="s">
        <v>238</v>
      </c>
      <c r="D7" s="788">
        <f>'Exchange Rates'!D7</f>
        <v>10099.5</v>
      </c>
      <c r="M7" s="787">
        <v>4</v>
      </c>
      <c r="O7" s="761" t="s">
        <v>13</v>
      </c>
      <c r="R7" s="847" t="s">
        <v>95</v>
      </c>
      <c r="S7" s="33"/>
      <c r="T7" s="848">
        <f>IF('Additional Borrowers'!K14="CNY",0,(IFERROR(('Additional Borrowers'!H14/V7),0)))</f>
        <v>0</v>
      </c>
      <c r="U7" s="848"/>
      <c r="V7" s="849" t="str">
        <f>IFERROR(VLOOKUP('Additional Borrowers'!K14,C4:D16,2,FALSE),"")</f>
        <v/>
      </c>
      <c r="W7" s="20"/>
      <c r="X7" s="21"/>
      <c r="Y7" s="847" t="s">
        <v>95</v>
      </c>
      <c r="Z7" s="33"/>
      <c r="AA7" s="848">
        <f>IF('Additional Borrowers'!U14="CNY",0,(IFERROR(('Additional Borrowers'!R14/AC7),0)))</f>
        <v>0</v>
      </c>
      <c r="AB7" s="848"/>
      <c r="AC7" s="849" t="str">
        <f>IFERROR(VLOOKUP('Additional Borrowers'!U14,C4:D16,2,FALSE),"")</f>
        <v/>
      </c>
      <c r="AE7" s="33" t="s">
        <v>32</v>
      </c>
      <c r="AF7" s="41">
        <f>'Additional Borrowers'!Y12</f>
        <v>0</v>
      </c>
      <c r="AG7" s="33">
        <f>'Additional Borrowers'!AQ3</f>
        <v>0</v>
      </c>
      <c r="AH7" s="41">
        <f t="shared" si="0"/>
        <v>0</v>
      </c>
      <c r="AI7" s="33"/>
      <c r="AJ7" s="33"/>
      <c r="AK7" s="33"/>
      <c r="AL7" s="33"/>
      <c r="AM7" s="33"/>
      <c r="AN7" s="860">
        <f>(IF((AM6&gt;AN5),(AN5),(AM6)))*90%</f>
        <v>0</v>
      </c>
      <c r="AO7" s="33"/>
      <c r="AQ7" s="528" t="s">
        <v>97</v>
      </c>
      <c r="AR7" s="42">
        <f>'Servicing Calc'!K36</f>
        <v>0</v>
      </c>
      <c r="AS7" s="828">
        <f>'Servicing Calc'!H36*80%</f>
        <v>0</v>
      </c>
      <c r="AT7" s="829"/>
      <c r="AU7" s="42">
        <f>'Servicing Calc'!K37</f>
        <v>0</v>
      </c>
      <c r="AV7" s="828">
        <f>'Servicing Calc'!H37*80%</f>
        <v>0</v>
      </c>
      <c r="AX7" s="813" t="s">
        <v>147</v>
      </c>
      <c r="AY7" s="814">
        <v>2800</v>
      </c>
      <c r="BV7" s="646" t="s">
        <v>91</v>
      </c>
      <c r="BW7" s="17">
        <f>Z1</f>
        <v>0</v>
      </c>
      <c r="BX7" s="34">
        <f>W1</f>
        <v>0</v>
      </c>
      <c r="BY7" s="640"/>
      <c r="BZ7" s="17">
        <f>Z2</f>
        <v>0</v>
      </c>
      <c r="CA7" s="34">
        <f>W2</f>
        <v>0</v>
      </c>
      <c r="CF7" s="761"/>
      <c r="CG7" s="761" t="s">
        <v>358</v>
      </c>
      <c r="CH7" s="761"/>
      <c r="CI7" s="761"/>
      <c r="CJ7" s="761"/>
      <c r="CK7" s="761"/>
      <c r="CL7" s="761"/>
      <c r="CM7" s="761"/>
      <c r="CN7" s="761"/>
      <c r="CO7" s="761"/>
      <c r="CP7" s="761"/>
      <c r="CQ7" s="761"/>
      <c r="CR7" s="761"/>
      <c r="CS7" s="761"/>
      <c r="CT7" s="761"/>
      <c r="CU7" s="761"/>
      <c r="CV7" s="761"/>
      <c r="CW7" s="761"/>
      <c r="CX7" s="761"/>
      <c r="CY7" s="761"/>
      <c r="CZ7" s="761"/>
      <c r="DA7" s="761"/>
      <c r="DB7" s="761"/>
      <c r="DC7" s="761"/>
      <c r="DD7" s="761"/>
      <c r="DE7" s="761"/>
      <c r="DF7" s="761"/>
      <c r="DG7" s="761"/>
    </row>
    <row r="8" spans="2:111" ht="15">
      <c r="B8" s="761" t="s">
        <v>13</v>
      </c>
      <c r="C8" s="787" t="s">
        <v>239</v>
      </c>
      <c r="D8" s="788">
        <f>'Exchange Rates'!D8</f>
        <v>79.778099999999995</v>
      </c>
      <c r="M8" s="787">
        <v>5</v>
      </c>
      <c r="O8" s="761" t="s">
        <v>21</v>
      </c>
      <c r="R8" s="25"/>
      <c r="S8" s="12"/>
      <c r="T8" s="12"/>
      <c r="U8" s="12"/>
      <c r="V8" s="26"/>
      <c r="W8" s="12"/>
      <c r="X8" s="21"/>
      <c r="Y8" s="12"/>
      <c r="Z8" s="12"/>
      <c r="AA8" s="12"/>
      <c r="AB8" s="12"/>
      <c r="AC8" s="26"/>
      <c r="AE8" s="33" t="s">
        <v>39</v>
      </c>
      <c r="AF8" s="41">
        <f>'Additional Borrowers'!Y13</f>
        <v>0</v>
      </c>
      <c r="AG8" s="33">
        <f>'Additional Borrowers'!AQ4</f>
        <v>0</v>
      </c>
      <c r="AH8" s="41">
        <f t="shared" si="0"/>
        <v>0</v>
      </c>
      <c r="AI8" s="33"/>
      <c r="AJ8" s="33"/>
      <c r="AK8" s="33"/>
      <c r="AL8" s="33"/>
      <c r="AM8" s="33"/>
      <c r="AN8" s="41">
        <f>AF9</f>
        <v>0</v>
      </c>
      <c r="AO8" s="33" t="s">
        <v>40</v>
      </c>
      <c r="AQ8" s="528" t="s">
        <v>99</v>
      </c>
      <c r="AR8" s="828">
        <f>'Servicing Calc'!U22</f>
        <v>0</v>
      </c>
      <c r="AS8" s="828">
        <f>'Servicing Calc'!R22*80%</f>
        <v>0</v>
      </c>
      <c r="AT8" s="829"/>
      <c r="AU8" s="42">
        <f>'Servicing Calc'!U23</f>
        <v>0</v>
      </c>
      <c r="AV8" s="42">
        <f>'Servicing Calc'!R23*80%</f>
        <v>0</v>
      </c>
      <c r="AX8" s="813" t="s">
        <v>149</v>
      </c>
      <c r="AY8" s="814">
        <v>468</v>
      </c>
      <c r="BB8" s="877"/>
      <c r="BC8" s="42">
        <f>((E34+O34+E38)*125%)+((O36*3%))+Y35</f>
        <v>0</v>
      </c>
      <c r="BD8" s="888"/>
      <c r="BE8" s="889" t="s">
        <v>122</v>
      </c>
      <c r="BF8" s="866"/>
      <c r="BG8" s="866"/>
      <c r="BH8" s="848">
        <f>IFERROR((#REF!/BJ8),0)</f>
        <v>0</v>
      </c>
      <c r="BI8" s="866"/>
      <c r="BJ8" s="848" t="e">
        <f>VLOOKUP(#REF!,'Exchange Rates'!C4:D16,2,FALSE)</f>
        <v>#REF!</v>
      </c>
      <c r="BK8" s="707"/>
      <c r="BL8" s="707"/>
      <c r="BM8" s="889" t="s">
        <v>123</v>
      </c>
      <c r="BN8" s="848">
        <f>IFERROR((#REF!/BP8),0)</f>
        <v>0</v>
      </c>
      <c r="BO8" s="868"/>
      <c r="BP8" s="848" t="e">
        <f>VLOOKUP(#REF!,'Exchange Rates'!C4:D16,2,FALSE)</f>
        <v>#REF!</v>
      </c>
      <c r="BV8" s="646" t="s">
        <v>92</v>
      </c>
      <c r="BW8" s="17">
        <f>Z5</f>
        <v>0</v>
      </c>
      <c r="BX8" s="34">
        <f>W5*80%</f>
        <v>0</v>
      </c>
      <c r="BY8" s="640"/>
      <c r="BZ8" s="17">
        <f>Z6</f>
        <v>0</v>
      </c>
      <c r="CA8" s="34">
        <f>W6*80%</f>
        <v>0</v>
      </c>
      <c r="CF8" s="761"/>
      <c r="CG8" s="761"/>
      <c r="CH8" s="761"/>
      <c r="CI8" s="761"/>
      <c r="CJ8" s="761"/>
      <c r="CK8" s="761"/>
      <c r="CL8" s="761"/>
      <c r="CM8" s="761"/>
      <c r="CN8" s="761"/>
      <c r="CO8" s="761"/>
      <c r="CP8" s="761"/>
      <c r="CQ8" s="761"/>
      <c r="CR8" s="761"/>
      <c r="CS8" s="761"/>
      <c r="CT8" s="761"/>
      <c r="CU8" s="761"/>
      <c r="CV8" s="761"/>
      <c r="CW8" s="761"/>
      <c r="CX8" s="761"/>
      <c r="CY8" s="761"/>
      <c r="CZ8" s="761"/>
      <c r="DA8" s="761"/>
      <c r="DB8" s="761"/>
      <c r="DC8" s="761"/>
      <c r="DD8" s="761"/>
      <c r="DE8" s="761"/>
      <c r="DF8" s="761"/>
      <c r="DG8" s="761"/>
    </row>
    <row r="9" spans="2:111" ht="15">
      <c r="B9" s="761" t="s">
        <v>21</v>
      </c>
      <c r="C9" s="787" t="s">
        <v>241</v>
      </c>
      <c r="D9" s="788">
        <f>'Exchange Rates'!D9</f>
        <v>5.89</v>
      </c>
      <c r="O9" s="761" t="s">
        <v>31</v>
      </c>
      <c r="R9" s="25"/>
      <c r="S9" s="12"/>
      <c r="T9" s="12"/>
      <c r="U9" s="12"/>
      <c r="V9" s="26"/>
      <c r="W9" s="12"/>
      <c r="X9" s="21"/>
      <c r="Y9" s="12"/>
      <c r="Z9" s="12"/>
      <c r="AA9" s="12"/>
      <c r="AB9" s="12"/>
      <c r="AC9" s="26"/>
      <c r="AE9" s="33"/>
      <c r="AF9" s="41">
        <f>SUM(AF5:AF8)</f>
        <v>0</v>
      </c>
      <c r="AG9" s="41">
        <f>SUM(AG5:AG8)</f>
        <v>0</v>
      </c>
      <c r="AH9" s="41">
        <f>SUM(AH5:AH8)</f>
        <v>0</v>
      </c>
      <c r="AI9" s="33"/>
      <c r="AJ9" s="41">
        <f>SUM(AJ5:AJ8)</f>
        <v>0</v>
      </c>
      <c r="AK9" s="41">
        <f>SUM(AK5:AK8)</f>
        <v>0</v>
      </c>
      <c r="AL9" s="41">
        <f>SUM(AL5:AL8)</f>
        <v>0</v>
      </c>
      <c r="AM9" s="33"/>
      <c r="AN9" s="41">
        <f>AH9</f>
        <v>0</v>
      </c>
      <c r="AO9" s="33" t="s">
        <v>44</v>
      </c>
      <c r="AQ9" s="528" t="s">
        <v>100</v>
      </c>
      <c r="AR9" s="828">
        <f>'Servicing Calc'!U26</f>
        <v>0</v>
      </c>
      <c r="AS9" s="42">
        <f>'Servicing Calc'!R26*80%</f>
        <v>0</v>
      </c>
      <c r="AT9" s="829"/>
      <c r="AU9" s="42">
        <f>'Servicing Calc'!U27</f>
        <v>0</v>
      </c>
      <c r="AV9" s="42">
        <f>'Servicing Calc'!R27*80%</f>
        <v>0</v>
      </c>
      <c r="AX9" s="815" t="s">
        <v>27</v>
      </c>
      <c r="AY9" s="816">
        <v>50000</v>
      </c>
      <c r="BB9" s="877"/>
      <c r="BC9" s="707"/>
      <c r="BD9" s="1187" t="s">
        <v>124</v>
      </c>
      <c r="BE9" s="1188"/>
      <c r="BF9" s="865"/>
      <c r="BG9" s="866"/>
      <c r="BH9" s="848">
        <f>IFERROR((#REF!/BJ9),0)</f>
        <v>0</v>
      </c>
      <c r="BI9" s="866"/>
      <c r="BJ9" s="848" t="e">
        <f>VLOOKUP(#REF!,'Exchange Rates'!C4:D16,2,FALSE)</f>
        <v>#REF!</v>
      </c>
      <c r="BK9" s="707"/>
      <c r="BL9" s="707"/>
      <c r="BM9" s="890" t="s">
        <v>125</v>
      </c>
      <c r="BN9" s="848">
        <f>IFERROR((#REF!/BP9),0)</f>
        <v>0</v>
      </c>
      <c r="BO9" s="868"/>
      <c r="BP9" s="848" t="e">
        <f>VLOOKUP(#REF!,'Exchange Rates'!C4:D16,2,FALSE)</f>
        <v>#REF!</v>
      </c>
      <c r="BV9" s="646" t="s">
        <v>94</v>
      </c>
      <c r="BW9" s="17">
        <f>Z10</f>
        <v>0</v>
      </c>
      <c r="BX9" s="34">
        <f>W10</f>
        <v>0</v>
      </c>
      <c r="BY9" s="640"/>
      <c r="BZ9" s="17">
        <f>Z11</f>
        <v>0</v>
      </c>
      <c r="CA9" s="34">
        <f>W11</f>
        <v>0</v>
      </c>
      <c r="CF9" s="761"/>
      <c r="CG9" s="761"/>
      <c r="CH9" s="761"/>
      <c r="CI9" s="761"/>
      <c r="CJ9" s="761"/>
      <c r="CK9" s="761"/>
      <c r="CL9" s="761"/>
      <c r="CM9" s="761"/>
      <c r="CN9" s="761"/>
      <c r="CO9" s="761"/>
      <c r="CP9" s="761"/>
      <c r="CQ9" s="761"/>
      <c r="CR9" s="761"/>
      <c r="CS9" s="761"/>
      <c r="CT9" s="761"/>
      <c r="CU9" s="761"/>
      <c r="CV9" s="761"/>
      <c r="CW9" s="761"/>
      <c r="CX9" s="761"/>
      <c r="CY9" s="761"/>
      <c r="CZ9" s="761"/>
      <c r="DA9" s="761"/>
      <c r="DB9" s="761"/>
      <c r="DC9" s="761"/>
      <c r="DD9" s="761"/>
      <c r="DE9" s="761"/>
      <c r="DF9" s="761"/>
      <c r="DG9" s="761"/>
    </row>
    <row r="10" spans="2:111" ht="16.5">
      <c r="B10" s="761" t="s">
        <v>31</v>
      </c>
      <c r="C10" s="787" t="s">
        <v>242</v>
      </c>
      <c r="D10" s="788">
        <f>'Exchange Rates'!D10</f>
        <v>3.06</v>
      </c>
      <c r="O10" s="761" t="s">
        <v>38</v>
      </c>
      <c r="R10" s="25"/>
      <c r="S10" s="12"/>
      <c r="T10" s="12"/>
      <c r="U10" s="12"/>
      <c r="V10" s="26"/>
      <c r="W10" s="12"/>
      <c r="X10" s="21"/>
      <c r="Y10" s="12"/>
      <c r="Z10" s="12"/>
      <c r="AA10" s="12"/>
      <c r="AB10" s="12"/>
      <c r="AC10" s="26"/>
      <c r="AE10" s="857" t="s">
        <v>49</v>
      </c>
      <c r="AF10" s="858" t="s">
        <v>50</v>
      </c>
      <c r="AG10" s="858"/>
      <c r="AH10" s="857" t="s">
        <v>51</v>
      </c>
      <c r="AI10" s="858"/>
      <c r="AJ10" s="858"/>
      <c r="AK10" s="33" t="s">
        <v>52</v>
      </c>
      <c r="AL10" s="33" t="s">
        <v>53</v>
      </c>
      <c r="AM10" s="858"/>
      <c r="AN10" s="855">
        <f>SUM(AN7:AN9)</f>
        <v>0</v>
      </c>
      <c r="AO10" s="856" t="s">
        <v>54</v>
      </c>
      <c r="AQ10" s="528" t="s">
        <v>101</v>
      </c>
      <c r="AR10" s="828">
        <f>'Servicing Calc'!U31</f>
        <v>0</v>
      </c>
      <c r="AS10" s="42">
        <f>'Servicing Calc'!R31*80%</f>
        <v>0</v>
      </c>
      <c r="AT10" s="829"/>
      <c r="AU10" s="42">
        <f>'Servicing Calc'!U32</f>
        <v>0</v>
      </c>
      <c r="AV10" s="42">
        <f>'Servicing Calc'!R32*80%</f>
        <v>0</v>
      </c>
      <c r="AX10" s="815" t="s">
        <v>34</v>
      </c>
      <c r="AY10" s="817">
        <f>AY9/D14</f>
        <v>70965.269597059203</v>
      </c>
      <c r="BB10" s="893" t="s">
        <v>51</v>
      </c>
      <c r="BC10" s="42">
        <f>((AD33+AD34+AD35)*125%)+(((AJ33+AJ34)*3%))</f>
        <v>0</v>
      </c>
      <c r="BD10" s="888"/>
      <c r="BE10" s="889" t="s">
        <v>127</v>
      </c>
      <c r="BF10" s="866"/>
      <c r="BG10" s="866"/>
      <c r="BH10" s="848" cm="1">
        <f t="array" ref="BH10">IFERROR(([0]!H63\/BJ10),0)</f>
        <v>0</v>
      </c>
      <c r="BI10" s="866"/>
      <c r="BJ10" s="848" t="e">
        <f>VLOOKUP(#REF!,'Exchange Rates'!C4:D16,2,FALSE)</f>
        <v>#REF!</v>
      </c>
      <c r="BK10" s="707"/>
      <c r="BL10" s="707"/>
      <c r="BM10" s="878"/>
      <c r="BN10" s="707"/>
      <c r="BO10" s="707"/>
      <c r="BP10" s="879"/>
      <c r="BV10" s="646" t="s">
        <v>97</v>
      </c>
      <c r="BW10" s="17">
        <f>Z15</f>
        <v>0</v>
      </c>
      <c r="BX10" s="34">
        <f>W15*80%</f>
        <v>0</v>
      </c>
      <c r="BY10" s="640"/>
      <c r="BZ10" s="17">
        <f>Z16</f>
        <v>0</v>
      </c>
      <c r="CA10" s="34">
        <f>W16*80%</f>
        <v>0</v>
      </c>
      <c r="CF10" s="761"/>
      <c r="CG10" s="761"/>
      <c r="CH10" s="761"/>
      <c r="CI10" s="761"/>
      <c r="CJ10" s="761"/>
      <c r="CK10" s="761"/>
      <c r="CL10" s="761"/>
      <c r="CM10" s="761"/>
      <c r="CN10" s="761"/>
      <c r="CO10" s="761"/>
      <c r="CP10" s="761"/>
      <c r="CQ10" s="761"/>
      <c r="CR10" s="761"/>
      <c r="CS10" s="761"/>
      <c r="CT10" s="761"/>
      <c r="CU10" s="761"/>
      <c r="CV10" s="761"/>
      <c r="CW10" s="761"/>
      <c r="CX10" s="761"/>
      <c r="CY10" s="761"/>
      <c r="CZ10" s="761"/>
      <c r="DA10" s="761"/>
      <c r="DB10" s="761"/>
      <c r="DC10" s="761"/>
      <c r="DD10" s="761"/>
      <c r="DE10" s="761"/>
      <c r="DF10" s="761"/>
      <c r="DG10" s="761"/>
    </row>
    <row r="11" spans="2:111" ht="15">
      <c r="B11" s="761" t="s">
        <v>38</v>
      </c>
      <c r="C11" s="787" t="s">
        <v>243</v>
      </c>
      <c r="D11" s="788">
        <f>'Exchange Rates'!D11</f>
        <v>0.95515000000000005</v>
      </c>
      <c r="O11" s="761" t="s">
        <v>43</v>
      </c>
      <c r="R11" s="1183" t="s">
        <v>102</v>
      </c>
      <c r="S11" s="1184"/>
      <c r="T11" s="1184"/>
      <c r="U11" s="1184"/>
      <c r="V11" s="1185"/>
      <c r="W11" s="27"/>
      <c r="X11" s="16"/>
      <c r="Y11" s="1183" t="s">
        <v>103</v>
      </c>
      <c r="Z11" s="1184"/>
      <c r="AA11" s="1184"/>
      <c r="AB11" s="1184"/>
      <c r="AC11" s="1185"/>
      <c r="AE11" s="33"/>
      <c r="AF11" s="33" t="s">
        <v>59</v>
      </c>
      <c r="AG11" s="33" t="s">
        <v>60</v>
      </c>
      <c r="AH11" s="33" t="s">
        <v>59</v>
      </c>
      <c r="AI11" s="33" t="s">
        <v>60</v>
      </c>
      <c r="AJ11" s="33"/>
      <c r="AK11" s="33"/>
      <c r="AL11" s="33"/>
      <c r="AM11" s="861"/>
      <c r="AN11" s="33"/>
      <c r="AO11" s="33"/>
      <c r="AQ11" s="528" t="s">
        <v>104</v>
      </c>
      <c r="AR11" s="828">
        <f>'Servicing Calc'!U36</f>
        <v>0</v>
      </c>
      <c r="AS11" s="42">
        <f>'Servicing Calc'!R36*80%</f>
        <v>0</v>
      </c>
      <c r="AT11" s="830"/>
      <c r="AU11" s="42">
        <f>'Servicing Calc'!U37</f>
        <v>0</v>
      </c>
      <c r="AV11" s="42">
        <f>'Servicing Calc'!R37*80%</f>
        <v>0</v>
      </c>
      <c r="AX11" s="646"/>
      <c r="AY11" s="789">
        <f>SUM('Servicing Calc'!E22:'Servicing Calc'!E23)+SUM('Servicing Calc'!E31:E32)+SUM('Servicing Calc'!Z22:Z36)+(SUM('Servicing Calc'!E36:E37)*80%)+(SUM('Servicing Calc'!O22:O23)*80%)+(SUM('Servicing Calc'!O26:O27)*0.8)+(SUM('Servicing Calc'!O31:O32)*80%)+(SUM('Servicing Calc'!O36:O37)*80%)+(SUM('Servicing Calc'!E26:E27)*80%)+'Additional Borrowers'!Y12</f>
        <v>0</v>
      </c>
      <c r="BB11" s="830"/>
      <c r="BC11" s="830"/>
      <c r="BD11" s="830"/>
      <c r="BE11" s="830"/>
      <c r="BF11" s="830"/>
      <c r="BG11" s="830"/>
      <c r="BH11" s="830"/>
      <c r="BI11" s="830"/>
      <c r="BJ11" s="830"/>
      <c r="BK11" s="830"/>
      <c r="BL11" s="830"/>
      <c r="BM11" s="830"/>
      <c r="BN11" s="830"/>
      <c r="BO11" s="830"/>
      <c r="BP11" s="830"/>
      <c r="BV11" s="646" t="s">
        <v>99</v>
      </c>
      <c r="BW11" s="34">
        <f>AJ1</f>
        <v>0</v>
      </c>
      <c r="BX11" s="34">
        <f>AG1*80%</f>
        <v>0</v>
      </c>
      <c r="BY11" s="640"/>
      <c r="BZ11" s="17" t="str">
        <f>AJ2</f>
        <v>Debts</v>
      </c>
      <c r="CA11" s="17" t="e">
        <f>AG2*80%</f>
        <v>#VALUE!</v>
      </c>
      <c r="CF11" s="761"/>
      <c r="CG11" s="761"/>
      <c r="CH11" s="761"/>
      <c r="CI11" s="761"/>
      <c r="CJ11" s="761"/>
      <c r="CK11" s="761"/>
      <c r="CL11" s="761"/>
      <c r="CM11" s="761"/>
      <c r="CN11" s="761"/>
      <c r="CO11" s="761"/>
      <c r="CP11" s="761"/>
      <c r="CQ11" s="761"/>
      <c r="CR11" s="761"/>
      <c r="CS11" s="761"/>
      <c r="CT11" s="761"/>
      <c r="CU11" s="761"/>
      <c r="CV11" s="761"/>
      <c r="CW11" s="761"/>
      <c r="CX11" s="761"/>
      <c r="CY11" s="761"/>
      <c r="CZ11" s="761"/>
      <c r="DA11" s="761"/>
      <c r="DB11" s="761"/>
      <c r="DC11" s="761"/>
      <c r="DD11" s="761"/>
      <c r="DE11" s="761"/>
      <c r="DF11" s="761"/>
      <c r="DG11" s="761"/>
    </row>
    <row r="12" spans="2:111" ht="15">
      <c r="B12" s="761" t="s">
        <v>43</v>
      </c>
      <c r="C12" s="787" t="s">
        <v>244</v>
      </c>
      <c r="D12" s="788">
        <f>'Exchange Rates'!D12</f>
        <v>879.87</v>
      </c>
      <c r="O12" s="761" t="s">
        <v>48</v>
      </c>
      <c r="R12" s="847" t="s">
        <v>90</v>
      </c>
      <c r="S12" s="33"/>
      <c r="T12" s="848">
        <f>IF('Servicing Calc'!K31="CNY",0,(IFERROR(('Servicing Calc'!H31/V12),0)))</f>
        <v>0</v>
      </c>
      <c r="U12" s="848"/>
      <c r="V12" s="849" t="str">
        <f>IFERROR(VLOOKUP('Servicing Calc'!K31,C4:D16,2,FALSE),"")</f>
        <v/>
      </c>
      <c r="W12" s="20"/>
      <c r="X12" s="21"/>
      <c r="Y12" s="847" t="s">
        <v>90</v>
      </c>
      <c r="Z12" s="33"/>
      <c r="AA12" s="848">
        <f>IF('Servicing Calc'!U31="CNY",0,(IFERROR(('Servicing Calc'!R31/AC12),0)))</f>
        <v>0</v>
      </c>
      <c r="AB12" s="848"/>
      <c r="AC12" s="849" t="str">
        <f>IFERROR(VLOOKUP('Servicing Calc'!U31,$C$4:$D$16,2,0),"")</f>
        <v/>
      </c>
      <c r="AE12" s="847" t="s">
        <v>64</v>
      </c>
      <c r="AF12" s="33">
        <f>('Servicing Calc'!E50*AY6)+('Servicing Calc'!E51*AY7)+('Servicing Calc'!E52*AY8)</f>
        <v>0</v>
      </c>
      <c r="AG12" s="41">
        <f>'Servicing Calc'!E53</f>
        <v>0</v>
      </c>
      <c r="AH12" s="33">
        <f>SUM(R38:Y38)</f>
        <v>0</v>
      </c>
      <c r="AI12" s="50">
        <f>T34</f>
        <v>0</v>
      </c>
      <c r="AJ12" s="33">
        <f>(IF(AG12&gt;AF12,AG12,AF12)+(IF(AI12&gt;AH12,AI12,AH12)))</f>
        <v>0</v>
      </c>
      <c r="AK12" s="33">
        <f>SUM('Servicing Calc'!H50+('Servicing Calc'!H51*2))</f>
        <v>0</v>
      </c>
      <c r="AL12" s="50">
        <f>(AY10*(SUM(AK12:AK15)))+'Additional Borrowers'!BS10</f>
        <v>0</v>
      </c>
      <c r="AM12" s="861"/>
      <c r="AN12" s="47">
        <f>AJ9+AL9+AN15</f>
        <v>0</v>
      </c>
      <c r="AO12" s="48" t="s">
        <v>65</v>
      </c>
      <c r="AQ12" s="825"/>
      <c r="AR12" s="831" t="s">
        <v>106</v>
      </c>
      <c r="AS12" s="831"/>
      <c r="AT12" s="638"/>
      <c r="AU12" s="831" t="s">
        <v>106</v>
      </c>
      <c r="AV12" s="831"/>
      <c r="AX12" s="646"/>
      <c r="AY12" s="789">
        <f>AA14+BC24</f>
        <v>0</v>
      </c>
      <c r="BV12" s="646" t="s">
        <v>100</v>
      </c>
      <c r="BW12" s="17">
        <f>AJ5</f>
        <v>0</v>
      </c>
      <c r="BX12" s="17">
        <f>AG5*80%</f>
        <v>0</v>
      </c>
      <c r="BY12" s="640"/>
      <c r="BZ12" s="17">
        <f>AJ6</f>
        <v>0</v>
      </c>
      <c r="CA12" s="17">
        <f>AG6*80%</f>
        <v>0</v>
      </c>
      <c r="CF12" s="761"/>
      <c r="CG12" s="761"/>
      <c r="CH12" s="761"/>
      <c r="CI12" s="761"/>
      <c r="CJ12" s="761"/>
      <c r="CK12" s="761"/>
      <c r="CL12" s="761"/>
      <c r="CM12" s="761"/>
      <c r="CN12" s="761"/>
      <c r="CO12" s="761"/>
      <c r="CP12" s="761"/>
      <c r="CQ12" s="761"/>
      <c r="CR12" s="761"/>
      <c r="CS12" s="761"/>
      <c r="CT12" s="761"/>
      <c r="CU12" s="761"/>
      <c r="CV12" s="761"/>
      <c r="CW12" s="761"/>
      <c r="CX12" s="761"/>
      <c r="CY12" s="761"/>
      <c r="CZ12" s="761"/>
      <c r="DA12" s="761"/>
      <c r="DB12" s="761"/>
      <c r="DC12" s="761"/>
      <c r="DD12" s="761"/>
      <c r="DE12" s="761"/>
      <c r="DF12" s="761"/>
      <c r="DG12" s="761"/>
    </row>
    <row r="13" spans="2:111" ht="15">
      <c r="B13" s="761" t="s">
        <v>48</v>
      </c>
      <c r="C13" s="787" t="s">
        <v>245</v>
      </c>
      <c r="D13" s="788">
        <f>'Exchange Rates'!D13</f>
        <v>20.67</v>
      </c>
      <c r="O13" s="761" t="s">
        <v>58</v>
      </c>
      <c r="R13" s="847" t="s">
        <v>33</v>
      </c>
      <c r="S13" s="33"/>
      <c r="T13" s="848">
        <f>IF('Servicing Calc'!K32="CNY",0,(IFERROR(('Servicing Calc'!H32/V13),0)))</f>
        <v>0</v>
      </c>
      <c r="U13" s="848"/>
      <c r="V13" s="849" t="str">
        <f>IFERROR(VLOOKUP('Servicing Calc'!K32,C4:D16,2,FALSE),"")</f>
        <v/>
      </c>
      <c r="W13" s="20"/>
      <c r="X13" s="21"/>
      <c r="Y13" s="847" t="s">
        <v>33</v>
      </c>
      <c r="Z13" s="33"/>
      <c r="AA13" s="848">
        <f>IF('Servicing Calc'!U32="CNY",0,(IFERROR(('Servicing Calc'!R32/AC13),0)))</f>
        <v>0</v>
      </c>
      <c r="AB13" s="848"/>
      <c r="AC13" s="849" t="str">
        <f>IFERROR(VLOOKUP('Servicing Calc'!U32,$C$4:$D$16,2,0),"")</f>
        <v/>
      </c>
      <c r="AE13" s="847" t="s">
        <v>70</v>
      </c>
      <c r="AF13" s="33">
        <f>('Servicing Calc'!E50*AY6)+('Servicing Calc'!E51*AY7)+('Servicing Calc'!E52*AY8)</f>
        <v>0</v>
      </c>
      <c r="AG13" s="41">
        <f>'Servicing Calc'!O53</f>
        <v>0</v>
      </c>
      <c r="AH13" s="33">
        <f>SUM(Z38:AG38)</f>
        <v>0</v>
      </c>
      <c r="AI13" s="41">
        <f>AA34</f>
        <v>0</v>
      </c>
      <c r="AJ13" s="33">
        <f t="shared" ref="AJ13:AJ15" si="1">(IF(AG13&gt;AF13,AG13,AF13)+(IF(AI13&gt;AH13,AI13,AH13)))</f>
        <v>0</v>
      </c>
      <c r="AK13" s="33">
        <f>SUM('Servicing Calc'!R50+('Servicing Calc'!R51*2))</f>
        <v>0</v>
      </c>
      <c r="AL13" s="33"/>
      <c r="AM13" s="33"/>
      <c r="AN13" s="49">
        <f>IF(AS31=0, AY20,0)</f>
        <v>0</v>
      </c>
      <c r="AO13" s="49" t="s">
        <v>71</v>
      </c>
      <c r="AQ13" s="528"/>
      <c r="AR13" s="528" t="s">
        <v>109</v>
      </c>
      <c r="AS13" s="832">
        <f>SUMIF(AR4:AR11,AR13,AS4:AS11)</f>
        <v>0</v>
      </c>
      <c r="AT13" s="830"/>
      <c r="AU13" s="528" t="s">
        <v>109</v>
      </c>
      <c r="AV13" s="832">
        <f>SUMIF(AU4:AU11,AU13,AV4:AV11)</f>
        <v>0</v>
      </c>
      <c r="AY13" s="789">
        <f>SUM(T4:T7)+SUM(AA4:AA7)+SUM(T24:T27)+SUM(AA24:AA27)</f>
        <v>0</v>
      </c>
      <c r="BB13" s="28">
        <f>BB22+SUM(AG21:AG23)+SUM(BF22:BF24)</f>
        <v>0</v>
      </c>
      <c r="BC13" s="806"/>
      <c r="BD13" s="806"/>
      <c r="BE13" s="806"/>
      <c r="BF13" s="807" t="s">
        <v>84</v>
      </c>
      <c r="BG13" s="807"/>
      <c r="BH13" s="807" t="s">
        <v>80</v>
      </c>
      <c r="BI13" s="806"/>
      <c r="BJ13" s="806"/>
      <c r="BK13" s="806"/>
      <c r="BL13" s="806"/>
      <c r="BM13" s="807" t="s">
        <v>84</v>
      </c>
      <c r="BN13" s="807"/>
      <c r="BO13" s="807" t="s">
        <v>80</v>
      </c>
      <c r="BP13" s="806"/>
      <c r="BQ13" s="806"/>
      <c r="BR13" s="880"/>
      <c r="BS13" s="806"/>
      <c r="BT13" s="806"/>
      <c r="BV13" s="646" t="s">
        <v>101</v>
      </c>
      <c r="BW13" s="17">
        <f>AJ10</f>
        <v>0</v>
      </c>
      <c r="BX13" s="17">
        <f>AG10*80%</f>
        <v>0</v>
      </c>
      <c r="BY13" s="640"/>
      <c r="BZ13" s="17">
        <f>AJ11</f>
        <v>0</v>
      </c>
      <c r="CA13" s="17" t="e">
        <f>AG11*80%</f>
        <v>#VALUE!</v>
      </c>
      <c r="CF13" s="761"/>
      <c r="CG13" s="761"/>
      <c r="CH13" s="761"/>
      <c r="CI13" s="761"/>
      <c r="CJ13" s="761"/>
      <c r="CK13" s="761"/>
      <c r="CL13" s="761"/>
      <c r="CM13" s="761"/>
      <c r="CN13" s="761"/>
      <c r="CO13" s="761"/>
      <c r="CP13" s="761"/>
      <c r="CQ13" s="761"/>
      <c r="CR13" s="761"/>
      <c r="CS13" s="761"/>
      <c r="CT13" s="761"/>
      <c r="CU13" s="761"/>
      <c r="CV13" s="761"/>
      <c r="CW13" s="761"/>
      <c r="CX13" s="761"/>
      <c r="CY13" s="761"/>
      <c r="CZ13" s="761"/>
      <c r="DA13" s="761"/>
      <c r="DB13" s="761"/>
      <c r="DC13" s="761"/>
      <c r="DD13" s="761"/>
      <c r="DE13" s="761"/>
      <c r="DF13" s="761"/>
      <c r="DG13" s="761"/>
    </row>
    <row r="14" spans="2:111">
      <c r="B14" s="761" t="s">
        <v>58</v>
      </c>
      <c r="C14" s="787" t="s">
        <v>27</v>
      </c>
      <c r="D14" s="788">
        <f>'Exchange Rates'!D14</f>
        <v>0.70457000000000003</v>
      </c>
      <c r="O14" s="761" t="s">
        <v>63</v>
      </c>
      <c r="R14" s="847" t="s">
        <v>93</v>
      </c>
      <c r="S14" s="33"/>
      <c r="T14" s="848">
        <f>IF('Additional Borrowers'!K22="CNY",0,(IFERROR(('Additional Borrowers'!H22/V14),0)))</f>
        <v>0</v>
      </c>
      <c r="U14" s="848"/>
      <c r="V14" s="849" t="str">
        <f>IFERROR(VLOOKUP('Additional Borrowers'!K22,C4:D16,2,FALSE),"")</f>
        <v/>
      </c>
      <c r="W14" s="20"/>
      <c r="X14" s="21"/>
      <c r="Y14" s="847" t="s">
        <v>93</v>
      </c>
      <c r="Z14" s="33"/>
      <c r="AA14" s="848">
        <f>IF('Additional Borrowers'!U22="CNY",0,(IFERROR(('Additional Borrowers'!R22/AC14),0)))</f>
        <v>0</v>
      </c>
      <c r="AB14" s="848"/>
      <c r="AC14" s="849" t="str">
        <f>IFERROR(VLOOKUP('Additional Borrowers'!U22,$C$4:$D$16,2,FALSE),"")</f>
        <v/>
      </c>
      <c r="AE14" s="847" t="s">
        <v>72</v>
      </c>
      <c r="AF14" s="41">
        <f>'Additional Borrowers'!AP10</f>
        <v>0</v>
      </c>
      <c r="AG14" s="41">
        <f>'Additional Borrowers'!AQ10</f>
        <v>0</v>
      </c>
      <c r="AH14" s="33">
        <f>'Additional Borrowers'!BO10</f>
        <v>0</v>
      </c>
      <c r="AI14" s="33">
        <f>'Additional Borrowers'!BP10</f>
        <v>0</v>
      </c>
      <c r="AJ14" s="33">
        <f t="shared" si="1"/>
        <v>0</v>
      </c>
      <c r="AK14" s="861"/>
      <c r="AL14" s="33"/>
      <c r="AM14" s="33"/>
      <c r="AN14" s="33"/>
      <c r="AO14" s="33"/>
      <c r="AQ14" s="528"/>
      <c r="AR14" s="833">
        <f>D5</f>
        <v>4.5226600000000001</v>
      </c>
      <c r="AS14" s="830"/>
      <c r="AT14" s="834"/>
      <c r="AU14" s="833">
        <f>D5</f>
        <v>4.5226600000000001</v>
      </c>
      <c r="AV14" s="830"/>
      <c r="AY14" s="791">
        <f>SUM(T12:T15)+(SUM(AA12:AA15)*0.8)</f>
        <v>0</v>
      </c>
      <c r="BB14" s="881"/>
      <c r="BC14" s="882"/>
      <c r="BD14" s="892" t="s">
        <v>142</v>
      </c>
      <c r="BE14" s="707"/>
      <c r="BF14" s="884">
        <f>IFERROR((AJ18/BH14),0)</f>
        <v>0</v>
      </c>
      <c r="BG14" s="707"/>
      <c r="BH14" s="885" t="e">
        <f>VLOOKUP('GL&amp;EE TOOL'!AJ18,'Exchange Rates'!#REF!,2,FALSE)</f>
        <v>#REF!</v>
      </c>
      <c r="BI14" s="893"/>
      <c r="BJ14" s="707"/>
      <c r="BK14" s="883" t="s">
        <v>142</v>
      </c>
      <c r="BL14" s="707"/>
      <c r="BM14" s="886">
        <f>IFERROR((AT18/BO14),0)</f>
        <v>0</v>
      </c>
      <c r="BN14" s="707"/>
      <c r="BO14" s="884" t="e">
        <f>VLOOKUP('GL&amp;EE TOOL'!AO18,'Exchange Rates'!#REF!,2,FALSE)</f>
        <v>#REF!</v>
      </c>
      <c r="BP14" s="707"/>
      <c r="BQ14" s="707"/>
      <c r="BR14" s="879"/>
      <c r="BS14" s="707"/>
      <c r="BT14" s="707"/>
      <c r="BV14" s="646" t="s">
        <v>104</v>
      </c>
      <c r="BW14" s="17">
        <f>AJ15</f>
        <v>0</v>
      </c>
      <c r="BX14" s="17">
        <f>AG15*80%</f>
        <v>0</v>
      </c>
      <c r="BY14" s="647"/>
      <c r="BZ14" s="17">
        <f>AJ16</f>
        <v>0</v>
      </c>
      <c r="CA14" s="17">
        <f>AG16*80%</f>
        <v>0</v>
      </c>
      <c r="CF14" s="761"/>
      <c r="CG14" s="761"/>
      <c r="CH14" s="761"/>
      <c r="CI14" s="761"/>
      <c r="CJ14" s="761"/>
      <c r="CK14" s="761"/>
      <c r="CL14" s="761"/>
      <c r="CM14" s="761"/>
      <c r="CN14" s="761"/>
      <c r="CO14" s="761"/>
      <c r="CP14" s="761"/>
      <c r="CQ14" s="761"/>
      <c r="CR14" s="761"/>
      <c r="CS14" s="761"/>
      <c r="CT14" s="761"/>
      <c r="CU14" s="761"/>
      <c r="CV14" s="761"/>
      <c r="CW14" s="761"/>
      <c r="CX14" s="761"/>
      <c r="CY14" s="761"/>
      <c r="CZ14" s="761"/>
      <c r="DA14" s="761"/>
      <c r="DB14" s="761"/>
      <c r="DC14" s="761"/>
      <c r="DD14" s="761"/>
      <c r="DE14" s="761"/>
      <c r="DF14" s="761"/>
      <c r="DG14" s="761"/>
    </row>
    <row r="15" spans="2:111" ht="15">
      <c r="B15" s="761" t="s">
        <v>63</v>
      </c>
      <c r="C15" s="787" t="s">
        <v>246</v>
      </c>
      <c r="D15" s="788">
        <f>'Exchange Rates'!D15</f>
        <v>0.51815999999999995</v>
      </c>
      <c r="O15" s="761" t="s">
        <v>69</v>
      </c>
      <c r="R15" s="847" t="s">
        <v>95</v>
      </c>
      <c r="S15" s="33"/>
      <c r="T15" s="848">
        <f>IF('Additional Borrowers'!K23="CNY",0,(IFERROR(('Additional Borrowers'!H23/V15),0)))</f>
        <v>0</v>
      </c>
      <c r="U15" s="848"/>
      <c r="V15" s="849" t="str">
        <f>IFERROR(VLOOKUP('Additional Borrowers'!K23,C4:D16,2,FALSE),"")</f>
        <v/>
      </c>
      <c r="W15" s="20"/>
      <c r="X15" s="21"/>
      <c r="Y15" s="847" t="s">
        <v>95</v>
      </c>
      <c r="Z15" s="33"/>
      <c r="AA15" s="848">
        <f>IF('Additional Borrowers'!U23="CNY",0,(IFERROR(('Additional Borrowers'!R23/AC15),0)))</f>
        <v>0</v>
      </c>
      <c r="AB15" s="848"/>
      <c r="AC15" s="849" t="str">
        <f>IFERROR(VLOOKUP('Additional Borrowers'!U23,$C$4:$D$16,2,FALSE),"")</f>
        <v/>
      </c>
      <c r="AE15" s="847" t="s">
        <v>76</v>
      </c>
      <c r="AF15" s="33">
        <f>'Additional Borrowers'!AP11</f>
        <v>0</v>
      </c>
      <c r="AG15" s="41">
        <f>'Additional Borrowers'!AQ11</f>
        <v>0</v>
      </c>
      <c r="AH15" s="33">
        <f>'Additional Borrowers'!BO11</f>
        <v>0</v>
      </c>
      <c r="AI15" s="41">
        <f>'Additional Borrowers'!BP11</f>
        <v>0</v>
      </c>
      <c r="AJ15" s="33">
        <f t="shared" si="1"/>
        <v>0</v>
      </c>
      <c r="AK15" s="861"/>
      <c r="AL15" s="861"/>
      <c r="AM15" s="861"/>
      <c r="AN15" s="41">
        <f>IF((AG9=0),AK5,AP7)</f>
        <v>0</v>
      </c>
      <c r="AO15" s="33"/>
      <c r="AQ15" s="528"/>
      <c r="AR15" s="528" t="s">
        <v>84</v>
      </c>
      <c r="AS15" s="42">
        <f>AS13/AR14</f>
        <v>0</v>
      </c>
      <c r="AT15" s="830"/>
      <c r="AU15" s="528" t="s">
        <v>84</v>
      </c>
      <c r="AV15" s="42">
        <f>AV13/AU14</f>
        <v>0</v>
      </c>
      <c r="AY15" s="793">
        <f>(SUM(T18:T21)+SUM(AA18:AA21)*0.8)</f>
        <v>0</v>
      </c>
      <c r="BB15" s="891" t="s">
        <v>145</v>
      </c>
      <c r="BC15" s="707">
        <v>1300</v>
      </c>
      <c r="BD15" s="707"/>
      <c r="BE15" s="707"/>
      <c r="BF15" s="707"/>
      <c r="BG15" s="707"/>
      <c r="BH15" s="707"/>
      <c r="BI15" s="707"/>
      <c r="BJ15" s="707"/>
      <c r="BK15" s="707"/>
      <c r="BL15" s="707"/>
      <c r="BM15" s="707"/>
      <c r="BN15" s="707"/>
      <c r="BO15" s="707"/>
      <c r="BP15" s="707"/>
      <c r="BQ15" s="707"/>
      <c r="BR15" s="879"/>
      <c r="BS15" s="707"/>
      <c r="BT15" s="707"/>
      <c r="BV15" s="646"/>
      <c r="BW15" s="682" t="s">
        <v>106</v>
      </c>
      <c r="BX15" s="682"/>
      <c r="BY15" s="647"/>
      <c r="BZ15" s="682" t="s">
        <v>106</v>
      </c>
      <c r="CA15" s="682"/>
      <c r="CF15" s="761"/>
      <c r="CG15" s="761"/>
      <c r="CH15" s="761"/>
      <c r="CI15" s="761"/>
      <c r="CJ15" s="761"/>
      <c r="CK15" s="761"/>
      <c r="CL15" s="761"/>
      <c r="CM15" s="761"/>
      <c r="CN15" s="761"/>
      <c r="CO15" s="761"/>
      <c r="CP15" s="761"/>
      <c r="CQ15" s="761"/>
      <c r="CR15" s="761"/>
      <c r="CS15" s="761"/>
      <c r="CT15" s="761"/>
      <c r="CU15" s="761"/>
      <c r="CV15" s="761"/>
      <c r="CW15" s="761"/>
      <c r="CX15" s="761"/>
      <c r="CY15" s="761"/>
      <c r="CZ15" s="761"/>
      <c r="DA15" s="761"/>
      <c r="DB15" s="761"/>
      <c r="DC15" s="761"/>
      <c r="DD15" s="761"/>
      <c r="DE15" s="761"/>
      <c r="DF15" s="761"/>
      <c r="DG15" s="761"/>
    </row>
    <row r="16" spans="2:111" ht="16.5">
      <c r="B16" s="761" t="s">
        <v>69</v>
      </c>
      <c r="C16" s="787" t="s">
        <v>247</v>
      </c>
      <c r="D16" s="788">
        <f>'Exchange Rates'!D16</f>
        <v>16698.39</v>
      </c>
      <c r="R16" s="25"/>
      <c r="S16" s="12"/>
      <c r="T16" s="20"/>
      <c r="U16" s="20"/>
      <c r="V16" s="22"/>
      <c r="W16" s="20"/>
      <c r="X16" s="21"/>
      <c r="Y16" s="12"/>
      <c r="Z16" s="12"/>
      <c r="AA16" s="12"/>
      <c r="AB16" s="12"/>
      <c r="AC16" s="21"/>
      <c r="AI16" s="862" t="s">
        <v>359</v>
      </c>
      <c r="AJ16" s="863">
        <f>SUM(AJ12:AJ15)</f>
        <v>0</v>
      </c>
      <c r="AQ16" s="528"/>
      <c r="AR16" s="835"/>
      <c r="AS16" s="835"/>
      <c r="AT16" s="830"/>
      <c r="AU16" s="830"/>
      <c r="AV16" s="830"/>
      <c r="AX16" s="794"/>
      <c r="AY16" s="795">
        <f>AY17+AY18</f>
        <v>0</v>
      </c>
      <c r="BB16" s="891" t="s">
        <v>147</v>
      </c>
      <c r="BC16" s="707">
        <v>2800</v>
      </c>
      <c r="BD16" s="707"/>
      <c r="BE16" s="707"/>
      <c r="BF16" s="707"/>
      <c r="BG16" s="707"/>
      <c r="BH16" s="707"/>
      <c r="BI16" s="707"/>
      <c r="BJ16" s="707"/>
      <c r="BK16" s="707"/>
      <c r="BL16" s="707"/>
      <c r="BM16" s="707"/>
      <c r="BN16" s="707"/>
      <c r="BO16" s="707"/>
      <c r="BP16" s="707"/>
      <c r="BQ16" s="707"/>
      <c r="BR16" s="879"/>
      <c r="BS16" s="707"/>
      <c r="BT16" s="707"/>
      <c r="BV16" s="646"/>
      <c r="BW16" s="646" t="s">
        <v>109</v>
      </c>
      <c r="BX16" s="35">
        <f>SUMIF($BH$19:$BH$26,BW16,$BI$19:$BI$26)</f>
        <v>0</v>
      </c>
      <c r="BY16" s="647"/>
      <c r="BZ16" s="646" t="s">
        <v>109</v>
      </c>
      <c r="CA16" s="35">
        <f>SUMIF($BK$19:$BK$26,BZ16,$BL$19:$BL$26)</f>
        <v>0</v>
      </c>
      <c r="CF16" s="761"/>
      <c r="CG16" s="761"/>
      <c r="CH16" s="761"/>
      <c r="CI16" s="761"/>
      <c r="CJ16" s="761"/>
      <c r="CK16" s="761"/>
      <c r="CL16" s="761"/>
      <c r="CM16" s="761"/>
      <c r="CN16" s="761"/>
      <c r="CO16" s="761"/>
      <c r="CP16" s="761"/>
      <c r="CQ16" s="761"/>
      <c r="CR16" s="761"/>
      <c r="CS16" s="761"/>
      <c r="CT16" s="761"/>
      <c r="CU16" s="761"/>
      <c r="CV16" s="761"/>
      <c r="CW16" s="761"/>
      <c r="CX16" s="761"/>
      <c r="CY16" s="761"/>
      <c r="CZ16" s="761"/>
      <c r="DA16" s="761"/>
      <c r="DB16" s="761"/>
      <c r="DC16" s="761"/>
      <c r="DD16" s="761"/>
      <c r="DE16" s="761"/>
      <c r="DF16" s="761"/>
      <c r="DG16" s="761"/>
    </row>
    <row r="17" spans="18:111" ht="15" thickBot="1">
      <c r="R17" s="1183" t="s">
        <v>111</v>
      </c>
      <c r="S17" s="1184"/>
      <c r="T17" s="1184"/>
      <c r="U17" s="1184"/>
      <c r="V17" s="1185"/>
      <c r="W17" s="27"/>
      <c r="X17" s="16"/>
      <c r="Y17" s="1183" t="s">
        <v>112</v>
      </c>
      <c r="Z17" s="1184"/>
      <c r="AA17" s="1184"/>
      <c r="AB17" s="1184"/>
      <c r="AC17" s="1185"/>
      <c r="AQ17" s="825"/>
      <c r="AR17" s="1177" t="s">
        <v>113</v>
      </c>
      <c r="AS17" s="1177"/>
      <c r="AT17" s="1177"/>
      <c r="AU17" s="1177"/>
      <c r="AV17" s="1177"/>
      <c r="AX17" s="796" t="s">
        <v>126</v>
      </c>
      <c r="AY17" s="795">
        <f>(('Servicing Calc'!E42+'Servicing Calc'!O42+'Servicing Calc'!E46)*125%)+(('Servicing Calc'!O44*3%))+AY19</f>
        <v>0</v>
      </c>
      <c r="BB17" s="891" t="s">
        <v>149</v>
      </c>
      <c r="BC17" s="707">
        <v>468</v>
      </c>
      <c r="BD17" s="707"/>
      <c r="BE17" s="707"/>
      <c r="BF17" s="707"/>
      <c r="BG17" s="707"/>
      <c r="BH17" s="707"/>
      <c r="BI17" s="707"/>
      <c r="BJ17" s="707"/>
      <c r="BK17" s="707"/>
      <c r="BL17" s="707"/>
      <c r="BM17" s="707"/>
      <c r="BN17" s="707"/>
      <c r="BO17" s="707"/>
      <c r="BP17" s="707"/>
      <c r="BQ17" s="707"/>
      <c r="BR17" s="707"/>
      <c r="BS17" s="707"/>
      <c r="BT17" s="707"/>
      <c r="BV17" s="646"/>
      <c r="BW17" s="12" t="e">
        <f>'Exchange Rates'!#REF!</f>
        <v>#REF!</v>
      </c>
      <c r="BX17" s="647"/>
      <c r="BY17" s="695"/>
      <c r="BZ17" s="12" t="e">
        <f>'Exchange Rates'!#REF!</f>
        <v>#REF!</v>
      </c>
      <c r="CA17" s="647"/>
      <c r="CF17" s="761"/>
      <c r="CG17" s="761"/>
      <c r="CH17" s="761"/>
      <c r="CI17" s="761"/>
      <c r="CJ17" s="761"/>
      <c r="CK17" s="761"/>
      <c r="CL17" s="761"/>
      <c r="CM17" s="761"/>
      <c r="CN17" s="761"/>
      <c r="CO17" s="761"/>
      <c r="CP17" s="761"/>
      <c r="CQ17" s="761"/>
      <c r="CR17" s="761"/>
      <c r="CS17" s="761"/>
      <c r="CT17" s="761"/>
      <c r="CU17" s="761"/>
      <c r="CV17" s="761"/>
      <c r="CW17" s="761"/>
      <c r="CX17" s="761"/>
      <c r="CY17" s="761"/>
      <c r="CZ17" s="761"/>
      <c r="DA17" s="761"/>
      <c r="DB17" s="761"/>
      <c r="DC17" s="761"/>
      <c r="DD17" s="761"/>
      <c r="DE17" s="761"/>
      <c r="DF17" s="761"/>
      <c r="DG17" s="761"/>
    </row>
    <row r="18" spans="18:111" ht="15" thickBot="1">
      <c r="R18" s="847" t="s">
        <v>90</v>
      </c>
      <c r="S18" s="33"/>
      <c r="T18" s="848">
        <f>IF('Servicing Calc'!K36="CNY",0,(IFERROR(('Servicing Calc'!H36/V18),0)))</f>
        <v>0</v>
      </c>
      <c r="U18" s="848"/>
      <c r="V18" s="849" t="str">
        <f>IFERROR(VLOOKUP('Servicing Calc'!K36,$C$4:$D$16,2,FALSE),"")</f>
        <v/>
      </c>
      <c r="W18" s="20"/>
      <c r="X18" s="21"/>
      <c r="Y18" s="847" t="s">
        <v>90</v>
      </c>
      <c r="Z18" s="33"/>
      <c r="AA18" s="848">
        <f>IF('Servicing Calc'!U36="CNY",0,(IFERROR(('Servicing Calc'!R36/AC18),0)))</f>
        <v>0</v>
      </c>
      <c r="AB18" s="848"/>
      <c r="AC18" s="849" t="str">
        <f>IFERROR(VLOOKUP('Servicing Calc'!U36,$C$4:$D$16,2,0),"")</f>
        <v/>
      </c>
      <c r="AE18" s="638"/>
      <c r="AF18" s="805" t="s">
        <v>144</v>
      </c>
      <c r="AG18" s="806"/>
      <c r="AH18" s="807" t="s">
        <v>84</v>
      </c>
      <c r="AI18" s="807"/>
      <c r="AJ18" s="807" t="s">
        <v>80</v>
      </c>
      <c r="AK18" s="807"/>
      <c r="AL18" s="807" t="s">
        <v>89</v>
      </c>
      <c r="AQ18" s="827"/>
      <c r="AR18" s="827" t="s">
        <v>6</v>
      </c>
      <c r="AS18" s="761" t="s">
        <v>34</v>
      </c>
      <c r="AT18" s="761"/>
      <c r="AU18" s="785" t="s">
        <v>49</v>
      </c>
      <c r="AV18" s="785"/>
      <c r="AX18" s="796" t="s">
        <v>130</v>
      </c>
      <c r="AY18" s="797">
        <f>'Additional Borrowers'!Y15</f>
        <v>0</v>
      </c>
      <c r="BB18" s="879"/>
      <c r="BC18" s="707"/>
      <c r="BD18" s="1191"/>
      <c r="BE18" s="1192"/>
      <c r="BF18" s="1192"/>
      <c r="BG18" s="1192"/>
      <c r="BH18" s="1192"/>
      <c r="BI18" s="1192"/>
      <c r="BJ18" s="1192"/>
      <c r="BK18" s="1192"/>
      <c r="BL18" s="1192"/>
      <c r="BM18" s="1192"/>
      <c r="BN18" s="1192"/>
      <c r="BO18" s="1192"/>
      <c r="BP18" s="1192"/>
      <c r="BQ18" s="1192"/>
      <c r="BR18" s="1192"/>
      <c r="BS18" s="1193"/>
      <c r="BT18" s="707"/>
      <c r="BV18" s="646"/>
      <c r="BW18" s="646" t="s">
        <v>84</v>
      </c>
      <c r="BX18" s="17" t="e">
        <f>BX16/BW17</f>
        <v>#REF!</v>
      </c>
      <c r="BY18" s="647"/>
      <c r="BZ18" s="646" t="s">
        <v>84</v>
      </c>
      <c r="CA18" s="17" t="e">
        <f>CA16/BZ17</f>
        <v>#REF!</v>
      </c>
      <c r="CF18" s="761"/>
      <c r="CG18" s="761"/>
      <c r="CH18" s="761"/>
      <c r="CI18" s="761"/>
      <c r="CJ18" s="761"/>
      <c r="CK18" s="761"/>
      <c r="CL18" s="761"/>
      <c r="CM18" s="761"/>
      <c r="CN18" s="761"/>
      <c r="CO18" s="761"/>
      <c r="CP18" s="761"/>
      <c r="CQ18" s="761"/>
      <c r="CR18" s="761"/>
      <c r="CS18" s="761"/>
      <c r="CT18" s="761"/>
      <c r="CU18" s="761"/>
      <c r="CV18" s="761"/>
      <c r="CW18" s="761"/>
      <c r="CX18" s="761"/>
      <c r="CY18" s="761"/>
      <c r="CZ18" s="761"/>
      <c r="DA18" s="761"/>
      <c r="DB18" s="761"/>
      <c r="DC18" s="761"/>
      <c r="DD18" s="761"/>
      <c r="DE18" s="761"/>
      <c r="DF18" s="761"/>
      <c r="DG18" s="761"/>
    </row>
    <row r="19" spans="18:111" ht="16.5">
      <c r="R19" s="847" t="s">
        <v>33</v>
      </c>
      <c r="S19" s="33"/>
      <c r="T19" s="848">
        <f>IF('Servicing Calc'!K37="CNY",0,(IFERROR(('Servicing Calc'!H37/V19),0)))</f>
        <v>0</v>
      </c>
      <c r="U19" s="848"/>
      <c r="V19" s="849" t="str">
        <f>IFERROR(VLOOKUP('Servicing Calc'!K37,$C$4:$D$16,2,FALSE),"")</f>
        <v/>
      </c>
      <c r="W19" s="20"/>
      <c r="X19" s="21"/>
      <c r="Y19" s="847" t="s">
        <v>33</v>
      </c>
      <c r="Z19" s="33"/>
      <c r="AA19" s="848">
        <f>IF('Servicing Calc'!U37="CNY",0,(IFERROR(('Servicing Calc'!R37/AC19),0)))</f>
        <v>0</v>
      </c>
      <c r="AB19" s="848"/>
      <c r="AC19" s="849" t="str">
        <f>IFERROR(VLOOKUP('Servicing Calc'!U37,$C$4:$D$16,2,0),"")</f>
        <v/>
      </c>
      <c r="AE19" s="864"/>
      <c r="AF19" s="865" t="s">
        <v>146</v>
      </c>
      <c r="AG19" s="866"/>
      <c r="AH19" s="33">
        <f>IFERROR(('Servicing Calc'!H56/AJ19),0)</f>
        <v>0</v>
      </c>
      <c r="AI19" s="866"/>
      <c r="AJ19" s="33" t="e">
        <f>VLOOKUP('Servicing Calc'!K56,C4:D16,2,FALSE)</f>
        <v>#N/A</v>
      </c>
      <c r="AK19" s="866"/>
      <c r="AL19" s="867"/>
      <c r="AQ19" s="528" t="s">
        <v>115</v>
      </c>
      <c r="AR19" s="42">
        <f>'Servicing Calc'!K42</f>
        <v>0</v>
      </c>
      <c r="AS19" s="42">
        <f>V29*125%</f>
        <v>0</v>
      </c>
      <c r="AT19" s="830"/>
      <c r="AU19" s="42">
        <f>'Servicing Calc'!K56</f>
        <v>0</v>
      </c>
      <c r="AV19" s="836">
        <f>'Servicing Calc'!H56</f>
        <v>0</v>
      </c>
      <c r="AX19" s="796" t="s">
        <v>80</v>
      </c>
      <c r="AY19" s="795">
        <f>((V29+V30+V31)*125%)+(((AA29+AA30)*3%))</f>
        <v>0</v>
      </c>
      <c r="BB19" s="891" t="s">
        <v>50</v>
      </c>
      <c r="BC19" s="31">
        <f>(AG15*BC15)+(AQ15*BC15)+(AG16*BC16)+(AQ16*BC16)+(AG17*BC17)+(AQ17*BC17)</f>
        <v>0</v>
      </c>
      <c r="BD19" s="707" t="s">
        <v>117</v>
      </c>
      <c r="BE19" s="706" t="s">
        <v>150</v>
      </c>
      <c r="BF19" s="706" t="s">
        <v>151</v>
      </c>
      <c r="BG19" s="706"/>
      <c r="BH19" s="706" t="s">
        <v>152</v>
      </c>
      <c r="BI19" s="706"/>
      <c r="BJ19" s="706" t="s">
        <v>153</v>
      </c>
      <c r="BK19" s="706" t="s">
        <v>154</v>
      </c>
      <c r="BL19" s="707" t="s">
        <v>117</v>
      </c>
      <c r="BM19" s="706" t="s">
        <v>150</v>
      </c>
      <c r="BN19" s="706" t="s">
        <v>151</v>
      </c>
      <c r="BO19" s="706"/>
      <c r="BP19" s="706" t="s">
        <v>152</v>
      </c>
      <c r="BQ19" s="706"/>
      <c r="BR19" s="706" t="s">
        <v>153</v>
      </c>
      <c r="BS19" s="706" t="s">
        <v>154</v>
      </c>
      <c r="BT19" s="707"/>
      <c r="BV19" s="646"/>
      <c r="BW19" s="654"/>
      <c r="BX19" s="654"/>
      <c r="BY19" s="647"/>
      <c r="BZ19" s="647"/>
      <c r="CA19" s="647"/>
      <c r="CF19" s="761"/>
      <c r="CG19" s="761"/>
      <c r="CH19" s="761"/>
      <c r="CI19" s="761"/>
      <c r="CJ19" s="761"/>
      <c r="CK19" s="761"/>
      <c r="CL19" s="761"/>
      <c r="CM19" s="761"/>
      <c r="CN19" s="761"/>
      <c r="CO19" s="761"/>
      <c r="CP19" s="761"/>
      <c r="CQ19" s="761"/>
      <c r="CR19" s="761"/>
      <c r="CS19" s="761"/>
      <c r="CT19" s="761"/>
      <c r="CU19" s="761"/>
      <c r="CV19" s="761"/>
      <c r="CW19" s="761"/>
      <c r="CX19" s="761"/>
      <c r="CY19" s="761"/>
      <c r="CZ19" s="761"/>
      <c r="DA19" s="761"/>
      <c r="DB19" s="761"/>
      <c r="DC19" s="761"/>
      <c r="DD19" s="761"/>
      <c r="DE19" s="761"/>
      <c r="DF19" s="761"/>
      <c r="DG19" s="761"/>
    </row>
    <row r="20" spans="18:111">
      <c r="R20" s="847" t="s">
        <v>93</v>
      </c>
      <c r="S20" s="33"/>
      <c r="T20" s="848">
        <f>IF('Additional Borrowers'!K27="CNY",0,(IFERROR(('Additional Borrowers'!H27/V20),0)))</f>
        <v>0</v>
      </c>
      <c r="U20" s="848"/>
      <c r="V20" s="849" t="str">
        <f>IFERROR(VLOOKUP('Additional Borrowers'!K27,$C$4:$D$16,2,FALSE),"")</f>
        <v/>
      </c>
      <c r="W20" s="20"/>
      <c r="X20" s="21"/>
      <c r="Y20" s="847" t="s">
        <v>93</v>
      </c>
      <c r="Z20" s="33"/>
      <c r="AA20" s="848">
        <f>IF('Additional Borrowers'!U27="CNY",0,(IFERROR(('Additional Borrowers'!R27/AC20),0)))</f>
        <v>0</v>
      </c>
      <c r="AB20" s="848"/>
      <c r="AC20" s="849" t="str">
        <f>IFERROR(VLOOKUP('Additional Borrowers'!U27,$C$4:$D$16,2,FALSE),"")</f>
        <v/>
      </c>
      <c r="AE20" s="864"/>
      <c r="AF20" s="865" t="s">
        <v>148</v>
      </c>
      <c r="AG20" s="866"/>
      <c r="AH20" s="33">
        <f>IFERROR(('Servicing Calc'!H57/AJ20),0)</f>
        <v>0</v>
      </c>
      <c r="AI20" s="866"/>
      <c r="AJ20" s="33" t="e">
        <f>VLOOKUP('Servicing Calc'!K57,C4:D16,2,FALSE)</f>
        <v>#N/A</v>
      </c>
      <c r="AK20" s="866"/>
      <c r="AL20" s="867"/>
      <c r="AQ20" s="528" t="s">
        <v>116</v>
      </c>
      <c r="AR20" s="42">
        <f>'Servicing Calc'!U42</f>
        <v>0</v>
      </c>
      <c r="AS20" s="42">
        <f>V30*125%</f>
        <v>0</v>
      </c>
      <c r="AT20" s="830"/>
      <c r="AU20" s="42">
        <f>'Servicing Calc'!K57</f>
        <v>0</v>
      </c>
      <c r="AV20" s="836">
        <f>'Servicing Calc'!H57</f>
        <v>0</v>
      </c>
      <c r="AY20" s="804">
        <f>IF((('Servicing Calc'!E53+T34+'Servicing Calc'!O53+AA34)&gt;(AY4+AY5)),('Servicing Calc'!E53+T34+'Servicing Calc'!O53+AA34), (AY4+AY5))</f>
        <v>0</v>
      </c>
      <c r="BB20" s="891" t="s">
        <v>80</v>
      </c>
      <c r="BC20" s="32">
        <f>SUM(BD20:BS20)</f>
        <v>0</v>
      </c>
      <c r="BD20" s="528">
        <f>IF(NOT(OR(AM15="china", AM15="Vietnam", AM15="Malaysia", AM15="Indonesia", AM15="south korea")), ((AJ15*BC15)+(AJ16*BC16)+(AJ17*BC17)), "")</f>
        <v>0</v>
      </c>
      <c r="BE20" s="33" t="str">
        <f>IF(AM15="China", ((AJ15*BC15)+(AJ16*BC16)+(AJ17*BC17))*60%, "")</f>
        <v/>
      </c>
      <c r="BF20" s="33" t="str">
        <f>IF(AM15="Vietnam", ((AJ15*BC15)+(AJ16*BC16)+(AJ17*BC17))*60%, "")</f>
        <v/>
      </c>
      <c r="BG20" s="707"/>
      <c r="BH20" s="33" t="str">
        <f>IF(AM15="Malaysia", ((AJ15*BC15)+(AJ16*BC16)+(AJ17*BC17))*60%, "")</f>
        <v/>
      </c>
      <c r="BI20" s="707"/>
      <c r="BJ20" s="33" t="str">
        <f>IF(AM15="Indonesia", ((AJ15*BC15)+(AJ16*BC16)+(AJ17*BC17))*60%, "")</f>
        <v/>
      </c>
      <c r="BK20" s="33" t="str">
        <f>IF(AM15="South Korea", ((AJ15*BC15)+(AJ16*BC16)+(AJ17*BC17))*110%, "")</f>
        <v/>
      </c>
      <c r="BL20" s="528">
        <f>IF(NOT(OR(AW15="china", AW15="Vietnam", AW15="Malaysia", AW15="Indonesia", AW15="south korea")), ((AT15*BC15)+(AT16*BC16)+(AT17*BC17)), "")</f>
        <v>0</v>
      </c>
      <c r="BM20" s="33" t="str">
        <f>IF(AW15="China", ((AT15*BC15)+(AT16*BC16)+(AT17*BC17))*60%, "")</f>
        <v/>
      </c>
      <c r="BN20" s="33" t="str">
        <f>IF(AW15="Vietnam", ((AT15*BC15)+(AT16*BC16)+(AT17*BC17))*60%, "")</f>
        <v/>
      </c>
      <c r="BO20" s="707"/>
      <c r="BP20" s="33" t="str">
        <f>IF(AW15="Malaysia", ((AT15*BC15)+(AT16*BC16)+(AT17*BC17))*60%, "")</f>
        <v/>
      </c>
      <c r="BQ20" s="707"/>
      <c r="BR20" s="33" t="str">
        <f>IF(AW15="Indonesia", ((AT15*BC15)+(AT16*BC16)+(AT17*BC17))*60%, "")</f>
        <v/>
      </c>
      <c r="BS20" s="33" t="str">
        <f>IF(AW15="South Korea", ((AT15*BC15)+(AT16*BC16)+(AT17*BC17))*110%, "")</f>
        <v/>
      </c>
      <c r="BT20" s="707"/>
      <c r="BV20" s="646"/>
      <c r="BW20" s="1190" t="s">
        <v>113</v>
      </c>
      <c r="BX20" s="1190"/>
      <c r="BY20" s="1190"/>
      <c r="BZ20" s="1190"/>
      <c r="CA20" s="1190"/>
      <c r="CF20" s="761"/>
      <c r="CG20" s="761"/>
      <c r="CH20" s="761"/>
      <c r="CI20" s="761"/>
      <c r="CJ20" s="761"/>
      <c r="CK20" s="761"/>
      <c r="CL20" s="761"/>
      <c r="CM20" s="761"/>
      <c r="CN20" s="761"/>
      <c r="CO20" s="761"/>
      <c r="CP20" s="761"/>
      <c r="CQ20" s="761"/>
      <c r="CR20" s="761"/>
      <c r="CS20" s="761"/>
      <c r="CT20" s="761"/>
      <c r="CU20" s="761"/>
      <c r="CV20" s="761"/>
      <c r="CW20" s="761"/>
      <c r="CX20" s="761"/>
      <c r="CY20" s="761"/>
      <c r="CZ20" s="761"/>
      <c r="DA20" s="761"/>
      <c r="DB20" s="761"/>
      <c r="DC20" s="761"/>
      <c r="DD20" s="761"/>
      <c r="DE20" s="761"/>
      <c r="DF20" s="761"/>
      <c r="DG20" s="761"/>
    </row>
    <row r="21" spans="18:111">
      <c r="R21" s="847" t="s">
        <v>95</v>
      </c>
      <c r="S21" s="33"/>
      <c r="T21" s="848">
        <f>IF('Additional Borrowers'!K28="CNY",0,(IFERROR(('Additional Borrowers'!H28/V21),0)))</f>
        <v>0</v>
      </c>
      <c r="U21" s="848"/>
      <c r="V21" s="849" t="str">
        <f>IFERROR(VLOOKUP('Additional Borrowers'!K28,$C$4:$D$16,2,FALSE),"")</f>
        <v/>
      </c>
      <c r="W21" s="20"/>
      <c r="X21" s="21"/>
      <c r="Y21" s="847" t="s">
        <v>95</v>
      </c>
      <c r="Z21" s="33"/>
      <c r="AA21" s="848">
        <f>IF('Additional Borrowers'!U28="CNY",0,(IFERROR(('Additional Borrowers'!R28/AC21),0)))</f>
        <v>0</v>
      </c>
      <c r="AB21" s="848"/>
      <c r="AC21" s="849" t="str">
        <f>IFERROR(VLOOKUP('Additional Borrowers'!U28,$C$4:$D$16,2,FALSE),"")</f>
        <v/>
      </c>
      <c r="AE21" s="864"/>
      <c r="AF21" s="865" t="s">
        <v>155</v>
      </c>
      <c r="AG21" s="866"/>
      <c r="AH21" s="33">
        <f>IFERROR(('Servicing Calc'!H58/AJ21),0)</f>
        <v>0</v>
      </c>
      <c r="AI21" s="866"/>
      <c r="AJ21" s="33" t="e">
        <f>VLOOKUP('Servicing Calc'!K58,C4:D16,2,FALSE)</f>
        <v>#N/A</v>
      </c>
      <c r="AK21" s="866"/>
      <c r="AL21" s="867"/>
      <c r="AQ21" s="528" t="s">
        <v>117</v>
      </c>
      <c r="AR21" s="42">
        <f>'Servicing Calc'!K46</f>
        <v>0</v>
      </c>
      <c r="AS21" s="42">
        <f>V31*125%</f>
        <v>0</v>
      </c>
      <c r="AT21" s="830"/>
      <c r="AU21" s="42">
        <f>'Servicing Calc'!K58</f>
        <v>0</v>
      </c>
      <c r="AV21" s="836">
        <f>'Servicing Calc'!H58</f>
        <v>0</v>
      </c>
      <c r="AY21" s="808">
        <f>AY20+SUM('Servicing Calc'!E56:'Servicing Calc'!E58)+SUM(AH19:AH21)+'Additional Borrowers'!Y20</f>
        <v>0</v>
      </c>
      <c r="BB21" s="879"/>
      <c r="BC21" s="707"/>
      <c r="BD21" s="894" t="s">
        <v>144</v>
      </c>
      <c r="BE21" s="893"/>
      <c r="BF21" s="895" t="s">
        <v>84</v>
      </c>
      <c r="BG21" s="895"/>
      <c r="BH21" s="895" t="s">
        <v>80</v>
      </c>
      <c r="BI21" s="895"/>
      <c r="BJ21" s="895" t="s">
        <v>89</v>
      </c>
      <c r="BK21" s="707"/>
      <c r="BL21" s="707"/>
      <c r="BM21" s="707"/>
      <c r="BN21" s="707"/>
      <c r="BO21" s="707"/>
      <c r="BP21" s="707"/>
      <c r="BQ21" s="707"/>
      <c r="BR21" s="707"/>
      <c r="BS21" s="707"/>
      <c r="BT21" s="707"/>
      <c r="BV21" s="646"/>
      <c r="BW21" s="646" t="s">
        <v>6</v>
      </c>
      <c r="BX21" s="647" t="s">
        <v>34</v>
      </c>
      <c r="BY21" s="647"/>
      <c r="BZ21" s="695" t="s">
        <v>49</v>
      </c>
      <c r="CA21" s="695"/>
      <c r="CF21" s="761"/>
      <c r="CG21" s="761"/>
      <c r="CH21" s="761"/>
      <c r="CI21" s="761"/>
      <c r="CJ21" s="761"/>
      <c r="CK21" s="761"/>
      <c r="CL21" s="761"/>
      <c r="CM21" s="761"/>
      <c r="CN21" s="761"/>
      <c r="CO21" s="761"/>
      <c r="CP21" s="761"/>
      <c r="CQ21" s="761"/>
      <c r="CR21" s="761"/>
      <c r="CS21" s="761"/>
      <c r="CT21" s="761"/>
      <c r="CU21" s="761"/>
      <c r="CV21" s="761"/>
      <c r="CW21" s="761"/>
      <c r="CX21" s="761"/>
      <c r="CY21" s="761"/>
      <c r="CZ21" s="761"/>
      <c r="DA21" s="761"/>
      <c r="DB21" s="761"/>
      <c r="DC21" s="761"/>
      <c r="DD21" s="761"/>
      <c r="DE21" s="761"/>
      <c r="DF21" s="761"/>
      <c r="DG21" s="761"/>
    </row>
    <row r="22" spans="18:111" ht="15">
      <c r="W22" s="20"/>
      <c r="AQ22" s="528" t="s">
        <v>119</v>
      </c>
      <c r="AR22" s="42">
        <f>'Servicing Calc'!U44</f>
        <v>0</v>
      </c>
      <c r="AS22" s="828">
        <f>AA29*3%</f>
        <v>0</v>
      </c>
      <c r="AT22" s="830"/>
      <c r="AU22" s="830"/>
      <c r="AV22" s="830"/>
      <c r="AX22" s="809"/>
      <c r="AY22" s="810">
        <f>IF(AY23&lt;0,"",AY23)</f>
        <v>0</v>
      </c>
      <c r="BB22" s="28">
        <f>IF(((AG18+BF14+AQ18+BM14)&gt;(BC19+BC20)),(AG18+BF14+AQ18+BM14), (BC19+BC20))</f>
        <v>0</v>
      </c>
      <c r="BC22" s="707"/>
      <c r="BD22" s="883" t="s">
        <v>146</v>
      </c>
      <c r="BE22" s="707"/>
      <c r="BF22" s="528">
        <f>IFERROR((AJ21/BH22),0)</f>
        <v>0</v>
      </c>
      <c r="BG22" s="707"/>
      <c r="BH22" s="528" t="e">
        <f>VLOOKUP(AM21,'Exchange Rates'!#REF!,2,FALSE)</f>
        <v>#REF!</v>
      </c>
      <c r="BI22" s="707"/>
      <c r="BJ22" s="879"/>
      <c r="BK22" s="707"/>
      <c r="BL22" s="707"/>
      <c r="BM22" s="707"/>
      <c r="BN22" s="707"/>
      <c r="BO22" s="707"/>
      <c r="BP22" s="707"/>
      <c r="BQ22" s="707"/>
      <c r="BR22" s="707"/>
      <c r="BS22" s="707"/>
      <c r="BT22" s="707"/>
      <c r="BV22" s="646" t="s">
        <v>115</v>
      </c>
      <c r="BW22" s="17">
        <f>Z22</f>
        <v>0</v>
      </c>
      <c r="BX22" s="17">
        <f>AS21*125%</f>
        <v>0</v>
      </c>
      <c r="BY22" s="647"/>
      <c r="BZ22" s="36" t="str">
        <f>Z37</f>
        <v>Other</v>
      </c>
      <c r="CA22" s="36">
        <f>W37</f>
        <v>0</v>
      </c>
      <c r="CF22" s="761"/>
      <c r="CG22" s="761"/>
      <c r="CH22" s="761"/>
      <c r="CI22" s="761"/>
      <c r="CJ22" s="761"/>
      <c r="CK22" s="761"/>
      <c r="CL22" s="761"/>
      <c r="CM22" s="761"/>
      <c r="CN22" s="761"/>
      <c r="CO22" s="761"/>
      <c r="CP22" s="761"/>
      <c r="CQ22" s="761"/>
      <c r="CR22" s="761"/>
      <c r="CS22" s="761"/>
      <c r="CT22" s="761"/>
      <c r="CU22" s="761"/>
      <c r="CV22" s="761"/>
      <c r="CW22" s="761"/>
      <c r="CX22" s="761"/>
      <c r="CY22" s="761"/>
      <c r="CZ22" s="761"/>
      <c r="DA22" s="761"/>
      <c r="DB22" s="761"/>
      <c r="DC22" s="761"/>
      <c r="DD22" s="761"/>
      <c r="DE22" s="761"/>
      <c r="DF22" s="761"/>
      <c r="DG22" s="761"/>
    </row>
    <row r="23" spans="18:111" ht="15">
      <c r="R23" s="1173" t="s">
        <v>86</v>
      </c>
      <c r="S23" s="1174"/>
      <c r="T23" s="1174"/>
      <c r="U23" s="1174"/>
      <c r="V23" s="1175"/>
      <c r="W23" s="20"/>
      <c r="Y23" s="1173" t="s">
        <v>87</v>
      </c>
      <c r="Z23" s="1174"/>
      <c r="AA23" s="1174"/>
      <c r="AB23" s="1174"/>
      <c r="AC23" s="1175"/>
      <c r="AE23" s="1178" t="s">
        <v>115</v>
      </c>
      <c r="AF23" s="1179"/>
      <c r="AG23" s="1179"/>
      <c r="AH23" s="1179"/>
      <c r="AI23" s="1180"/>
      <c r="AJ23" s="646"/>
      <c r="AK23" s="1178" t="s">
        <v>160</v>
      </c>
      <c r="AL23" s="1179"/>
      <c r="AM23" s="1179"/>
      <c r="AN23" s="1179"/>
      <c r="AO23" s="1180"/>
      <c r="AQ23" s="528"/>
      <c r="AR23" s="528" t="s">
        <v>109</v>
      </c>
      <c r="AS23" s="828">
        <f>AA30*3%</f>
        <v>0</v>
      </c>
      <c r="AT23" s="830"/>
      <c r="AU23" s="830"/>
      <c r="AV23" s="830"/>
      <c r="AX23" s="811" t="s">
        <v>2</v>
      </c>
      <c r="AY23" s="812">
        <f>(('Servicing Calc'!O15*80%)*52/12)+AN10</f>
        <v>0</v>
      </c>
      <c r="BB23" s="879"/>
      <c r="BC23" s="707"/>
      <c r="BD23" s="883" t="s">
        <v>148</v>
      </c>
      <c r="BE23" s="707"/>
      <c r="BF23" s="528">
        <f>IFERROR((AJ22/BH23),0)</f>
        <v>0</v>
      </c>
      <c r="BG23" s="707"/>
      <c r="BH23" s="528" t="e">
        <f>VLOOKUP(AM22,'Exchange Rates'!#REF!,2,FALSE)</f>
        <v>#REF!</v>
      </c>
      <c r="BI23" s="707"/>
      <c r="BJ23" s="879"/>
      <c r="BK23" s="707"/>
      <c r="BL23" s="707"/>
      <c r="BM23" s="707"/>
      <c r="BN23" s="707"/>
      <c r="BO23" s="707"/>
      <c r="BP23" s="707"/>
      <c r="BQ23" s="707"/>
      <c r="BR23" s="707"/>
      <c r="BS23" s="707"/>
      <c r="BT23" s="707"/>
      <c r="BV23" s="646" t="s">
        <v>116</v>
      </c>
      <c r="BW23" s="17">
        <f>AJ22</f>
        <v>0</v>
      </c>
      <c r="BX23" s="17">
        <f>AS22*125%</f>
        <v>0</v>
      </c>
      <c r="BY23" s="647"/>
      <c r="BZ23" s="36">
        <f>Z38</f>
        <v>0</v>
      </c>
      <c r="CA23" s="36">
        <f>W38</f>
        <v>0</v>
      </c>
      <c r="CF23" s="761"/>
      <c r="CG23" s="761"/>
      <c r="CH23" s="761"/>
      <c r="CI23" s="761"/>
      <c r="CJ23" s="761"/>
      <c r="CK23" s="761"/>
      <c r="CL23" s="761"/>
      <c r="CM23" s="761"/>
      <c r="CN23" s="761"/>
      <c r="CO23" s="761"/>
      <c r="CP23" s="761"/>
      <c r="CQ23" s="761"/>
      <c r="CR23" s="761"/>
      <c r="CS23" s="761"/>
      <c r="CT23" s="761"/>
      <c r="CU23" s="761"/>
      <c r="CV23" s="761"/>
      <c r="CW23" s="761"/>
      <c r="CX23" s="761"/>
      <c r="CY23" s="761"/>
      <c r="CZ23" s="761"/>
      <c r="DA23" s="761"/>
      <c r="DB23" s="761"/>
      <c r="DC23" s="761"/>
      <c r="DD23" s="761"/>
      <c r="DE23" s="761"/>
      <c r="DF23" s="761"/>
      <c r="DG23" s="761"/>
    </row>
    <row r="24" spans="18:111">
      <c r="R24" s="847" t="s">
        <v>90</v>
      </c>
      <c r="S24" s="33"/>
      <c r="T24" s="848">
        <f>IF('Servicing Calc'!K26="CNY",0,(IFERROR(('Servicing Calc'!H26/V24),0)))</f>
        <v>0</v>
      </c>
      <c r="U24" s="848"/>
      <c r="V24" s="849" t="str">
        <f>IFERROR(VLOOKUP('Servicing Calc'!K26,$C$4:$D$16,2,FALSE),"")</f>
        <v/>
      </c>
      <c r="W24" s="20"/>
      <c r="Y24" s="847" t="s">
        <v>90</v>
      </c>
      <c r="Z24" s="33"/>
      <c r="AA24" s="848">
        <f>IF('Servicing Calc'!U26="CNY",0,(IFERROR(('Servicing Calc'!R26/AC24),0)))</f>
        <v>0</v>
      </c>
      <c r="AB24" s="848"/>
      <c r="AC24" s="849" t="str">
        <f>IFERROR(VLOOKUP('Servicing Calc'!U26,$C$4:$D$16,2,0),"")</f>
        <v/>
      </c>
      <c r="AE24" s="865" t="s">
        <v>162</v>
      </c>
      <c r="AF24" s="866"/>
      <c r="AG24" s="848">
        <f>IFERROR(('Servicing Calc'!H41/AI24),0)</f>
        <v>0</v>
      </c>
      <c r="AH24" s="868"/>
      <c r="AI24" s="849" t="e">
        <f>VLOOKUP('Servicing Calc'!K41,C4:D16,2,FALSE)</f>
        <v>#N/A</v>
      </c>
      <c r="AJ24" s="646"/>
      <c r="AK24" s="865" t="s">
        <v>162</v>
      </c>
      <c r="AL24" s="866"/>
      <c r="AM24" s="848">
        <f>IFERROR(('Servicing Calc'!R41/AO24),0)</f>
        <v>0</v>
      </c>
      <c r="AN24" s="868"/>
      <c r="AO24" s="849" t="e">
        <f>VLOOKUP('Servicing Calc'!U41,C4:D16,2,FALSE)</f>
        <v>#N/A</v>
      </c>
      <c r="AQ24" s="528"/>
      <c r="AR24" s="837"/>
      <c r="AS24" s="838"/>
      <c r="AT24" s="830"/>
      <c r="AU24" s="830"/>
      <c r="AV24" s="830"/>
      <c r="AX24" s="811" t="s">
        <v>163</v>
      </c>
      <c r="AY24" s="812">
        <f>AN12+AN13</f>
        <v>0</v>
      </c>
      <c r="BB24" s="879"/>
      <c r="BC24" s="707"/>
      <c r="BD24" s="883" t="s">
        <v>155</v>
      </c>
      <c r="BE24" s="707"/>
      <c r="BF24" s="528">
        <f>IFERROR((AJ23/BH24),0)</f>
        <v>0</v>
      </c>
      <c r="BG24" s="707"/>
      <c r="BH24" s="528" t="e">
        <f>VLOOKUP(AM23,'Exchange Rates'!#REF!,2,FALSE)</f>
        <v>#REF!</v>
      </c>
      <c r="BI24" s="707"/>
      <c r="BJ24" s="879"/>
      <c r="BK24" s="707"/>
      <c r="BL24" s="707"/>
      <c r="BM24" s="707"/>
      <c r="BN24" s="707"/>
      <c r="BO24" s="707"/>
      <c r="BP24" s="707"/>
      <c r="BQ24" s="707"/>
      <c r="BR24" s="707"/>
      <c r="BS24" s="707"/>
      <c r="BT24" s="707"/>
      <c r="BV24" s="646" t="s">
        <v>117</v>
      </c>
      <c r="BW24" s="17">
        <f>Z26</f>
        <v>0</v>
      </c>
      <c r="BX24" s="17">
        <f>AS23*125%</f>
        <v>0</v>
      </c>
      <c r="BY24" s="647"/>
      <c r="BZ24" s="36">
        <f>Z39</f>
        <v>0</v>
      </c>
      <c r="CA24" s="36">
        <f>W39</f>
        <v>0</v>
      </c>
      <c r="CF24" s="761"/>
      <c r="CG24" s="761"/>
      <c r="CH24" s="761"/>
      <c r="CI24" s="761"/>
      <c r="CJ24" s="761"/>
      <c r="CK24" s="761"/>
      <c r="CL24" s="761"/>
      <c r="CM24" s="761"/>
      <c r="CN24" s="761"/>
      <c r="CO24" s="761"/>
      <c r="CP24" s="761"/>
      <c r="CQ24" s="761"/>
      <c r="CR24" s="761"/>
      <c r="CS24" s="761"/>
      <c r="CT24" s="761"/>
      <c r="CU24" s="761"/>
      <c r="CV24" s="761"/>
      <c r="CW24" s="761"/>
      <c r="CX24" s="761"/>
      <c r="CY24" s="761"/>
      <c r="CZ24" s="761"/>
      <c r="DA24" s="761"/>
      <c r="DB24" s="761"/>
      <c r="DC24" s="761"/>
      <c r="DD24" s="761"/>
      <c r="DE24" s="761"/>
      <c r="DF24" s="761"/>
      <c r="DG24" s="761"/>
    </row>
    <row r="25" spans="18:111" ht="15">
      <c r="R25" s="847" t="s">
        <v>33</v>
      </c>
      <c r="S25" s="33"/>
      <c r="T25" s="848">
        <f>IF('Servicing Calc'!K27="CNY",0,(IFERROR(('Servicing Calc'!H27/V25),0)))</f>
        <v>0</v>
      </c>
      <c r="U25" s="848"/>
      <c r="V25" s="849" t="str">
        <f>IFERROR(VLOOKUP('Servicing Calc'!K27,$C$4:$D$16,2,FALSE),"")</f>
        <v/>
      </c>
      <c r="W25" s="20"/>
      <c r="Y25" s="847" t="s">
        <v>33</v>
      </c>
      <c r="Z25" s="33"/>
      <c r="AA25" s="848">
        <f>IF('Servicing Calc'!U27="CNY",0,(IFERROR(('Servicing Calc'!R27/AC25),0)))</f>
        <v>0</v>
      </c>
      <c r="AB25" s="848"/>
      <c r="AC25" s="849" t="str">
        <f>IFERROR(VLOOKUP('Servicing Calc'!U27,$C$4:$D$16,2,0),"")</f>
        <v/>
      </c>
      <c r="AE25" s="865" t="s">
        <v>164</v>
      </c>
      <c r="AF25" s="866"/>
      <c r="AG25" s="848">
        <f>IFERROR(('Additional Borrowers'!H33/AI25),0)</f>
        <v>0</v>
      </c>
      <c r="AH25" s="868"/>
      <c r="AI25" s="849" t="e">
        <f>VLOOKUP('Additional Borrowers'!K33,C4:D16,2,FALSE)</f>
        <v>#N/A</v>
      </c>
      <c r="AJ25" s="646"/>
      <c r="AK25" s="865" t="s">
        <v>164</v>
      </c>
      <c r="AL25" s="866"/>
      <c r="AM25" s="848">
        <f>IFERROR(('Additional Borrowers'!R33/AO25),0)</f>
        <v>0</v>
      </c>
      <c r="AN25" s="868"/>
      <c r="AO25" s="849" t="e">
        <f>VLOOKUP('Additional Borrowers'!U33,C4:D16,2,FALSE)</f>
        <v>#N/A</v>
      </c>
      <c r="AQ25" s="528"/>
      <c r="AR25" s="839" t="s">
        <v>106</v>
      </c>
      <c r="AS25" s="840" t="s">
        <v>84</v>
      </c>
      <c r="AT25" s="830"/>
      <c r="AU25" s="839" t="s">
        <v>106</v>
      </c>
      <c r="AV25" s="839"/>
      <c r="AX25" s="811" t="s">
        <v>165</v>
      </c>
      <c r="AY25" s="812">
        <f>AY23-AY24</f>
        <v>0</v>
      </c>
      <c r="BB25" s="879"/>
      <c r="BC25" s="707"/>
      <c r="BD25" s="883"/>
      <c r="BE25" s="707"/>
      <c r="BF25" s="707"/>
      <c r="BG25" s="707"/>
      <c r="BH25" s="707"/>
      <c r="BI25" s="707"/>
      <c r="BJ25" s="879"/>
      <c r="BK25" s="707"/>
      <c r="BL25" s="707"/>
      <c r="BM25" s="707"/>
      <c r="BN25" s="707"/>
      <c r="BO25" s="707"/>
      <c r="BP25" s="707"/>
      <c r="BQ25" s="707"/>
      <c r="BR25" s="707"/>
      <c r="BS25" s="707"/>
      <c r="BT25" s="707"/>
      <c r="BV25" s="646" t="s">
        <v>119</v>
      </c>
      <c r="BW25" s="17">
        <f>AJ24</f>
        <v>0</v>
      </c>
      <c r="BX25" s="34">
        <f>AY21*3%</f>
        <v>0</v>
      </c>
      <c r="BY25" s="647"/>
      <c r="BZ25" s="647"/>
      <c r="CA25" s="647"/>
      <c r="CF25" s="761"/>
      <c r="CG25" s="761"/>
      <c r="CH25" s="761"/>
      <c r="CI25" s="761"/>
      <c r="CJ25" s="761"/>
      <c r="CK25" s="761"/>
      <c r="CL25" s="761"/>
      <c r="CM25" s="761"/>
      <c r="CN25" s="761"/>
      <c r="CO25" s="761"/>
      <c r="CP25" s="761"/>
      <c r="CQ25" s="761"/>
      <c r="CR25" s="761"/>
      <c r="CS25" s="761"/>
      <c r="CT25" s="761"/>
      <c r="CU25" s="761"/>
      <c r="CV25" s="761"/>
      <c r="CW25" s="761"/>
      <c r="CX25" s="761"/>
      <c r="CY25" s="761"/>
      <c r="CZ25" s="761"/>
      <c r="DA25" s="761"/>
      <c r="DB25" s="761"/>
      <c r="DC25" s="761"/>
      <c r="DD25" s="761"/>
      <c r="DE25" s="761"/>
      <c r="DF25" s="761"/>
      <c r="DG25" s="761"/>
    </row>
    <row r="26" spans="18:111" ht="15">
      <c r="R26" s="847" t="s">
        <v>93</v>
      </c>
      <c r="S26" s="33"/>
      <c r="T26" s="848">
        <f>IF('Additional Borrowers'!K17="CNY",0,(IFERROR(('Additional Borrowers'!H17/V26),0)))</f>
        <v>0</v>
      </c>
      <c r="U26" s="848"/>
      <c r="V26" s="849" t="str">
        <f>IFERROR(VLOOKUP('Additional Borrowers'!K17,$C$4:$D$16,2,FALSE),"")</f>
        <v/>
      </c>
      <c r="W26" s="20"/>
      <c r="Y26" s="847" t="s">
        <v>93</v>
      </c>
      <c r="Z26" s="33"/>
      <c r="AA26" s="848">
        <f>IF('Additional Borrowers'!U17="CNY",0,(IFERROR(('Additional Borrowers'!R17/AC26),0)))</f>
        <v>0</v>
      </c>
      <c r="AB26" s="848"/>
      <c r="AC26" s="849" t="str">
        <f>IFERROR(VLOOKUP('Additional Borrowers'!U17,$C$4:$D$16,2,FALSE),"")</f>
        <v/>
      </c>
      <c r="AE26" s="865"/>
      <c r="AF26" s="866"/>
      <c r="AG26" s="848">
        <f>SUM(AG24:AG25)</f>
        <v>0</v>
      </c>
      <c r="AH26" s="868"/>
      <c r="AI26" s="869"/>
      <c r="AJ26" s="646"/>
      <c r="AK26" s="865"/>
      <c r="AL26" s="866"/>
      <c r="AM26" s="848">
        <f>SUM(AM24:AM25)</f>
        <v>0</v>
      </c>
      <c r="AN26" s="868"/>
      <c r="AO26" s="869"/>
      <c r="AQ26" s="528"/>
      <c r="AR26" s="528" t="s">
        <v>109</v>
      </c>
      <c r="AS26" s="832">
        <f>SUMIF(AR19:AR23,AR26,AS19:AS23)+AS31</f>
        <v>0</v>
      </c>
      <c r="AT26" s="830"/>
      <c r="AU26" s="528" t="s">
        <v>109</v>
      </c>
      <c r="AV26" s="832">
        <f>SUMIF(AU19:AU21,AU26,AV19:AV21)</f>
        <v>0</v>
      </c>
      <c r="AX26" s="819" t="s">
        <v>168</v>
      </c>
      <c r="AY26" s="820" t="e">
        <f>-PMT(AY27/12,('Servicing Calc'!E15*12),'Servicing Calc'!O11,0,0)</f>
        <v>#NUM!</v>
      </c>
      <c r="BV26" s="646"/>
      <c r="BW26" s="646" t="s">
        <v>109</v>
      </c>
      <c r="BX26" s="34">
        <f>AY22*3%</f>
        <v>0</v>
      </c>
      <c r="BY26" s="647"/>
      <c r="BZ26" s="647"/>
      <c r="CA26" s="647"/>
      <c r="CF26" s="761"/>
      <c r="CG26" s="761"/>
      <c r="CH26" s="761"/>
      <c r="CI26" s="761"/>
      <c r="CJ26" s="761"/>
      <c r="CK26" s="761"/>
      <c r="CL26" s="761"/>
      <c r="CM26" s="761"/>
      <c r="CN26" s="761"/>
      <c r="CO26" s="761"/>
      <c r="CP26" s="761"/>
      <c r="CQ26" s="761"/>
      <c r="CR26" s="761"/>
      <c r="CS26" s="761"/>
      <c r="CT26" s="761"/>
      <c r="CU26" s="761"/>
      <c r="CV26" s="761"/>
      <c r="CW26" s="761"/>
      <c r="CX26" s="761"/>
      <c r="CY26" s="761"/>
      <c r="CZ26" s="761"/>
      <c r="DA26" s="761"/>
      <c r="DB26" s="761"/>
      <c r="DC26" s="761"/>
      <c r="DD26" s="761"/>
      <c r="DE26" s="761"/>
      <c r="DF26" s="761"/>
      <c r="DG26" s="761"/>
    </row>
    <row r="27" spans="18:111">
      <c r="R27" s="847" t="s">
        <v>95</v>
      </c>
      <c r="S27" s="33"/>
      <c r="T27" s="848">
        <f>IF('Additional Borrowers'!K18="CNY",0,(IFERROR(('Additional Borrowers'!H18/V27),0)))</f>
        <v>0</v>
      </c>
      <c r="U27" s="848"/>
      <c r="V27" s="849" t="str">
        <f>IFERROR(VLOOKUP('Additional Borrowers'!K18,$C$4:$D$16,2,FALSE),"")</f>
        <v/>
      </c>
      <c r="W27" s="20"/>
      <c r="Y27" s="847" t="s">
        <v>95</v>
      </c>
      <c r="Z27" s="33"/>
      <c r="AA27" s="848">
        <f>IF('Additional Borrowers'!U18="CNY",0,(IFERROR(('Additional Borrowers'!R18/AC27),0)))</f>
        <v>0</v>
      </c>
      <c r="AB27" s="848"/>
      <c r="AC27" s="849" t="str">
        <f>IFERROR(VLOOKUP('Additional Borrowers'!U18,$C$4:$D$16,2,FALSE),"")</f>
        <v/>
      </c>
      <c r="AE27" s="865"/>
      <c r="AF27" s="866"/>
      <c r="AG27" s="868"/>
      <c r="AH27" s="868"/>
      <c r="AI27" s="869"/>
      <c r="AJ27" s="646"/>
      <c r="AK27" s="865"/>
      <c r="AL27" s="866"/>
      <c r="AM27" s="868"/>
      <c r="AN27" s="868"/>
      <c r="AO27" s="869"/>
      <c r="AQ27" s="528"/>
      <c r="AR27" s="528"/>
      <c r="AS27" s="830"/>
      <c r="AT27" s="830"/>
      <c r="AU27" s="841">
        <f>D5</f>
        <v>4.5226600000000001</v>
      </c>
      <c r="AV27" s="830"/>
      <c r="AX27" s="819" t="s">
        <v>170</v>
      </c>
      <c r="AY27" s="821">
        <v>7.2499999999999995E-2</v>
      </c>
      <c r="BV27" s="646"/>
      <c r="BW27" s="678"/>
      <c r="BX27" s="700"/>
      <c r="BY27" s="647"/>
      <c r="BZ27" s="647"/>
      <c r="CA27" s="647"/>
      <c r="CF27" s="761"/>
      <c r="CG27" s="761"/>
      <c r="CH27" s="761"/>
      <c r="CI27" s="761"/>
      <c r="CJ27" s="761"/>
      <c r="CK27" s="761"/>
      <c r="CL27" s="761"/>
      <c r="CM27" s="761"/>
      <c r="CN27" s="761"/>
      <c r="CO27" s="761"/>
      <c r="CP27" s="761"/>
      <c r="CQ27" s="761"/>
      <c r="CR27" s="761"/>
      <c r="CS27" s="761"/>
      <c r="CT27" s="761"/>
      <c r="CU27" s="761"/>
      <c r="CV27" s="761"/>
      <c r="CW27" s="761"/>
      <c r="CX27" s="761"/>
      <c r="CY27" s="761"/>
      <c r="CZ27" s="761"/>
      <c r="DA27" s="761"/>
      <c r="DB27" s="761"/>
      <c r="DC27" s="761"/>
      <c r="DD27" s="761"/>
      <c r="DE27" s="761"/>
      <c r="DF27" s="761"/>
      <c r="DG27" s="761"/>
    </row>
    <row r="28" spans="18:111" ht="18" customHeight="1">
      <c r="W28" s="20"/>
      <c r="AE28" s="646"/>
      <c r="AF28" s="646"/>
      <c r="AG28" s="646"/>
      <c r="AH28" s="646"/>
      <c r="AI28" s="646"/>
      <c r="AJ28" s="646"/>
      <c r="AK28" s="646"/>
      <c r="AL28" s="646"/>
      <c r="AM28" s="646"/>
      <c r="AN28" s="646"/>
      <c r="AO28" s="646"/>
      <c r="AQ28" s="842"/>
      <c r="AR28" s="528"/>
      <c r="AS28" s="836"/>
      <c r="AT28" s="830"/>
      <c r="AU28" s="528" t="s">
        <v>84</v>
      </c>
      <c r="AV28" s="836">
        <f>AV26/AU27</f>
        <v>0</v>
      </c>
      <c r="AY28" s="822" t="e">
        <f>AY25/AY26</f>
        <v>#NUM!</v>
      </c>
      <c r="BB28" s="648"/>
      <c r="BC28" s="649" t="s">
        <v>2</v>
      </c>
      <c r="BD28" s="649" t="s">
        <v>3</v>
      </c>
      <c r="BE28" s="649" t="s">
        <v>4</v>
      </c>
      <c r="BF28" s="649" t="s">
        <v>5</v>
      </c>
      <c r="BG28" s="649" t="s">
        <v>6</v>
      </c>
      <c r="BH28" s="649" t="s">
        <v>7</v>
      </c>
      <c r="BI28" s="649" t="s">
        <v>8</v>
      </c>
      <c r="BJ28" s="648"/>
      <c r="BK28" s="649" t="s">
        <v>9</v>
      </c>
      <c r="BL28" s="648"/>
      <c r="BN28" s="646"/>
      <c r="BO28" s="677" t="s">
        <v>50</v>
      </c>
      <c r="BP28" s="646" t="s">
        <v>80</v>
      </c>
      <c r="BV28" s="646"/>
      <c r="BW28" s="682" t="s">
        <v>106</v>
      </c>
      <c r="BX28" s="689" t="s">
        <v>84</v>
      </c>
      <c r="BY28" s="647"/>
      <c r="BZ28" s="682" t="s">
        <v>106</v>
      </c>
      <c r="CA28" s="682"/>
      <c r="CF28" s="761"/>
      <c r="CG28" s="761"/>
      <c r="CH28" s="761"/>
      <c r="CI28" s="761"/>
      <c r="CJ28" s="761"/>
      <c r="CK28" s="761"/>
      <c r="CL28" s="761"/>
      <c r="CM28" s="761"/>
      <c r="CN28" s="761"/>
      <c r="CO28" s="761"/>
      <c r="CP28" s="761"/>
      <c r="CQ28" s="761"/>
      <c r="CR28" s="761"/>
      <c r="CS28" s="761"/>
      <c r="CT28" s="761"/>
      <c r="CU28" s="761"/>
      <c r="CV28" s="761"/>
      <c r="CW28" s="761"/>
      <c r="CX28" s="761"/>
      <c r="CY28" s="761"/>
      <c r="CZ28" s="761"/>
      <c r="DA28" s="761"/>
      <c r="DB28" s="761"/>
      <c r="DC28" s="761"/>
      <c r="DD28" s="761"/>
      <c r="DE28" s="761"/>
      <c r="DF28" s="761"/>
      <c r="DG28" s="761"/>
    </row>
    <row r="29" spans="18:111" ht="15">
      <c r="R29" s="851" t="s">
        <v>122</v>
      </c>
      <c r="S29" s="847"/>
      <c r="T29" s="33"/>
      <c r="U29" s="33"/>
      <c r="V29" s="848">
        <f>IFERROR(('Servicing Calc'!H42/X29),0)</f>
        <v>0</v>
      </c>
      <c r="W29" s="33"/>
      <c r="X29" s="848" t="str">
        <f>IFERROR(VLOOKUP('Servicing Calc'!K42,$C$4:$D$16,2,FALSE),"")</f>
        <v/>
      </c>
      <c r="Y29" s="33"/>
      <c r="Z29" s="847" t="s">
        <v>123</v>
      </c>
      <c r="AA29" s="848">
        <f>IFERROR(('Servicing Calc'!R44/AC29),0)</f>
        <v>0</v>
      </c>
      <c r="AB29" s="848"/>
      <c r="AC29" s="848" t="str">
        <f>IFERROR(VLOOKUP('Servicing Calc'!U44,$C$4:$D$16,2,FALSE),"")</f>
        <v/>
      </c>
      <c r="AE29" s="646"/>
      <c r="AF29" s="646"/>
      <c r="AG29" s="646"/>
      <c r="AH29" s="646"/>
      <c r="AI29" s="646"/>
      <c r="AJ29" s="646"/>
      <c r="AK29" s="646"/>
      <c r="AL29" s="646"/>
      <c r="AM29" s="646"/>
      <c r="AN29" s="646"/>
      <c r="AO29" s="646"/>
      <c r="AQ29" s="12"/>
      <c r="AR29" s="12"/>
      <c r="AS29" s="11"/>
      <c r="AT29" s="11"/>
      <c r="AU29" s="11"/>
      <c r="AV29" s="11"/>
      <c r="AY29" s="823" t="e">
        <f>('Servicing Calc'!O11+'Servicing Calc'!E41+AG26+'Servicing Calc'!O41+AM26+'Servicing Calc'!E44+AM39+'Servicing Calc'!O44+AG33+AM33+'Additional Borrowers'!E33+'Additional Borrowers'!E36+'Additional Borrowers'!O33+'Additional Borrowers'!O36)/((AN5+AN8+AN9)*12)</f>
        <v>#DIV/0!</v>
      </c>
      <c r="BB29" s="646" t="s">
        <v>32</v>
      </c>
      <c r="BC29" s="711"/>
      <c r="BD29" s="50">
        <f>BV56</f>
        <v>0</v>
      </c>
      <c r="BE29" s="50">
        <f>(SUM(AQ45)+SUM(AQ53)+(SUM(AQ59)*80%)+(SUM(AX45)*80%)+(SUM(BK45+BE45)*0.8)+(SUM(AX53)*80%)+(SUM(AX59)*80%))-BD29</f>
        <v>0</v>
      </c>
      <c r="BF29" s="43">
        <f>(BI36*(SUM(BH36:BH39))/12)</f>
        <v>0</v>
      </c>
      <c r="BG29" s="40">
        <f>((R60+AB60+R64)*125%)+((AB62*3%))</f>
        <v>0</v>
      </c>
      <c r="BH29" s="51">
        <f>BV67+BY69</f>
        <v>0</v>
      </c>
      <c r="BI29" s="40">
        <f>((AQ59+AQ60+AQ61)*125%)+(((AW59+AW60)*3%))-BH29</f>
        <v>0</v>
      </c>
      <c r="BJ29" s="648"/>
      <c r="BK29" s="39">
        <f>BD33-BH33</f>
        <v>0</v>
      </c>
      <c r="BL29" s="648" t="s">
        <v>15</v>
      </c>
      <c r="BN29" s="646" t="s">
        <v>14</v>
      </c>
      <c r="BO29" s="682"/>
      <c r="BP29" s="15">
        <f>SUM(AQ30)+SUM(AQ38)+(SUM(AQ44)*80%)+(SUM(AX30)*80%)+(SUM(BK30+BE30)*0.8)+(SUM(AX38)*80%)+(SUM(AX44)*80%)</f>
        <v>0</v>
      </c>
      <c r="BV29" s="646"/>
      <c r="BW29" s="646" t="s">
        <v>109</v>
      </c>
      <c r="BX29" s="35">
        <f>SUMIF($BH$34:$BH$38,BW29,$BI$34:$BI$38)</f>
        <v>0</v>
      </c>
      <c r="BY29" s="647"/>
      <c r="BZ29" s="646" t="s">
        <v>109</v>
      </c>
      <c r="CA29" s="35">
        <f>SUMIF($BK$34:$BK$36,BZ29,$BL$34:$BL$36)</f>
        <v>0</v>
      </c>
      <c r="CF29" s="761"/>
      <c r="CG29" s="761"/>
      <c r="CH29" s="761"/>
      <c r="CI29" s="761"/>
      <c r="CJ29" s="761"/>
      <c r="CK29" s="761"/>
      <c r="CL29" s="761"/>
      <c r="CM29" s="761"/>
      <c r="CN29" s="761"/>
      <c r="CO29" s="761"/>
      <c r="CP29" s="761"/>
      <c r="CQ29" s="761"/>
      <c r="CR29" s="761"/>
      <c r="CS29" s="761"/>
      <c r="CT29" s="761"/>
      <c r="CU29" s="761"/>
      <c r="CV29" s="761"/>
      <c r="CW29" s="761"/>
      <c r="CX29" s="761"/>
      <c r="CY29" s="761"/>
      <c r="CZ29" s="761"/>
      <c r="DA29" s="761"/>
      <c r="DB29" s="761"/>
      <c r="DC29" s="761"/>
      <c r="DD29" s="761"/>
      <c r="DE29" s="761"/>
      <c r="DF29" s="761"/>
      <c r="DG29" s="761"/>
    </row>
    <row r="30" spans="18:111" ht="16.5">
      <c r="R30" s="851" t="s">
        <v>124</v>
      </c>
      <c r="S30" s="33"/>
      <c r="T30" s="847"/>
      <c r="U30" s="33"/>
      <c r="V30" s="848">
        <f>IFERROR(('Servicing Calc'!R42/X30),0)</f>
        <v>0</v>
      </c>
      <c r="W30" s="33"/>
      <c r="X30" s="848" t="str">
        <f>IFERROR(VLOOKUP('Servicing Calc'!U42,$C$4:$D$16,2,FALSE),"")</f>
        <v/>
      </c>
      <c r="Y30" s="33"/>
      <c r="Z30" s="850" t="s">
        <v>125</v>
      </c>
      <c r="AA30" s="848">
        <f>IFERROR(('Servicing Calc'!R45/AC30),0)</f>
        <v>0</v>
      </c>
      <c r="AB30" s="848"/>
      <c r="AC30" s="33">
        <f>VLOOKUP('Servicing Calc'!U45,$C$4:$D$16,2,FALSE)</f>
        <v>4.5226600000000001</v>
      </c>
      <c r="AE30" s="1178" t="s">
        <v>172</v>
      </c>
      <c r="AF30" s="1179"/>
      <c r="AG30" s="1179"/>
      <c r="AH30" s="1179"/>
      <c r="AI30" s="1180"/>
      <c r="AJ30" s="646"/>
      <c r="AK30" s="1178" t="s">
        <v>173</v>
      </c>
      <c r="AL30" s="1179"/>
      <c r="AM30" s="1179"/>
      <c r="AN30" s="1179"/>
      <c r="AO30" s="1180"/>
      <c r="AQ30" s="825"/>
      <c r="AR30" s="1177" t="s">
        <v>134</v>
      </c>
      <c r="AS30" s="1177"/>
      <c r="AT30" s="1177"/>
      <c r="AU30" s="1177"/>
      <c r="AV30" s="1177"/>
      <c r="AY30" s="844">
        <f>AY23*12</f>
        <v>0</v>
      </c>
      <c r="BB30" s="646" t="s">
        <v>39</v>
      </c>
      <c r="BC30" s="711"/>
      <c r="BD30" s="39">
        <f>BY56</f>
        <v>0</v>
      </c>
      <c r="BE30" s="50">
        <f>(SUM(AQ46)+SUM(AQ54)+(SUM(AQ60)*80%)+(SUM(AX46)*80%)+(SUM(BK46+BE46)*0.8)+(SUM(AX54)*80%)+(SUM(AX60)*80%))-BD30</f>
        <v>0</v>
      </c>
      <c r="BF30" s="654"/>
      <c r="BG30" s="648"/>
      <c r="BH30" s="648"/>
      <c r="BI30" s="654"/>
      <c r="BJ30" s="648"/>
      <c r="BK30" s="43" t="b">
        <f>IF(IF(((BK29*12)&gt;(BI36)),(BI36/12),(BK29)),(BI36/12))</f>
        <v>0</v>
      </c>
      <c r="BL30" s="655" t="s">
        <v>23</v>
      </c>
      <c r="BN30" s="646" t="s">
        <v>22</v>
      </c>
      <c r="BO30" s="646"/>
      <c r="BP30" s="15">
        <f>SUM(AQ31)+SUM(AQ39)+(SUM(AQ45)*80%)+(SUM(AX31)*80%)+(SUM(BK31+BE31)*0.8)+(SUM(AX39)*80%)+(SUM(AX45)*80%)</f>
        <v>0</v>
      </c>
      <c r="BV30" s="646"/>
      <c r="BW30" s="646"/>
      <c r="BX30" s="647"/>
      <c r="BY30" s="647"/>
      <c r="BZ30" s="11" t="e">
        <f>'Exchange Rates'!#REF!</f>
        <v>#REF!</v>
      </c>
      <c r="CA30" s="647"/>
      <c r="CF30" s="761"/>
      <c r="CG30" s="761"/>
      <c r="CH30" s="761"/>
      <c r="CI30" s="761"/>
      <c r="CJ30" s="761"/>
      <c r="CK30" s="761"/>
      <c r="CL30" s="761"/>
      <c r="CM30" s="761"/>
      <c r="CN30" s="761"/>
      <c r="CO30" s="761"/>
      <c r="CP30" s="761"/>
      <c r="CQ30" s="761"/>
      <c r="CR30" s="761"/>
      <c r="CS30" s="761"/>
      <c r="CT30" s="761"/>
      <c r="CU30" s="761"/>
      <c r="CV30" s="761"/>
      <c r="CW30" s="761"/>
      <c r="CX30" s="761"/>
      <c r="CY30" s="761"/>
      <c r="CZ30" s="761"/>
      <c r="DA30" s="761"/>
      <c r="DB30" s="761"/>
      <c r="DC30" s="761"/>
      <c r="DD30" s="761"/>
      <c r="DE30" s="761"/>
      <c r="DF30" s="761"/>
      <c r="DG30" s="761"/>
    </row>
    <row r="31" spans="18:111">
      <c r="R31" s="851" t="s">
        <v>127</v>
      </c>
      <c r="S31" s="851"/>
      <c r="T31" s="33"/>
      <c r="U31" s="33"/>
      <c r="V31" s="848">
        <f>IFERROR(('Servicing Calc'!E46/X31),0)</f>
        <v>0</v>
      </c>
      <c r="W31" s="33"/>
      <c r="X31" s="848" t="str">
        <f>IFERROR(VLOOKUP('Servicing Calc'!K46,$C$4:$D$16,2,FALSE),"")</f>
        <v/>
      </c>
      <c r="Y31" s="12"/>
      <c r="Z31" s="12"/>
      <c r="AA31" s="20"/>
      <c r="AB31" s="12"/>
      <c r="AC31" s="12"/>
      <c r="AE31" s="865" t="s">
        <v>162</v>
      </c>
      <c r="AF31" s="866"/>
      <c r="AG31" s="848">
        <f>IFERROR(('Servicing Calc'!R44/AI31),0)</f>
        <v>0</v>
      </c>
      <c r="AH31" s="868"/>
      <c r="AI31" s="849" t="e">
        <f>VLOOKUP('Servicing Calc'!U44,C4:D16,2,FALSE)</f>
        <v>#N/A</v>
      </c>
      <c r="AJ31" s="646"/>
      <c r="AK31" s="865" t="s">
        <v>162</v>
      </c>
      <c r="AL31" s="866"/>
      <c r="AM31" s="848">
        <f>IFERROR(('Servicing Calc'!R45/AO31),0)</f>
        <v>0</v>
      </c>
      <c r="AN31" s="868"/>
      <c r="AO31" s="849">
        <f>VLOOKUP('Servicing Calc'!U45,C4:D16,2,FALSE)</f>
        <v>4.5226600000000001</v>
      </c>
      <c r="AQ31" s="528"/>
      <c r="AR31" s="528"/>
      <c r="AS31" s="843">
        <f>IF('Servicing Calc'!K50="China", (Z60-BL48), 0)</f>
        <v>0</v>
      </c>
      <c r="AT31" s="830"/>
      <c r="AU31" s="830">
        <v>0</v>
      </c>
      <c r="AV31" s="830"/>
      <c r="AY31" s="844">
        <f>AY24*12</f>
        <v>0</v>
      </c>
      <c r="BB31" s="646"/>
      <c r="BC31" s="711"/>
      <c r="BD31" s="712"/>
      <c r="BE31" s="713"/>
      <c r="BF31" s="648"/>
      <c r="BG31" s="648"/>
      <c r="BH31" s="648"/>
      <c r="BI31" s="648"/>
      <c r="BJ31" s="648"/>
      <c r="BK31" s="648"/>
      <c r="BL31" s="648"/>
      <c r="BN31" s="646" t="s">
        <v>32</v>
      </c>
      <c r="BO31" s="646"/>
      <c r="BP31" s="15">
        <f>SUM(AQ32)+SUM(AQ40)+(SUM(AQ46)*80%)+(SUM(AX32)*80%)+(SUM(BK32+BE32)*0.8)+(SUM(AX40)*80%)+(SUM(AX46)*80%)</f>
        <v>0</v>
      </c>
      <c r="BV31" s="687"/>
      <c r="BW31" s="646"/>
      <c r="BX31" s="698"/>
      <c r="BY31" s="647"/>
      <c r="BZ31" s="646" t="s">
        <v>84</v>
      </c>
      <c r="CA31" s="36" t="e">
        <f>CA29/BZ30</f>
        <v>#REF!</v>
      </c>
      <c r="CF31" s="761"/>
      <c r="CG31" s="761"/>
      <c r="CH31" s="761"/>
      <c r="CI31" s="761"/>
      <c r="CJ31" s="761"/>
      <c r="CK31" s="761"/>
      <c r="CL31" s="761"/>
      <c r="CM31" s="761"/>
      <c r="CN31" s="761"/>
      <c r="CO31" s="761"/>
      <c r="CP31" s="761"/>
      <c r="CQ31" s="761"/>
      <c r="CR31" s="761"/>
      <c r="CS31" s="761"/>
      <c r="CT31" s="761"/>
      <c r="CU31" s="761"/>
      <c r="CV31" s="761"/>
      <c r="CW31" s="761"/>
      <c r="CX31" s="761"/>
      <c r="CY31" s="761"/>
      <c r="CZ31" s="761"/>
      <c r="DA31" s="761"/>
      <c r="DB31" s="761"/>
      <c r="DC31" s="761"/>
      <c r="DD31" s="761"/>
      <c r="DE31" s="761"/>
      <c r="DF31" s="761"/>
      <c r="DG31" s="761"/>
    </row>
    <row r="32" spans="18:111">
      <c r="AE32" s="865" t="s">
        <v>164</v>
      </c>
      <c r="AF32" s="866"/>
      <c r="AG32" s="848">
        <f>IFERROR(('Additional Borrowers'!R36/AI32),0)</f>
        <v>0</v>
      </c>
      <c r="AH32" s="868"/>
      <c r="AI32" s="849" t="e">
        <f>VLOOKUP('Additional Borrowers'!U36,C4:D16,2,FALSE)</f>
        <v>#N/A</v>
      </c>
      <c r="AJ32" s="646"/>
      <c r="AK32" s="865" t="s">
        <v>164</v>
      </c>
      <c r="AL32" s="866"/>
      <c r="AM32" s="848">
        <f>IFERROR(('Additional Borrowers'!R37/AO32),0)</f>
        <v>0</v>
      </c>
      <c r="AN32" s="868"/>
      <c r="AO32" s="849">
        <f>VLOOKUP('Additional Borrowers'!U37,C4:D16,2,FALSE)</f>
        <v>4.5226600000000001</v>
      </c>
      <c r="AY32" s="844">
        <f>AY25*12</f>
        <v>0</v>
      </c>
      <c r="BB32" s="646"/>
      <c r="BC32" s="711"/>
      <c r="BD32" s="712"/>
      <c r="BE32" s="713"/>
      <c r="BF32" s="648"/>
      <c r="BG32" s="648"/>
      <c r="BH32" s="648"/>
      <c r="BI32" s="648"/>
      <c r="BJ32" s="648"/>
      <c r="BK32" s="38">
        <f>BC33</f>
        <v>0</v>
      </c>
      <c r="BL32" s="648" t="s">
        <v>40</v>
      </c>
      <c r="BN32" s="646" t="s">
        <v>39</v>
      </c>
      <c r="BO32" s="646"/>
      <c r="BP32" s="15">
        <f>SUM(AQ33)+SUM(AQ41)+(SUM(AQ47)*80%)+(SUM(AX33)*80%)+(SUM(BK33+BE33)*0.8)+(SUM(AX41)*80%)+(SUM(AX47)*80%)</f>
        <v>0</v>
      </c>
      <c r="CF32" s="761"/>
      <c r="CG32" s="761"/>
      <c r="CH32" s="761"/>
      <c r="CI32" s="761"/>
      <c r="CJ32" s="761"/>
      <c r="CK32" s="761"/>
      <c r="CL32" s="761"/>
      <c r="CM32" s="761"/>
      <c r="CN32" s="761"/>
      <c r="CO32" s="761"/>
      <c r="CP32" s="761"/>
      <c r="CQ32" s="761"/>
      <c r="CR32" s="761"/>
      <c r="CS32" s="761"/>
      <c r="CT32" s="761"/>
      <c r="CU32" s="761"/>
      <c r="CV32" s="761"/>
      <c r="CW32" s="761"/>
      <c r="CX32" s="761"/>
      <c r="CY32" s="761"/>
      <c r="CZ32" s="761"/>
      <c r="DA32" s="761"/>
      <c r="DB32" s="761"/>
      <c r="DC32" s="761"/>
      <c r="DD32" s="761"/>
      <c r="DE32" s="761"/>
      <c r="DF32" s="761"/>
      <c r="DG32" s="761"/>
    </row>
    <row r="33" spans="18:111" ht="17" thickBot="1">
      <c r="R33" s="639"/>
      <c r="S33" s="639"/>
      <c r="T33" s="846" t="s">
        <v>84</v>
      </c>
      <c r="U33" s="846"/>
      <c r="V33" s="846" t="s">
        <v>80</v>
      </c>
      <c r="W33" s="639"/>
      <c r="X33" s="639"/>
      <c r="Y33" s="639"/>
      <c r="Z33" s="639"/>
      <c r="AA33" s="846" t="s">
        <v>84</v>
      </c>
      <c r="AB33" s="846"/>
      <c r="AC33" s="846" t="s">
        <v>80</v>
      </c>
      <c r="AE33" s="865"/>
      <c r="AF33" s="866"/>
      <c r="AG33" s="848">
        <f>SUM(AG31:AG32)</f>
        <v>0</v>
      </c>
      <c r="AH33" s="868"/>
      <c r="AI33" s="869"/>
      <c r="AJ33" s="646"/>
      <c r="AK33" s="865"/>
      <c r="AL33" s="866"/>
      <c r="AM33" s="848">
        <f>SUM(AM31:AM32)</f>
        <v>0</v>
      </c>
      <c r="AN33" s="868"/>
      <c r="AO33" s="869"/>
      <c r="AQ33" s="806"/>
      <c r="AR33" s="870" t="s">
        <v>50</v>
      </c>
      <c r="AS33" s="806" t="s">
        <v>80</v>
      </c>
      <c r="AY33" s="844" t="e">
        <f>AY26*12</f>
        <v>#NUM!</v>
      </c>
      <c r="BB33" s="648"/>
      <c r="BC33" s="38">
        <f>SUM(BC29:BC32)</f>
        <v>0</v>
      </c>
      <c r="BD33" s="44">
        <f>SUM(BD29:BD32)</f>
        <v>0</v>
      </c>
      <c r="BE33" s="38">
        <f>SUM(BE29:BE32)</f>
        <v>0</v>
      </c>
      <c r="BF33" s="648"/>
      <c r="BG33" s="47">
        <f>SUM(BG29:BG32)</f>
        <v>0</v>
      </c>
      <c r="BH33" s="43">
        <f>SUM(BH29:BH32)</f>
        <v>0</v>
      </c>
      <c r="BI33" s="47">
        <f>SUM(BI29:BI32)</f>
        <v>0</v>
      </c>
      <c r="BJ33" s="648"/>
      <c r="BK33" s="38">
        <f>BE33</f>
        <v>0</v>
      </c>
      <c r="BL33" s="648" t="s">
        <v>44</v>
      </c>
      <c r="BN33" s="717" t="s">
        <v>96</v>
      </c>
      <c r="BO33" s="23">
        <f>SUM(BC14:BC17)</f>
        <v>4568</v>
      </c>
      <c r="BP33" s="24">
        <f>SUM(BP29:BP32)</f>
        <v>0</v>
      </c>
      <c r="CF33" s="761"/>
      <c r="CG33" s="761"/>
      <c r="CH33" s="761"/>
      <c r="CI33" s="761"/>
      <c r="CJ33" s="761"/>
      <c r="CK33" s="761"/>
      <c r="CL33" s="761"/>
      <c r="CM33" s="761"/>
      <c r="CN33" s="761"/>
      <c r="CO33" s="761"/>
      <c r="CP33" s="761"/>
      <c r="CQ33" s="761"/>
      <c r="CR33" s="761"/>
      <c r="CS33" s="761"/>
      <c r="CT33" s="761"/>
      <c r="CU33" s="761"/>
      <c r="CV33" s="761"/>
      <c r="CW33" s="761"/>
      <c r="CX33" s="761"/>
      <c r="CY33" s="761"/>
      <c r="CZ33" s="761"/>
      <c r="DA33" s="761"/>
      <c r="DB33" s="761"/>
      <c r="DC33" s="761"/>
      <c r="DD33" s="761"/>
      <c r="DE33" s="761"/>
      <c r="DF33" s="761"/>
      <c r="DG33" s="761"/>
    </row>
    <row r="34" spans="18:111" ht="16.5">
      <c r="R34" s="851" t="s">
        <v>142</v>
      </c>
      <c r="S34" s="33"/>
      <c r="T34" s="852">
        <f>IFERROR(('GL&amp;EE TOOL'!H22/V34),0)</f>
        <v>0</v>
      </c>
      <c r="U34" s="33"/>
      <c r="V34" s="853" t="str">
        <f>IFERROR(VLOOKUP('GL&amp;EE TOOL'!H24,C4:D16,2,FALSE),"")</f>
        <v/>
      </c>
      <c r="W34" s="33"/>
      <c r="X34" s="33"/>
      <c r="Y34" s="847" t="s">
        <v>142</v>
      </c>
      <c r="Z34" s="33"/>
      <c r="AA34" s="854">
        <f>IFERROR(('GL&amp;EE TOOL'!M22/AC34),0)</f>
        <v>0</v>
      </c>
      <c r="AB34" s="33"/>
      <c r="AC34" s="852" t="str">
        <f>IFERROR(VLOOKUP('GL&amp;EE TOOL'!M24,C4:D16,2,FALSE),"")</f>
        <v/>
      </c>
      <c r="AE34" s="865"/>
      <c r="AF34" s="866"/>
      <c r="AG34" s="868"/>
      <c r="AH34" s="868"/>
      <c r="AI34" s="869"/>
      <c r="AJ34" s="646"/>
      <c r="AK34" s="865"/>
      <c r="AL34" s="866"/>
      <c r="AM34" s="868"/>
      <c r="AN34" s="868"/>
      <c r="AO34" s="869"/>
      <c r="AQ34" s="707" t="s">
        <v>14</v>
      </c>
      <c r="AR34" s="871"/>
      <c r="AS34" s="872">
        <f>SUM(T4)+SUM(T12)+(SUM(T18)*80%)+(SUM(AA4)*80%)+(SUM(T24+AA24)*0.8)+(SUM(AA12)*80%)+(SUM(AA18)*80%)</f>
        <v>0</v>
      </c>
      <c r="AY34" s="844">
        <f>AY27*12</f>
        <v>0.86999999999999988</v>
      </c>
      <c r="BB34" s="663" t="s">
        <v>49</v>
      </c>
      <c r="BC34" s="654" t="s">
        <v>50</v>
      </c>
      <c r="BD34" s="654"/>
      <c r="BE34" s="663" t="s">
        <v>51</v>
      </c>
      <c r="BF34" s="654"/>
      <c r="BG34" s="654"/>
      <c r="BH34" s="664" t="s">
        <v>52</v>
      </c>
      <c r="BI34" s="664" t="s">
        <v>53</v>
      </c>
      <c r="BJ34" s="654"/>
      <c r="BK34" s="46">
        <f>SUM(BK30:BK33)</f>
        <v>0</v>
      </c>
      <c r="BL34" s="665" t="s">
        <v>54</v>
      </c>
      <c r="CF34" s="761"/>
      <c r="CG34" s="761"/>
      <c r="CH34" s="761"/>
      <c r="CI34" s="761"/>
      <c r="CJ34" s="761"/>
      <c r="CK34" s="761"/>
      <c r="CL34" s="761"/>
      <c r="CM34" s="761"/>
      <c r="CN34" s="761"/>
      <c r="CO34" s="761"/>
      <c r="CP34" s="761"/>
      <c r="CQ34" s="761"/>
      <c r="CR34" s="761"/>
      <c r="CS34" s="761"/>
      <c r="CT34" s="761"/>
      <c r="CU34" s="761"/>
      <c r="CV34" s="761"/>
      <c r="CW34" s="761"/>
      <c r="CX34" s="761"/>
      <c r="CY34" s="761"/>
      <c r="CZ34" s="761"/>
      <c r="DA34" s="761"/>
      <c r="DB34" s="761"/>
      <c r="DC34" s="761"/>
      <c r="DD34" s="761"/>
      <c r="DE34" s="761"/>
      <c r="DF34" s="761"/>
      <c r="DG34" s="761"/>
    </row>
    <row r="35" spans="18:111">
      <c r="AQ35" s="707" t="s">
        <v>22</v>
      </c>
      <c r="AR35" s="707"/>
      <c r="AS35" s="872">
        <f t="shared" ref="AS35:AS37" si="2">SUM(T5)+SUM(T13)+(SUM(T19)*80%)+(SUM(AA5)*80%)+(SUM(T25+AA25)*0.8)+(SUM(AA13)*80%)+(SUM(AA19)*80%)</f>
        <v>0</v>
      </c>
      <c r="AY35" s="17"/>
      <c r="BB35" s="648"/>
      <c r="BC35" s="648" t="s">
        <v>59</v>
      </c>
      <c r="BD35" s="648" t="s">
        <v>60</v>
      </c>
      <c r="BE35" s="648" t="s">
        <v>59</v>
      </c>
      <c r="BF35" s="648" t="s">
        <v>60</v>
      </c>
      <c r="BG35" s="646"/>
      <c r="BH35" s="648"/>
      <c r="BI35" s="648"/>
      <c r="BJ35" s="645"/>
      <c r="BK35" s="648"/>
      <c r="BL35" s="648"/>
      <c r="CF35" s="761"/>
      <c r="CG35" s="761"/>
      <c r="CH35" s="761"/>
      <c r="CI35" s="761"/>
      <c r="CJ35" s="761"/>
      <c r="CK35" s="761"/>
      <c r="CL35" s="761"/>
      <c r="CM35" s="761"/>
      <c r="CN35" s="761"/>
      <c r="CO35" s="761"/>
      <c r="CP35" s="761"/>
      <c r="CQ35" s="761"/>
      <c r="CR35" s="761"/>
      <c r="CS35" s="761"/>
      <c r="CT35" s="761"/>
      <c r="CU35" s="761"/>
      <c r="CV35" s="761"/>
      <c r="CW35" s="761"/>
      <c r="CX35" s="761"/>
      <c r="CY35" s="761"/>
      <c r="CZ35" s="761"/>
      <c r="DA35" s="761"/>
      <c r="DB35" s="761"/>
      <c r="DC35" s="761"/>
      <c r="DD35" s="761"/>
      <c r="DE35" s="761"/>
      <c r="DF35" s="761"/>
      <c r="DG35" s="761"/>
    </row>
    <row r="36" spans="18:111">
      <c r="R36" s="798"/>
      <c r="S36" s="799"/>
      <c r="T36" s="704"/>
      <c r="U36" s="704"/>
      <c r="V36" s="704"/>
      <c r="W36" s="704"/>
      <c r="X36" s="704"/>
      <c r="Y36" s="704"/>
      <c r="Z36" s="799"/>
      <c r="AA36" s="799"/>
      <c r="AB36" s="704"/>
      <c r="AC36" s="704"/>
      <c r="AD36" s="704"/>
      <c r="AE36" s="704"/>
      <c r="AF36" s="704"/>
      <c r="AG36" s="704"/>
      <c r="AK36" s="1178" t="s">
        <v>161</v>
      </c>
      <c r="AL36" s="1179"/>
      <c r="AM36" s="1179"/>
      <c r="AN36" s="1179"/>
      <c r="AO36" s="1180"/>
      <c r="AQ36" s="707" t="s">
        <v>32</v>
      </c>
      <c r="AR36" s="707"/>
      <c r="AS36" s="872">
        <f t="shared" si="2"/>
        <v>0</v>
      </c>
      <c r="BB36" s="666" t="s">
        <v>72</v>
      </c>
      <c r="BC36" s="41">
        <f>(R69*AM69)+(R70*AM70)+(R71*AM71)</f>
        <v>0</v>
      </c>
      <c r="BD36" s="41">
        <f>R72</f>
        <v>0</v>
      </c>
      <c r="BE36" s="33">
        <f>SUM(AN74:AU74)</f>
        <v>0</v>
      </c>
      <c r="BF36" s="50">
        <f>AP68</f>
        <v>0</v>
      </c>
      <c r="BG36" s="45">
        <f>(IF(BD36&gt;BC36,BD36,BC36)+(IF(BF36&gt;BE36,BF36,BE36)))</f>
        <v>0</v>
      </c>
      <c r="BH36" s="13">
        <f>SUM(U69+(U70*2))</f>
        <v>0</v>
      </c>
      <c r="BI36" s="39">
        <f>AN32*(SUM(BH36:BH39))</f>
        <v>0</v>
      </c>
      <c r="BJ36" s="645"/>
      <c r="BK36" s="47">
        <f>BG33+BI33</f>
        <v>0</v>
      </c>
      <c r="BL36" s="667" t="s">
        <v>65</v>
      </c>
      <c r="CF36" s="761"/>
      <c r="CG36" s="761"/>
      <c r="CH36" s="761"/>
      <c r="CI36" s="761"/>
      <c r="CJ36" s="761"/>
      <c r="CK36" s="761"/>
      <c r="CL36" s="761"/>
      <c r="CM36" s="761"/>
      <c r="CN36" s="761"/>
      <c r="CO36" s="761"/>
      <c r="CP36" s="761"/>
      <c r="CQ36" s="761"/>
      <c r="CR36" s="761"/>
      <c r="CS36" s="761"/>
      <c r="CT36" s="761"/>
      <c r="CU36" s="761"/>
      <c r="CV36" s="761"/>
      <c r="CW36" s="761"/>
      <c r="CX36" s="761"/>
      <c r="CY36" s="761"/>
      <c r="CZ36" s="761"/>
      <c r="DA36" s="761"/>
      <c r="DB36" s="761"/>
      <c r="DC36" s="761"/>
      <c r="DD36" s="761"/>
      <c r="DE36" s="761"/>
      <c r="DF36" s="761"/>
      <c r="DG36" s="761"/>
    </row>
    <row r="37" spans="18:111">
      <c r="R37" s="798" t="s">
        <v>117</v>
      </c>
      <c r="S37" s="800" t="s">
        <v>150</v>
      </c>
      <c r="T37" s="706" t="s">
        <v>151</v>
      </c>
      <c r="U37" s="706"/>
      <c r="V37" s="706" t="s">
        <v>152</v>
      </c>
      <c r="W37" s="706"/>
      <c r="X37" s="706" t="s">
        <v>153</v>
      </c>
      <c r="Y37" s="706" t="s">
        <v>154</v>
      </c>
      <c r="Z37" s="798" t="s">
        <v>117</v>
      </c>
      <c r="AA37" s="800" t="s">
        <v>150</v>
      </c>
      <c r="AB37" s="706" t="s">
        <v>151</v>
      </c>
      <c r="AC37" s="706"/>
      <c r="AD37" s="706" t="s">
        <v>152</v>
      </c>
      <c r="AE37" s="706"/>
      <c r="AF37" s="706" t="s">
        <v>153</v>
      </c>
      <c r="AG37" s="706" t="s">
        <v>154</v>
      </c>
      <c r="AK37" s="865" t="s">
        <v>162</v>
      </c>
      <c r="AL37" s="866"/>
      <c r="AM37" s="848">
        <f>IFERROR(('Servicing Calc'!H44/AO37),0)</f>
        <v>0</v>
      </c>
      <c r="AN37" s="868"/>
      <c r="AO37" s="849" t="e">
        <f>VLOOKUP('Servicing Calc'!K42,D4:D16,2,FALSE)</f>
        <v>#N/A</v>
      </c>
      <c r="AQ37" s="707" t="s">
        <v>39</v>
      </c>
      <c r="AR37" s="707"/>
      <c r="AS37" s="872">
        <f t="shared" si="2"/>
        <v>0</v>
      </c>
      <c r="BB37" s="666" t="s">
        <v>76</v>
      </c>
      <c r="BC37" s="33">
        <f>(AB69*AM69)+(AB70*AM70)+(AB71*AM71)</f>
        <v>0</v>
      </c>
      <c r="BD37" s="41">
        <f>AB72</f>
        <v>0</v>
      </c>
      <c r="BE37" s="33">
        <f>SUM(AV74:BC74)</f>
        <v>0</v>
      </c>
      <c r="BF37" s="41">
        <f>AW68</f>
        <v>0</v>
      </c>
      <c r="BG37" s="45">
        <f t="shared" ref="BG37" si="3">(IF(BD37&gt;BC37,BD37,BC37)+(IF(BF37&gt;BE37,BF37,BE37)))</f>
        <v>0</v>
      </c>
      <c r="BH37" s="13">
        <f>SUM(AE69+(AE70*2))</f>
        <v>0</v>
      </c>
      <c r="BI37" s="648"/>
      <c r="BJ37" s="648"/>
      <c r="BK37" s="49">
        <f>BG43</f>
        <v>0</v>
      </c>
      <c r="BL37" s="669" t="s">
        <v>71</v>
      </c>
      <c r="CF37" s="761"/>
      <c r="CG37" s="761"/>
      <c r="CH37" s="761"/>
      <c r="CI37" s="761"/>
      <c r="CJ37" s="761"/>
      <c r="CK37" s="761"/>
      <c r="CL37" s="761"/>
      <c r="CM37" s="761"/>
      <c r="CN37" s="761"/>
      <c r="CO37" s="761"/>
      <c r="CP37" s="761"/>
      <c r="CQ37" s="761"/>
      <c r="CR37" s="761"/>
      <c r="CS37" s="761"/>
      <c r="CT37" s="761"/>
      <c r="CU37" s="761"/>
      <c r="CV37" s="761"/>
      <c r="CW37" s="761"/>
      <c r="CX37" s="761"/>
      <c r="CY37" s="761"/>
      <c r="CZ37" s="761"/>
      <c r="DA37" s="761"/>
      <c r="DB37" s="761"/>
      <c r="DC37" s="761"/>
      <c r="DD37" s="761"/>
      <c r="DE37" s="761"/>
      <c r="DF37" s="761"/>
      <c r="DG37" s="761"/>
    </row>
    <row r="38" spans="18:111" ht="15.5" thickBot="1">
      <c r="R38" s="801">
        <f>IF(NOT(OR('Servicing Calc'!K50="china", 'Servicing Calc'!K50="Vietnam",'Servicing Calc'!K50="Malaysia",'Servicing Calc'!K50="Indonesia",'Servicing Calc'!K50="south korea")), (('Servicing Calc'!H50*AY6)+('Servicing Calc'!H51*AY7)+('Servicing Calc'!H52*AY8)), "")</f>
        <v>0</v>
      </c>
      <c r="S38" s="802" t="str">
        <f>IF('Servicing Calc'!K50="China", (('Servicing Calc'!H50*AY6)+('Servicing Calc'!H51*AY7)+('Servicing Calc'!H52*AY8))*60%, "")</f>
        <v/>
      </c>
      <c r="T38" s="33" t="str">
        <f>IF('Servicing Calc'!K50="Vietnam", (('Servicing Calc'!H50*AY6)+('Servicing Calc'!H51*AY7)+('Servicing Calc'!H52*AY8))*60%, "")</f>
        <v/>
      </c>
      <c r="U38" s="707"/>
      <c r="V38" s="33" t="str">
        <f>IF('Servicing Calc'!K50="Malaysia", (('Servicing Calc'!H50*AY6)+('Servicing Calc'!H51*AY7)+('Servicing Calc'!H52*AY8))*60%, "")</f>
        <v/>
      </c>
      <c r="W38" s="707"/>
      <c r="X38" s="33" t="str">
        <f>IF('Servicing Calc'!K50="Indonesia", (('Servicing Calc'!H50*AY6)+('Servicing Calc'!H51*AY7)+('Servicing Calc'!H52*AY8))*60%, "")</f>
        <v/>
      </c>
      <c r="Y38" s="33" t="str">
        <f>IF('Servicing Calc'!K50="South Korea", (('Servicing Calc'!H50*AY6)+('Servicing Calc'!H51*AY7)+('Servicing Calc'!H52*AY8))*110%, "")</f>
        <v/>
      </c>
      <c r="Z38" s="801">
        <f>IF(NOT(OR('Servicing Calc'!U50="china", 'Servicing Calc'!U50="Vietnam", 'Servicing Calc'!U50="Malaysia", 'Servicing Calc'!U50="Indonesia", 'Servicing Calc'!U50="south korea")), (('Servicing Calc'!R50*AY6)+('Servicing Calc'!R51*AY7)+('Servicing Calc'!R52*AY8)), "")</f>
        <v>0</v>
      </c>
      <c r="AA38" s="802" t="str">
        <f>IF('Servicing Calc'!U50="China", (('Servicing Calc'!R50*AY6)+('Servicing Calc'!R51*AY7)+('Servicing Calc'!R52*AY8))*60%, "")</f>
        <v/>
      </c>
      <c r="AB38" s="33" t="str">
        <f>IF('Servicing Calc'!U50="Vietnam", (('Servicing Calc'!R50*AY6)+('Servicing Calc'!R51*AY7)+('Servicing Calc'!R52*AY8))*60%, "")</f>
        <v/>
      </c>
      <c r="AC38" s="707"/>
      <c r="AD38" s="33" t="str">
        <f>IF('Servicing Calc'!U50="Malaysia", (('Servicing Calc'!R50*AY6)+('Servicing Calc'!R51*AY7)+('Servicing Calc'!R52*AY8))*60%, "")</f>
        <v/>
      </c>
      <c r="AE38" s="707"/>
      <c r="AF38" s="33" t="str">
        <f>IF('Servicing Calc'!U50="Indonesia", (('Servicing Calc'!R50*AY6)+('Servicing Calc'!R51*AY7)+('Servicing Calc'!R52*AY8))*60%, "")</f>
        <v/>
      </c>
      <c r="AG38" s="33" t="str">
        <f>IF('Servicing Calc'!U50="South Korea", (('Servicing Calc'!R50*AY6)+('Servicing Calc'!R51*AY7)+('Servicing Calc'!R52*AY8))*110%, "")</f>
        <v/>
      </c>
      <c r="AK38" s="865" t="s">
        <v>164</v>
      </c>
      <c r="AL38" s="866"/>
      <c r="AM38" s="848">
        <f>IFERROR(('Additional Borrowers'!H36/AO38),0)</f>
        <v>0</v>
      </c>
      <c r="AN38" s="868"/>
      <c r="AO38" s="849" t="e">
        <f>VLOOKUP('Additional Borrowers'!K36,C4:D16,2,FALSE)</f>
        <v>#N/A</v>
      </c>
      <c r="AQ38" s="873" t="s">
        <v>96</v>
      </c>
      <c r="AR38" s="874">
        <f>SUM(AF5:AF8)</f>
        <v>0</v>
      </c>
      <c r="AS38" s="875">
        <f>SUM(AS34:AS37)</f>
        <v>0</v>
      </c>
      <c r="BB38" s="682"/>
      <c r="BC38" s="648"/>
      <c r="BD38" s="648"/>
      <c r="BE38" s="648"/>
      <c r="BF38" s="648"/>
      <c r="BG38" s="45">
        <f>(IF(BD38&gt;BC38,BD38,BC38)+(IF(BF38&gt;BE38,BF38,BE38)))</f>
        <v>0</v>
      </c>
      <c r="BH38" s="671"/>
      <c r="BI38" s="648"/>
      <c r="BJ38" s="648"/>
      <c r="BK38" s="648"/>
      <c r="BL38" s="648"/>
      <c r="CF38" s="761"/>
      <c r="CG38" s="761"/>
      <c r="CH38" s="761"/>
      <c r="CI38" s="761"/>
      <c r="CJ38" s="761"/>
      <c r="CK38" s="761"/>
      <c r="CL38" s="761"/>
      <c r="CM38" s="761"/>
      <c r="CN38" s="761"/>
      <c r="CO38" s="761"/>
      <c r="CP38" s="761"/>
      <c r="CQ38" s="761"/>
      <c r="CR38" s="761"/>
      <c r="CS38" s="761"/>
      <c r="CT38" s="761"/>
      <c r="CU38" s="761"/>
      <c r="CV38" s="761"/>
      <c r="CW38" s="761"/>
      <c r="CX38" s="761"/>
      <c r="CY38" s="761"/>
      <c r="CZ38" s="761"/>
      <c r="DA38" s="761"/>
      <c r="DB38" s="761"/>
      <c r="DC38" s="761"/>
      <c r="DD38" s="761"/>
      <c r="DE38" s="761"/>
      <c r="DF38" s="761"/>
      <c r="DG38" s="761"/>
    </row>
    <row r="39" spans="18:111">
      <c r="AK39" s="865"/>
      <c r="AL39" s="866"/>
      <c r="AM39" s="848">
        <f>SUM(AM37:AM38)</f>
        <v>0</v>
      </c>
      <c r="AN39" s="868"/>
      <c r="AO39" s="869"/>
      <c r="BB39" s="646"/>
      <c r="BC39" s="648"/>
      <c r="BD39" s="648"/>
      <c r="BE39" s="648"/>
      <c r="BF39" s="648"/>
      <c r="BG39" s="45">
        <f>(IF(BD39&gt;BC39,BD39,BC39)+(IF(BF39&gt;BE39,BF39,BE39)))</f>
        <v>0</v>
      </c>
      <c r="BH39" s="671"/>
      <c r="BI39" s="671"/>
      <c r="BJ39" s="648"/>
      <c r="BK39" s="648"/>
      <c r="BL39" s="648"/>
      <c r="CF39" s="761"/>
      <c r="CG39" s="761"/>
      <c r="CH39" s="761"/>
      <c r="CI39" s="761"/>
      <c r="CJ39" s="761"/>
      <c r="CK39" s="761"/>
      <c r="CL39" s="761"/>
      <c r="CM39" s="761"/>
      <c r="CN39" s="761"/>
      <c r="CO39" s="761"/>
      <c r="CP39" s="761"/>
      <c r="CQ39" s="761"/>
      <c r="CR39" s="761"/>
      <c r="CS39" s="761"/>
      <c r="CT39" s="761"/>
      <c r="CU39" s="761"/>
      <c r="CV39" s="761"/>
      <c r="CW39" s="761"/>
      <c r="CX39" s="761"/>
      <c r="CY39" s="761"/>
      <c r="CZ39" s="761"/>
      <c r="DA39" s="761"/>
      <c r="DB39" s="761"/>
      <c r="DC39" s="761"/>
      <c r="DD39" s="761"/>
      <c r="DE39" s="761"/>
      <c r="DF39" s="761"/>
      <c r="DG39" s="761"/>
    </row>
    <row r="40" spans="18:111">
      <c r="AK40" s="865"/>
      <c r="AL40" s="866"/>
      <c r="AM40" s="868"/>
      <c r="AN40" s="868"/>
      <c r="AO40" s="869"/>
      <c r="CF40" s="761"/>
      <c r="CG40" s="761"/>
      <c r="CH40" s="761"/>
      <c r="CI40" s="761"/>
      <c r="CJ40" s="761"/>
      <c r="CK40" s="761"/>
      <c r="CL40" s="761"/>
      <c r="CM40" s="761"/>
      <c r="CN40" s="761"/>
      <c r="CO40" s="761"/>
      <c r="CP40" s="761"/>
      <c r="CQ40" s="761"/>
      <c r="CR40" s="761"/>
      <c r="CS40" s="761"/>
      <c r="CT40" s="761"/>
      <c r="CU40" s="761"/>
      <c r="CV40" s="761"/>
      <c r="CW40" s="761"/>
      <c r="CX40" s="761"/>
      <c r="CY40" s="761"/>
      <c r="CZ40" s="761"/>
      <c r="DA40" s="761"/>
      <c r="DB40" s="761"/>
      <c r="DC40" s="761"/>
      <c r="DD40" s="761"/>
      <c r="DE40" s="761"/>
      <c r="DF40" s="761"/>
      <c r="DG40" s="761"/>
    </row>
    <row r="41" spans="18:111">
      <c r="CF41" s="761"/>
      <c r="CG41" s="761"/>
      <c r="CH41" s="761"/>
      <c r="CI41" s="761"/>
      <c r="CJ41" s="761"/>
      <c r="CK41" s="761"/>
      <c r="CL41" s="761"/>
      <c r="CM41" s="761"/>
      <c r="CN41" s="761"/>
      <c r="CO41" s="761"/>
      <c r="CP41" s="761"/>
      <c r="CQ41" s="761"/>
      <c r="CR41" s="761"/>
      <c r="CS41" s="761"/>
      <c r="CT41" s="761"/>
      <c r="CU41" s="761"/>
      <c r="CV41" s="761"/>
      <c r="CW41" s="761"/>
      <c r="CX41" s="761"/>
      <c r="CY41" s="761"/>
      <c r="CZ41" s="761"/>
      <c r="DA41" s="761"/>
      <c r="DB41" s="761"/>
      <c r="DC41" s="761"/>
      <c r="DD41" s="761"/>
      <c r="DE41" s="761"/>
      <c r="DF41" s="761"/>
      <c r="DG41" s="761"/>
    </row>
    <row r="42" spans="18:111">
      <c r="CF42" s="761"/>
      <c r="CG42" s="761"/>
      <c r="CH42" s="761"/>
      <c r="CI42" s="761"/>
      <c r="CJ42" s="761"/>
      <c r="CK42" s="761"/>
      <c r="CL42" s="761"/>
      <c r="CM42" s="761"/>
      <c r="CN42" s="761"/>
      <c r="CO42" s="761"/>
      <c r="CP42" s="761"/>
      <c r="CQ42" s="761"/>
      <c r="CR42" s="761"/>
      <c r="CS42" s="761"/>
      <c r="CT42" s="761"/>
      <c r="CU42" s="761"/>
      <c r="CV42" s="761"/>
      <c r="CW42" s="761"/>
      <c r="CX42" s="761"/>
      <c r="CY42" s="761"/>
      <c r="CZ42" s="761"/>
      <c r="DA42" s="761"/>
      <c r="DB42" s="761"/>
      <c r="DC42" s="761"/>
      <c r="DD42" s="761"/>
      <c r="DE42" s="761"/>
      <c r="DF42" s="761"/>
      <c r="DG42" s="761"/>
    </row>
    <row r="43" spans="18:111">
      <c r="CF43" s="761"/>
      <c r="CG43" s="761"/>
      <c r="CH43" s="761"/>
      <c r="CI43" s="761"/>
      <c r="CJ43" s="761"/>
      <c r="CK43" s="761"/>
      <c r="CL43" s="761"/>
      <c r="CM43" s="761"/>
      <c r="CN43" s="761"/>
      <c r="CO43" s="761"/>
      <c r="CP43" s="761"/>
      <c r="CQ43" s="761"/>
      <c r="CR43" s="761"/>
      <c r="CS43" s="761"/>
      <c r="CT43" s="761"/>
      <c r="CU43" s="761"/>
      <c r="CV43" s="761"/>
      <c r="CW43" s="761"/>
      <c r="CX43" s="761"/>
      <c r="CY43" s="761"/>
      <c r="CZ43" s="761"/>
      <c r="DA43" s="761"/>
      <c r="DB43" s="761"/>
      <c r="DC43" s="761"/>
      <c r="DD43" s="761"/>
      <c r="DE43" s="761"/>
      <c r="DF43" s="761"/>
      <c r="DG43" s="761"/>
    </row>
    <row r="44" spans="18:111">
      <c r="CF44" s="761"/>
      <c r="CG44" s="761"/>
      <c r="CH44" s="761"/>
      <c r="CI44" s="761"/>
      <c r="CJ44" s="761"/>
      <c r="CK44" s="761"/>
      <c r="CL44" s="761"/>
      <c r="CM44" s="761"/>
      <c r="CN44" s="761"/>
      <c r="CO44" s="761"/>
      <c r="CP44" s="761"/>
      <c r="CQ44" s="761"/>
      <c r="CR44" s="761"/>
      <c r="CS44" s="761"/>
      <c r="CT44" s="761"/>
      <c r="CU44" s="761"/>
      <c r="CV44" s="761"/>
      <c r="CW44" s="761"/>
      <c r="CX44" s="761"/>
      <c r="CY44" s="761"/>
      <c r="CZ44" s="761"/>
      <c r="DA44" s="761"/>
      <c r="DB44" s="761"/>
      <c r="DC44" s="761"/>
      <c r="DD44" s="761"/>
      <c r="DE44" s="761"/>
      <c r="DF44" s="761"/>
      <c r="DG44" s="761"/>
    </row>
  </sheetData>
  <protectedRanges>
    <protectedRange sqref="Z30:AB30" name="User Input_1"/>
    <protectedRange sqref="BM9 BO9" name="User Input_1_3"/>
  </protectedRanges>
  <mergeCells count="28">
    <mergeCell ref="AK36:AO36"/>
    <mergeCell ref="BA2:BC3"/>
    <mergeCell ref="BD9:BE9"/>
    <mergeCell ref="BW5:CA5"/>
    <mergeCell ref="BW20:CA20"/>
    <mergeCell ref="BD18:BS18"/>
    <mergeCell ref="AR30:AV30"/>
    <mergeCell ref="AX2:AY2"/>
    <mergeCell ref="AE30:AI30"/>
    <mergeCell ref="AE23:AI23"/>
    <mergeCell ref="AK23:AO23"/>
    <mergeCell ref="AK30:AO30"/>
    <mergeCell ref="B2:D2"/>
    <mergeCell ref="F2:H2"/>
    <mergeCell ref="J2:K2"/>
    <mergeCell ref="R2:AC2"/>
    <mergeCell ref="Y3:Z3"/>
    <mergeCell ref="R17:V17"/>
    <mergeCell ref="R11:V11"/>
    <mergeCell ref="Y11:AC11"/>
    <mergeCell ref="Y17:AC17"/>
    <mergeCell ref="CB2:CE3"/>
    <mergeCell ref="CG2:CH2"/>
    <mergeCell ref="CI2:CJ2"/>
    <mergeCell ref="R23:V23"/>
    <mergeCell ref="Y23:AC23"/>
    <mergeCell ref="AR2:AV2"/>
    <mergeCell ref="AR17:AV17"/>
  </mergeCells>
  <phoneticPr fontId="3" type="noConversion"/>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4E812B2-68A6-490A-8412-D7100050FE72}">
          <x14:formula1>
            <xm:f>'Exchange Rates'!$C$4:$C$16</xm:f>
          </x14:formula1>
          <xm:sqref>X12:X16 X18:X21 BJ22:BJ25 BR16 BR13:BR14 AL19:AL21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92A9F-858D-4960-A20B-D7DD434BBE9B}">
  <sheetPr codeName="Sheet6"/>
  <dimension ref="B2:AI55"/>
  <sheetViews>
    <sheetView workbookViewId="0"/>
  </sheetViews>
  <sheetFormatPr defaultColWidth="12.54296875" defaultRowHeight="15.5"/>
  <cols>
    <col min="1" max="1" width="12.54296875" style="54"/>
    <col min="2" max="2" width="20" style="54" customWidth="1"/>
    <col min="3" max="3" width="3.7265625" style="54" customWidth="1"/>
    <col min="4" max="4" width="8.81640625" style="54" customWidth="1"/>
    <col min="5" max="5" width="14.54296875" style="54" customWidth="1"/>
    <col min="6" max="6" width="3.1796875" style="54" customWidth="1"/>
    <col min="7" max="7" width="9.1796875" style="54" customWidth="1"/>
    <col min="8" max="8" width="17.1796875" style="54" customWidth="1"/>
    <col min="9" max="9" width="3.7265625" style="54" customWidth="1"/>
    <col min="10" max="10" width="13.26953125" style="54" customWidth="1"/>
    <col min="11" max="11" width="10.54296875" style="54" bestFit="1" customWidth="1"/>
    <col min="12" max="12" width="3.1796875" style="54" customWidth="1"/>
    <col min="13" max="13" width="15.1796875" style="54" customWidth="1"/>
    <col min="14" max="14" width="10.54296875" style="54" customWidth="1"/>
    <col min="15" max="15" width="2.81640625" style="54" customWidth="1"/>
    <col min="16" max="16" width="11.26953125" style="54" customWidth="1"/>
    <col min="17" max="17" width="10.54296875" style="54" bestFit="1" customWidth="1"/>
    <col min="18" max="18" width="4.26953125" style="54" customWidth="1"/>
    <col min="19" max="19" width="8.26953125" style="54" customWidth="1"/>
    <col min="20" max="20" width="12.81640625" style="54" bestFit="1" customWidth="1"/>
    <col min="21" max="21" width="3.7265625" style="54" customWidth="1"/>
    <col min="22" max="22" width="11.26953125" style="54" customWidth="1"/>
    <col min="23" max="23" width="12.81640625" style="54" bestFit="1" customWidth="1"/>
    <col min="24" max="24" width="3.7265625" style="54" customWidth="1"/>
    <col min="25" max="25" width="8.81640625" style="54" customWidth="1"/>
    <col min="26" max="26" width="10.54296875" style="54" bestFit="1" customWidth="1"/>
    <col min="27" max="27" width="3.1796875" style="54" customWidth="1"/>
    <col min="28" max="28" width="9.26953125" style="54" customWidth="1"/>
    <col min="29" max="29" width="14" style="54" customWidth="1"/>
    <col min="30" max="30" width="6" style="54" customWidth="1"/>
    <col min="31" max="31" width="7.1796875" style="54" customWidth="1"/>
    <col min="32" max="32" width="12.54296875" style="54"/>
    <col min="33" max="33" width="8.26953125" style="54" customWidth="1"/>
    <col min="34" max="34" width="8.81640625" style="54" customWidth="1"/>
    <col min="35" max="35" width="10.1796875" style="54" bestFit="1" customWidth="1"/>
    <col min="36" max="16384" width="12.54296875" style="54"/>
  </cols>
  <sheetData>
    <row r="2" spans="2:30" ht="15.4" customHeight="1">
      <c r="B2" s="1275" t="s">
        <v>360</v>
      </c>
      <c r="C2" s="1275"/>
      <c r="D2" s="1275"/>
      <c r="E2" s="1275"/>
      <c r="F2" s="1275"/>
      <c r="G2" s="1275"/>
      <c r="H2" s="1275"/>
      <c r="J2" s="55" t="s">
        <v>361</v>
      </c>
      <c r="K2" s="55"/>
      <c r="L2" s="55"/>
      <c r="M2" s="55"/>
      <c r="N2" s="55"/>
      <c r="O2" s="56"/>
      <c r="P2" s="56"/>
      <c r="Q2" s="56"/>
      <c r="R2" s="56"/>
      <c r="S2" s="56"/>
      <c r="T2" s="56"/>
      <c r="U2" s="56"/>
      <c r="V2" s="56"/>
      <c r="W2" s="56"/>
      <c r="X2" s="56"/>
      <c r="Y2" s="56"/>
      <c r="Z2" s="56"/>
      <c r="AA2" s="56"/>
      <c r="AB2" s="56"/>
      <c r="AC2" s="56"/>
      <c r="AD2" s="56"/>
    </row>
    <row r="3" spans="2:30" ht="19.149999999999999" customHeight="1" thickBot="1">
      <c r="B3" s="57" t="s">
        <v>362</v>
      </c>
      <c r="C3" s="57"/>
      <c r="D3" s="57"/>
      <c r="E3" s="57"/>
      <c r="F3" s="57"/>
      <c r="G3" s="57"/>
      <c r="H3" s="57"/>
      <c r="J3" s="1276" t="s">
        <v>363</v>
      </c>
      <c r="K3" s="1276"/>
      <c r="L3" s="1276"/>
      <c r="M3" s="58"/>
      <c r="N3" s="58"/>
      <c r="O3" s="59"/>
      <c r="P3" s="1277" t="s">
        <v>364</v>
      </c>
      <c r="Q3" s="1277"/>
      <c r="R3" s="1277"/>
      <c r="S3" s="60"/>
      <c r="T3" s="60"/>
      <c r="V3" s="1278" t="s">
        <v>365</v>
      </c>
      <c r="W3" s="1278"/>
      <c r="X3" s="1278"/>
      <c r="Y3" s="61"/>
      <c r="AA3" s="1279" t="s">
        <v>366</v>
      </c>
      <c r="AB3" s="1279"/>
      <c r="AC3" s="1279"/>
      <c r="AD3" s="62"/>
    </row>
    <row r="4" spans="2:30" ht="16.149999999999999" customHeight="1">
      <c r="B4" s="1280" t="s">
        <v>17</v>
      </c>
      <c r="C4" s="1281"/>
      <c r="D4" s="1281"/>
      <c r="E4" s="507" t="s">
        <v>367</v>
      </c>
      <c r="F4" s="507"/>
      <c r="G4" s="507"/>
      <c r="H4" s="507"/>
      <c r="I4" s="63"/>
      <c r="J4" s="64"/>
      <c r="K4" s="1282" t="s">
        <v>368</v>
      </c>
      <c r="L4" s="1282"/>
      <c r="M4" s="1282"/>
      <c r="N4" s="65"/>
      <c r="O4" s="66"/>
      <c r="P4" s="67"/>
      <c r="Q4" s="67"/>
      <c r="R4" s="67"/>
      <c r="S4" s="67"/>
      <c r="T4" s="67"/>
      <c r="U4" s="68"/>
      <c r="V4" s="1283"/>
      <c r="W4" s="1283"/>
      <c r="X4" s="1283"/>
      <c r="Y4" s="69"/>
      <c r="Z4" s="68"/>
      <c r="AA4" s="1264"/>
      <c r="AB4" s="1264"/>
      <c r="AC4" s="1264"/>
      <c r="AD4" s="70"/>
    </row>
    <row r="5" spans="2:30" ht="16.149999999999999" customHeight="1">
      <c r="B5" s="1259" t="s">
        <v>369</v>
      </c>
      <c r="C5" s="1260"/>
      <c r="D5" s="1260"/>
      <c r="E5" s="506" t="str">
        <f>'Loan Fees Calculator'!F12</f>
        <v>No</v>
      </c>
      <c r="F5" s="507"/>
      <c r="G5" s="507"/>
      <c r="H5" s="507"/>
      <c r="I5" s="63"/>
      <c r="J5" s="71"/>
      <c r="K5" s="72">
        <v>0.7</v>
      </c>
      <c r="L5" s="73"/>
      <c r="M5" s="72">
        <v>0.75</v>
      </c>
      <c r="N5" s="73"/>
      <c r="O5" s="74"/>
      <c r="P5" s="75"/>
      <c r="Q5" s="76">
        <v>0.65</v>
      </c>
      <c r="R5" s="75"/>
      <c r="S5" s="76">
        <v>0.75</v>
      </c>
      <c r="T5" s="75"/>
      <c r="U5" s="77"/>
      <c r="V5" s="78"/>
      <c r="W5" s="79">
        <v>0.65</v>
      </c>
      <c r="X5" s="78"/>
      <c r="Y5" s="79">
        <v>0.75</v>
      </c>
      <c r="Z5" s="68"/>
      <c r="AA5" s="70"/>
      <c r="AB5" s="70"/>
      <c r="AC5" s="80">
        <v>0.65</v>
      </c>
      <c r="AD5" s="80">
        <v>0.7</v>
      </c>
    </row>
    <row r="6" spans="2:30">
      <c r="B6" s="1259" t="s">
        <v>370</v>
      </c>
      <c r="C6" s="1260"/>
      <c r="D6" s="1260"/>
      <c r="E6" s="506" t="str">
        <f>'Loan Fees Calculator'!F11</f>
        <v>Yes</v>
      </c>
      <c r="F6" s="507"/>
      <c r="G6" s="507"/>
      <c r="H6" s="507"/>
      <c r="I6" s="81"/>
      <c r="J6" s="82">
        <v>1000000</v>
      </c>
      <c r="K6" s="83">
        <v>5.3600000000000002E-2</v>
      </c>
      <c r="L6" s="73"/>
      <c r="M6" s="83">
        <v>5.96E-2</v>
      </c>
      <c r="N6" s="73"/>
      <c r="O6" s="84"/>
      <c r="P6" s="85">
        <v>600000</v>
      </c>
      <c r="Q6" s="86">
        <v>6.2799999999999995E-2</v>
      </c>
      <c r="R6" s="87"/>
      <c r="S6" s="86">
        <v>6.4799999999999996E-2</v>
      </c>
      <c r="T6" s="75"/>
      <c r="U6" s="77"/>
      <c r="V6" s="88">
        <v>600000</v>
      </c>
      <c r="W6" s="86">
        <v>4.48E-2</v>
      </c>
      <c r="X6" s="87"/>
      <c r="Y6" s="86">
        <v>6.4799999999999996E-2</v>
      </c>
      <c r="Z6" s="68"/>
      <c r="AA6" s="1268">
        <v>600000</v>
      </c>
      <c r="AB6" s="1268"/>
      <c r="AC6" s="86">
        <v>4.48E-2</v>
      </c>
      <c r="AD6" s="86">
        <v>6.4799999999999996E-2</v>
      </c>
    </row>
    <row r="7" spans="2:30">
      <c r="B7" s="1259" t="s">
        <v>55</v>
      </c>
      <c r="C7" s="1260"/>
      <c r="D7" s="1260"/>
      <c r="E7" s="506" cm="1">
        <f t="array" ref="E7:G7">'Loan Fees Calculator'!D9:F9</f>
        <v>1800000</v>
      </c>
      <c r="F7" s="507">
        <v>0</v>
      </c>
      <c r="G7" s="507">
        <v>0</v>
      </c>
      <c r="H7" s="507"/>
      <c r="I7" s="81"/>
      <c r="J7" s="82">
        <v>1500000</v>
      </c>
      <c r="K7" s="83">
        <v>5.96E-2</v>
      </c>
      <c r="L7" s="73"/>
      <c r="M7" s="83">
        <v>5.96E-2</v>
      </c>
      <c r="N7" s="73"/>
      <c r="O7" s="84"/>
      <c r="P7" s="85">
        <v>1500000</v>
      </c>
      <c r="Q7" s="86">
        <v>6.4799999999999996E-2</v>
      </c>
      <c r="R7" s="87"/>
      <c r="S7" s="86">
        <v>6.6799999999999998E-2</v>
      </c>
      <c r="T7" s="75"/>
      <c r="U7" s="77"/>
      <c r="V7" s="88">
        <v>1500000</v>
      </c>
      <c r="W7" s="86">
        <v>6.4799999999999996E-2</v>
      </c>
      <c r="X7" s="87"/>
      <c r="Y7" s="86">
        <v>6.4799999999999996E-2</v>
      </c>
      <c r="Z7" s="68"/>
      <c r="AA7" s="1268">
        <v>2000000</v>
      </c>
      <c r="AB7" s="1268"/>
      <c r="AC7" s="86">
        <v>6.4799999999999996E-2</v>
      </c>
      <c r="AD7" s="86">
        <v>6.4799999999999996E-2</v>
      </c>
    </row>
    <row r="8" spans="2:30">
      <c r="B8" s="1259" t="s">
        <v>371</v>
      </c>
      <c r="C8" s="1260"/>
      <c r="D8" s="1260"/>
      <c r="E8" s="506" cm="1">
        <f t="array" ref="E8:G8">'Loan Fees Calculator'!D10:F10</f>
        <v>3000000</v>
      </c>
      <c r="F8" s="507">
        <v>0</v>
      </c>
      <c r="G8" s="507">
        <v>0</v>
      </c>
      <c r="H8" s="507"/>
      <c r="I8" s="89"/>
      <c r="J8" s="82">
        <v>2000000</v>
      </c>
      <c r="K8" s="83">
        <v>6.9599999999999995E-2</v>
      </c>
      <c r="L8" s="73"/>
      <c r="M8" s="83">
        <v>6.9599999999999995E-2</v>
      </c>
      <c r="N8" s="73"/>
      <c r="O8" s="84"/>
      <c r="P8" s="75"/>
      <c r="Q8" s="75"/>
      <c r="R8" s="75"/>
      <c r="S8" s="75"/>
      <c r="T8" s="75"/>
      <c r="U8" s="77"/>
      <c r="V8" s="78"/>
      <c r="W8" s="78"/>
      <c r="X8" s="78"/>
      <c r="Y8" s="78"/>
      <c r="Z8" s="68"/>
      <c r="AA8" s="70"/>
      <c r="AB8" s="70"/>
      <c r="AC8" s="70"/>
      <c r="AD8" s="70"/>
    </row>
    <row r="9" spans="2:30">
      <c r="B9" s="1259" t="s">
        <v>68</v>
      </c>
      <c r="C9" s="1260"/>
      <c r="D9" s="1260"/>
      <c r="E9" s="1269">
        <f>IFERROR(IF(($E$7/$E$8)&gt;80%, "Out of Policy", IFERROR($E$7/$E$8,0)),2)</f>
        <v>0.6</v>
      </c>
      <c r="F9" s="1269"/>
      <c r="G9" s="1269"/>
      <c r="H9" s="1269"/>
      <c r="I9" s="89"/>
      <c r="J9" s="71"/>
      <c r="K9" s="90"/>
      <c r="L9" s="72"/>
      <c r="M9" s="72"/>
      <c r="N9" s="72"/>
      <c r="O9" s="84"/>
      <c r="P9" s="1270" t="s">
        <v>372</v>
      </c>
      <c r="Q9" s="1270"/>
      <c r="R9" s="91"/>
      <c r="S9" s="75"/>
      <c r="T9" s="75"/>
      <c r="U9" s="77"/>
      <c r="V9" s="1272" t="s">
        <v>372</v>
      </c>
      <c r="W9" s="1272"/>
      <c r="X9" s="92"/>
      <c r="Y9" s="78"/>
      <c r="Z9" s="68"/>
      <c r="AA9" s="1271" t="s">
        <v>372</v>
      </c>
      <c r="AB9" s="1271"/>
      <c r="AC9" s="93"/>
      <c r="AD9" s="70"/>
    </row>
    <row r="10" spans="2:30" ht="16.149999999999999" customHeight="1">
      <c r="B10" s="1259" t="s">
        <v>373</v>
      </c>
      <c r="C10" s="1260"/>
      <c r="D10" s="1260"/>
      <c r="E10" s="507" t="str">
        <f>'Loan Fees Calculator'!F7</f>
        <v>P&amp;I</v>
      </c>
      <c r="F10" s="507"/>
      <c r="G10" s="507"/>
      <c r="H10" s="507"/>
      <c r="I10" s="94"/>
      <c r="J10" s="1265" t="s">
        <v>372</v>
      </c>
      <c r="K10" s="1265"/>
      <c r="L10" s="71"/>
      <c r="M10" s="1266" t="s">
        <v>374</v>
      </c>
      <c r="N10" s="1266"/>
      <c r="O10" s="84"/>
      <c r="P10" s="1261" t="s">
        <v>375</v>
      </c>
      <c r="Q10" s="1261"/>
      <c r="R10" s="1258">
        <v>3.0000000000000001E-3</v>
      </c>
      <c r="S10" s="1258"/>
      <c r="T10" s="75"/>
      <c r="U10" s="77"/>
      <c r="V10" s="1263" t="s">
        <v>375</v>
      </c>
      <c r="W10" s="1263"/>
      <c r="X10" s="1258">
        <v>3.0000000000000001E-3</v>
      </c>
      <c r="Y10" s="1258"/>
      <c r="Z10" s="95"/>
      <c r="AA10" s="1264" t="s">
        <v>375</v>
      </c>
      <c r="AB10" s="1264"/>
      <c r="AC10" s="1258">
        <v>3.0000000000000001E-3</v>
      </c>
      <c r="AD10" s="1258"/>
    </row>
    <row r="11" spans="2:30" ht="16.149999999999999" customHeight="1">
      <c r="B11" s="1259" t="s">
        <v>376</v>
      </c>
      <c r="C11" s="1260"/>
      <c r="D11" s="1260"/>
      <c r="E11" s="507">
        <f>'Loan Fees Calculator'!F8</f>
        <v>5</v>
      </c>
      <c r="F11" s="507"/>
      <c r="G11" s="507"/>
      <c r="H11" s="507"/>
      <c r="I11" s="94"/>
      <c r="J11" s="96" t="s">
        <v>375</v>
      </c>
      <c r="K11" s="83">
        <v>3.0000000000000001E-3</v>
      </c>
      <c r="L11" s="73"/>
      <c r="M11" s="96" t="s">
        <v>377</v>
      </c>
      <c r="N11" s="97">
        <v>0.65</v>
      </c>
      <c r="O11" s="77"/>
      <c r="P11" s="1261" t="s">
        <v>378</v>
      </c>
      <c r="Q11" s="1261"/>
      <c r="R11" s="1262">
        <v>3.0000000000000001E-3</v>
      </c>
      <c r="S11" s="1262"/>
      <c r="T11" s="75"/>
      <c r="U11" s="77"/>
      <c r="V11" s="1263" t="s">
        <v>378</v>
      </c>
      <c r="W11" s="1263"/>
      <c r="X11" s="1262">
        <v>3.0000000000000001E-3</v>
      </c>
      <c r="Y11" s="1262"/>
      <c r="Z11" s="95"/>
      <c r="AA11" s="1264" t="s">
        <v>378</v>
      </c>
      <c r="AB11" s="1264"/>
      <c r="AC11" s="1258">
        <v>3.0000000000000001E-3</v>
      </c>
      <c r="AD11" s="1258"/>
    </row>
    <row r="12" spans="2:30" ht="16.149999999999999" customHeight="1">
      <c r="B12" s="1259" t="s">
        <v>379</v>
      </c>
      <c r="C12" s="1260"/>
      <c r="D12" s="1260"/>
      <c r="E12" s="508" cm="1">
        <f t="array" ref="E12:G12">'Loan Fees Calculator'!D6:F6</f>
        <v>0</v>
      </c>
      <c r="F12" s="508">
        <v>0</v>
      </c>
      <c r="G12" s="508">
        <v>0</v>
      </c>
      <c r="H12" s="509"/>
      <c r="I12" s="98"/>
      <c r="J12" s="96" t="s">
        <v>378</v>
      </c>
      <c r="K12" s="86">
        <v>3.0000000000000001E-3</v>
      </c>
      <c r="L12" s="73"/>
      <c r="M12" s="99">
        <v>600000</v>
      </c>
      <c r="N12" s="83">
        <v>4.9799999999999997E-2</v>
      </c>
      <c r="O12" s="77"/>
      <c r="P12" s="1273" t="s">
        <v>380</v>
      </c>
      <c r="Q12" s="1273"/>
      <c r="R12" s="1262">
        <v>2E-3</v>
      </c>
      <c r="S12" s="1267"/>
      <c r="T12" s="75"/>
      <c r="U12" s="77"/>
      <c r="V12" s="1274" t="s">
        <v>381</v>
      </c>
      <c r="W12" s="1274"/>
      <c r="X12" s="1262">
        <v>5.0000000000000001E-3</v>
      </c>
      <c r="Y12" s="1267"/>
      <c r="Z12" s="95"/>
      <c r="AA12" s="1238"/>
      <c r="AB12" s="1238"/>
      <c r="AC12" s="100"/>
      <c r="AD12" s="100"/>
    </row>
    <row r="13" spans="2:30" ht="16" thickBot="1">
      <c r="B13" s="101"/>
      <c r="C13" s="102"/>
      <c r="D13" s="102"/>
      <c r="E13" s="102"/>
      <c r="F13" s="102"/>
      <c r="G13" s="102"/>
      <c r="H13" s="103"/>
      <c r="I13" s="104"/>
      <c r="J13" s="73" t="s">
        <v>380</v>
      </c>
      <c r="K13" s="86">
        <v>5.0000000000000001E-3</v>
      </c>
      <c r="L13" s="1236"/>
      <c r="M13" s="1237"/>
      <c r="N13" s="73"/>
      <c r="O13" s="77"/>
      <c r="P13" s="75"/>
      <c r="Q13" s="75"/>
      <c r="R13" s="75"/>
      <c r="S13" s="75"/>
      <c r="T13" s="75"/>
      <c r="U13" s="77"/>
      <c r="V13" s="78"/>
      <c r="W13" s="78"/>
      <c r="X13" s="78"/>
      <c r="Y13" s="78"/>
      <c r="Z13" s="95"/>
      <c r="AA13" s="1238"/>
      <c r="AB13" s="1238"/>
      <c r="AC13" s="100"/>
      <c r="AD13" s="100"/>
    </row>
    <row r="14" spans="2:30">
      <c r="P14" s="59"/>
      <c r="Q14" s="59"/>
      <c r="R14" s="59"/>
      <c r="S14" s="59"/>
      <c r="T14" s="59"/>
      <c r="U14" s="59"/>
      <c r="V14" s="59"/>
      <c r="W14" s="59"/>
      <c r="X14" s="59"/>
      <c r="Y14" s="59"/>
      <c r="Z14" s="59"/>
      <c r="AA14" s="59"/>
      <c r="AB14" s="59"/>
      <c r="AC14" s="59"/>
      <c r="AD14" s="59"/>
    </row>
    <row r="15" spans="2:30">
      <c r="B15" s="1239" t="s">
        <v>382</v>
      </c>
      <c r="C15" s="1239"/>
      <c r="D15" s="1239"/>
      <c r="E15" s="1239"/>
    </row>
    <row r="16" spans="2:30" ht="16" thickBot="1">
      <c r="B16" s="1239"/>
      <c r="C16" s="1239"/>
      <c r="D16" s="1239"/>
      <c r="E16" s="1239"/>
    </row>
    <row r="17" spans="2:33" ht="16" thickBot="1">
      <c r="B17" s="105" t="s">
        <v>383</v>
      </c>
      <c r="C17" s="1240" t="s">
        <v>384</v>
      </c>
      <c r="D17" s="1241"/>
      <c r="E17" s="1241"/>
      <c r="F17" s="1242" t="s">
        <v>385</v>
      </c>
      <c r="G17" s="1242"/>
      <c r="H17" s="1243"/>
      <c r="I17" s="1244" t="s">
        <v>79</v>
      </c>
      <c r="J17" s="1245"/>
      <c r="K17" s="1245"/>
      <c r="L17" s="1246" t="s">
        <v>386</v>
      </c>
      <c r="M17" s="1246"/>
      <c r="N17" s="1247"/>
      <c r="O17" s="1248" t="s">
        <v>387</v>
      </c>
      <c r="P17" s="1249"/>
      <c r="Q17" s="1249"/>
      <c r="R17" s="1250" t="s">
        <v>388</v>
      </c>
      <c r="S17" s="1250"/>
      <c r="T17" s="1251"/>
      <c r="U17" s="1252" t="s">
        <v>389</v>
      </c>
      <c r="V17" s="1252"/>
      <c r="W17" s="1253"/>
      <c r="X17" s="1254" t="s">
        <v>390</v>
      </c>
      <c r="Y17" s="1255"/>
      <c r="Z17" s="1255"/>
      <c r="AA17" s="1256" t="s">
        <v>391</v>
      </c>
      <c r="AB17" s="1256"/>
      <c r="AC17" s="1257"/>
    </row>
    <row r="18" spans="2:33">
      <c r="B18" s="106" t="s">
        <v>206</v>
      </c>
      <c r="C18" s="107"/>
      <c r="D18" s="108"/>
      <c r="E18" s="109">
        <v>660</v>
      </c>
      <c r="F18" s="108"/>
      <c r="G18" s="108"/>
      <c r="H18" s="110">
        <v>660</v>
      </c>
      <c r="I18" s="111"/>
      <c r="J18" s="110"/>
      <c r="K18" s="109">
        <v>660</v>
      </c>
      <c r="L18" s="110"/>
      <c r="M18" s="110"/>
      <c r="N18" s="110">
        <v>660</v>
      </c>
      <c r="O18" s="107"/>
      <c r="P18" s="108"/>
      <c r="Q18" s="109">
        <v>660</v>
      </c>
      <c r="R18" s="108"/>
      <c r="S18" s="108"/>
      <c r="T18" s="110">
        <v>660</v>
      </c>
      <c r="U18" s="112"/>
      <c r="V18" s="108"/>
      <c r="W18" s="113" t="str">
        <f>IFERROR(IF(AND(E5="no", E10="p&amp;I", E7&lt;=600000, E9&lt;=65%), T18, "Not applicable"), NA)</f>
        <v>Not applicable</v>
      </c>
      <c r="X18" s="110"/>
      <c r="Y18" s="114"/>
      <c r="Z18" s="115">
        <v>660</v>
      </c>
      <c r="AA18" s="116"/>
      <c r="AB18" s="114"/>
      <c r="AC18" s="113">
        <v>660</v>
      </c>
    </row>
    <row r="19" spans="2:33">
      <c r="B19" s="106" t="s">
        <v>207</v>
      </c>
      <c r="C19" s="107"/>
      <c r="D19" s="108"/>
      <c r="E19" s="109">
        <v>330</v>
      </c>
      <c r="F19" s="108"/>
      <c r="G19" s="108"/>
      <c r="H19" s="110">
        <v>330</v>
      </c>
      <c r="I19" s="111"/>
      <c r="J19" s="110"/>
      <c r="K19" s="109">
        <v>330</v>
      </c>
      <c r="L19" s="110"/>
      <c r="M19" s="110"/>
      <c r="N19" s="110">
        <v>330</v>
      </c>
      <c r="O19" s="107"/>
      <c r="P19" s="108"/>
      <c r="Q19" s="109">
        <v>330</v>
      </c>
      <c r="R19" s="108"/>
      <c r="S19" s="108"/>
      <c r="T19" s="110">
        <v>330</v>
      </c>
      <c r="U19" s="112"/>
      <c r="V19" s="108"/>
      <c r="W19" s="113" t="str">
        <f>IFERROR(IF(AND(E5="no", E10="p&amp;I", E7&lt;=600000, E9&lt;=65%), T19, "Not applicable"), NA)</f>
        <v>Not applicable</v>
      </c>
      <c r="X19" s="110"/>
      <c r="Y19" s="114"/>
      <c r="Z19" s="109">
        <v>330</v>
      </c>
      <c r="AA19" s="116"/>
      <c r="AB19" s="114"/>
      <c r="AC19" s="117">
        <v>330</v>
      </c>
    </row>
    <row r="20" spans="2:33">
      <c r="B20" s="106" t="s">
        <v>208</v>
      </c>
      <c r="C20" s="107"/>
      <c r="D20" s="108"/>
      <c r="E20" s="109">
        <v>550</v>
      </c>
      <c r="F20" s="108"/>
      <c r="G20" s="108"/>
      <c r="H20" s="110">
        <v>550</v>
      </c>
      <c r="I20" s="111"/>
      <c r="J20" s="110"/>
      <c r="K20" s="109">
        <v>550</v>
      </c>
      <c r="L20" s="110"/>
      <c r="M20" s="110"/>
      <c r="N20" s="110">
        <v>550</v>
      </c>
      <c r="O20" s="107"/>
      <c r="P20" s="108"/>
      <c r="Q20" s="109">
        <v>550</v>
      </c>
      <c r="R20" s="108"/>
      <c r="S20" s="108"/>
      <c r="T20" s="110">
        <v>550</v>
      </c>
      <c r="U20" s="112"/>
      <c r="V20" s="108"/>
      <c r="W20" s="113" t="str">
        <f>IFERROR(IF(AND(E5="no", E10="p&amp;I", E7&lt;=600000, E9&lt;=65%), T20, "Not applicable"), NA)</f>
        <v>Not applicable</v>
      </c>
      <c r="X20" s="110"/>
      <c r="Y20" s="114"/>
      <c r="Z20" s="109">
        <v>550</v>
      </c>
      <c r="AA20" s="116"/>
      <c r="AB20" s="114"/>
      <c r="AC20" s="117">
        <v>550</v>
      </c>
    </row>
    <row r="21" spans="2:33">
      <c r="B21" s="118" t="s">
        <v>209</v>
      </c>
      <c r="C21" s="107"/>
      <c r="D21" s="108"/>
      <c r="E21" s="109">
        <v>550</v>
      </c>
      <c r="F21" s="108"/>
      <c r="G21" s="108"/>
      <c r="H21" s="110">
        <v>550</v>
      </c>
      <c r="I21" s="119"/>
      <c r="J21" s="120"/>
      <c r="K21" s="109">
        <v>1550</v>
      </c>
      <c r="L21" s="121"/>
      <c r="M21" s="120"/>
      <c r="N21" s="110">
        <v>1250</v>
      </c>
      <c r="O21" s="107"/>
      <c r="P21" s="108"/>
      <c r="Q21" s="109">
        <v>550</v>
      </c>
      <c r="R21" s="108"/>
      <c r="S21" s="108"/>
      <c r="T21" s="110">
        <v>550</v>
      </c>
      <c r="U21" s="112"/>
      <c r="V21" s="108"/>
      <c r="W21" s="113" t="str">
        <f>IFERROR(IF(AND(E5="no", E10="p&amp;I", E7&lt;=600000, E9&lt;=65%), T21, "Not applicable"), NA)</f>
        <v>Not applicable</v>
      </c>
      <c r="X21" s="110"/>
      <c r="Y21" s="114"/>
      <c r="Z21" s="109">
        <v>550</v>
      </c>
      <c r="AA21" s="116"/>
      <c r="AB21" s="114"/>
      <c r="AC21" s="117">
        <v>550</v>
      </c>
    </row>
    <row r="22" spans="2:33">
      <c r="B22" s="122" t="s">
        <v>210</v>
      </c>
      <c r="C22" s="123"/>
      <c r="D22" s="124"/>
      <c r="E22" s="109">
        <f>IF(AND($E$4="Non Resi", $E$7&lt;160000), 0,$E$7*1.25%)</f>
        <v>22500</v>
      </c>
      <c r="F22" s="124"/>
      <c r="G22" s="124"/>
      <c r="H22" s="110">
        <f>IF(AND($E$4="Non Resi", $E$7&lt;160000), 0,$E$7*1.25%)</f>
        <v>22500</v>
      </c>
      <c r="I22" s="111"/>
      <c r="J22" s="110"/>
      <c r="K22" s="109">
        <v>0</v>
      </c>
      <c r="L22" s="110"/>
      <c r="M22" s="110"/>
      <c r="N22" s="110">
        <v>0</v>
      </c>
      <c r="O22" s="107" t="s">
        <v>392</v>
      </c>
      <c r="P22" s="125">
        <v>1.38E-2</v>
      </c>
      <c r="Q22" s="109">
        <f>IF(E7&lt;160000, 0, E7*1.38%)</f>
        <v>24840</v>
      </c>
      <c r="R22" s="108" t="s">
        <v>392</v>
      </c>
      <c r="S22" s="125">
        <v>1.38E-2</v>
      </c>
      <c r="T22" s="110">
        <f>IF(E7&lt;160000, 0,E7*1.38%)</f>
        <v>24840</v>
      </c>
      <c r="U22" s="112" t="s">
        <v>392</v>
      </c>
      <c r="V22" s="125">
        <f>S22</f>
        <v>1.38E-2</v>
      </c>
      <c r="W22" s="113" t="str">
        <f>IFERROR(IF(AND(E5="no", E10="p&amp;I", E7&lt;=600000, E9&lt;=65%), T22, "Not applicable"), NA)</f>
        <v>Not applicable</v>
      </c>
      <c r="X22" s="126" t="s">
        <v>392</v>
      </c>
      <c r="Y22" s="127">
        <v>1.2500000000000001E-2</v>
      </c>
      <c r="Z22" s="109">
        <f>E7*Y22</f>
        <v>22500</v>
      </c>
      <c r="AA22" s="128" t="s">
        <v>392</v>
      </c>
      <c r="AB22" s="127">
        <v>1.2500000000000001E-2</v>
      </c>
      <c r="AC22" s="117">
        <f>E7*AB22</f>
        <v>22500</v>
      </c>
    </row>
    <row r="23" spans="2:33" s="135" customFormat="1">
      <c r="B23" s="106" t="s">
        <v>211</v>
      </c>
      <c r="C23" s="129" t="s">
        <v>392</v>
      </c>
      <c r="D23" s="130">
        <f>'Risk Fee Matrix2'!K25</f>
        <v>1.8499999999999999E-2</v>
      </c>
      <c r="E23" s="109">
        <f>D23*E7</f>
        <v>33300</v>
      </c>
      <c r="F23" s="131" t="s">
        <v>392</v>
      </c>
      <c r="G23" s="130">
        <f>'Risk Fee Matrix2'!A25</f>
        <v>1.6E-2</v>
      </c>
      <c r="H23" s="110">
        <f>G23*E7</f>
        <v>28800</v>
      </c>
      <c r="I23" s="132" t="s">
        <v>392</v>
      </c>
      <c r="J23" s="133">
        <f>0</f>
        <v>0</v>
      </c>
      <c r="K23" s="109">
        <f>$J$23*$E$7</f>
        <v>0</v>
      </c>
      <c r="L23" s="126" t="s">
        <v>392</v>
      </c>
      <c r="M23" s="133">
        <v>0</v>
      </c>
      <c r="N23" s="110">
        <f>$M$23*$E$7</f>
        <v>0</v>
      </c>
      <c r="O23" s="107" t="s">
        <v>392</v>
      </c>
      <c r="P23" s="130">
        <f>'Risk Fee Matrix2'!K48</f>
        <v>0.02</v>
      </c>
      <c r="Q23" s="109">
        <f>$P$23*$E$7</f>
        <v>36000</v>
      </c>
      <c r="R23" s="108" t="s">
        <v>392</v>
      </c>
      <c r="S23" s="130">
        <f>'Risk Fee Matrix2'!A52</f>
        <v>1.7500000000000002E-2</v>
      </c>
      <c r="T23" s="110">
        <f>S23*E7</f>
        <v>31500.000000000004</v>
      </c>
      <c r="U23" s="112" t="s">
        <v>392</v>
      </c>
      <c r="V23" s="130">
        <f>S23</f>
        <v>1.7500000000000002E-2</v>
      </c>
      <c r="W23" s="113" t="str">
        <f>IFERROR(IF(AND(E5="no", E10="p&amp;I", E7&lt;=600000, E9&lt;=65%), T23, "Not applicable"), NA)</f>
        <v>Not applicable</v>
      </c>
      <c r="X23" s="126" t="s">
        <v>392</v>
      </c>
      <c r="Y23" s="127">
        <f>'Risk Fee Matrix2'!A79</f>
        <v>1.7999999999999999E-2</v>
      </c>
      <c r="Z23" s="109">
        <f>Y23*E7</f>
        <v>32399.999999999996</v>
      </c>
      <c r="AA23" s="134" t="s">
        <v>392</v>
      </c>
      <c r="AB23" s="127">
        <f>'Risk Fee Matrix2'!L78</f>
        <v>1.55E-2</v>
      </c>
      <c r="AC23" s="117">
        <f>AB23*E7</f>
        <v>27900</v>
      </c>
      <c r="AD23" s="54"/>
      <c r="AE23" s="54"/>
      <c r="AF23" s="54"/>
      <c r="AG23" s="54"/>
    </row>
    <row r="24" spans="2:33" ht="22.15" customHeight="1">
      <c r="B24" s="106" t="s">
        <v>213</v>
      </c>
      <c r="C24" s="107"/>
      <c r="D24" s="130"/>
      <c r="E24" s="136">
        <v>468</v>
      </c>
      <c r="F24" s="108"/>
      <c r="G24" s="130"/>
      <c r="H24" s="121">
        <v>499</v>
      </c>
      <c r="I24" s="119"/>
      <c r="J24" s="121"/>
      <c r="K24" s="136">
        <v>499</v>
      </c>
      <c r="L24" s="121"/>
      <c r="M24" s="121"/>
      <c r="N24" s="121">
        <v>499</v>
      </c>
      <c r="O24" s="107"/>
      <c r="P24" s="108"/>
      <c r="Q24" s="136">
        <v>499</v>
      </c>
      <c r="R24" s="108"/>
      <c r="S24" s="130"/>
      <c r="T24" s="121">
        <v>499</v>
      </c>
      <c r="U24" s="112"/>
      <c r="V24" s="1210" t="s">
        <v>393</v>
      </c>
      <c r="W24" s="137" t="str">
        <f>IFERROR(IF(AND(E5="no", E10="p&amp;I", E7&lt;=600000, E9&lt;=65%), 499+1386, "Not applicable"), NA)</f>
        <v>Not applicable</v>
      </c>
      <c r="X24" s="121"/>
      <c r="Y24" s="133"/>
      <c r="Z24" s="136">
        <v>499</v>
      </c>
      <c r="AA24" s="138"/>
      <c r="AB24" s="133"/>
      <c r="AC24" s="139">
        <v>499</v>
      </c>
    </row>
    <row r="25" spans="2:33">
      <c r="B25" s="106" t="s">
        <v>214</v>
      </c>
      <c r="C25" s="107"/>
      <c r="D25" s="108"/>
      <c r="E25" s="136">
        <v>0</v>
      </c>
      <c r="F25" s="108"/>
      <c r="G25" s="108"/>
      <c r="H25" s="121">
        <v>0</v>
      </c>
      <c r="I25" s="140"/>
      <c r="J25" s="141"/>
      <c r="K25" s="142">
        <v>0</v>
      </c>
      <c r="L25" s="121"/>
      <c r="M25" s="121"/>
      <c r="N25" s="121">
        <v>0</v>
      </c>
      <c r="O25" s="107"/>
      <c r="Q25" s="136">
        <v>0</v>
      </c>
      <c r="R25" s="108"/>
      <c r="S25" s="108"/>
      <c r="T25" s="121">
        <v>0</v>
      </c>
      <c r="U25" s="112"/>
      <c r="V25" s="1211"/>
      <c r="W25" s="139" t="str">
        <f>IFERROR(IF(AND(E5="no", E10="p&amp;I", E7&lt;=600000, E9&lt;=65%), T25, "Not applicable"), NA)</f>
        <v>Not applicable</v>
      </c>
      <c r="X25" s="141"/>
      <c r="Y25" s="143"/>
      <c r="Z25" s="142" t="str">
        <f>IF(E4="Construction",E7*1.25%,"0")</f>
        <v>0</v>
      </c>
      <c r="AA25" s="138"/>
      <c r="AB25" s="144"/>
      <c r="AC25" s="139">
        <v>475</v>
      </c>
    </row>
    <row r="26" spans="2:33" ht="29.25" customHeight="1">
      <c r="B26" s="145" t="s">
        <v>394</v>
      </c>
      <c r="C26" s="146"/>
      <c r="D26" s="147">
        <f>IFERROR(E26/$E$7, "NA")</f>
        <v>3.2161111111111113E-2</v>
      </c>
      <c r="E26" s="148">
        <f>IFERROR(IF(E4="construction", "not applicable", SUM(E18:E25))-E24, "NA")</f>
        <v>57890</v>
      </c>
      <c r="F26" s="149"/>
      <c r="G26" s="150">
        <f>IFERROR(H26/$E$7, "NA")</f>
        <v>2.966111111111111E-2</v>
      </c>
      <c r="H26" s="151">
        <f>IFERROR(IF($E$4="construction", "not applicable", SUM(H18:H25))-H24, "NA")</f>
        <v>53390</v>
      </c>
      <c r="I26" s="152"/>
      <c r="J26" s="153">
        <f>IFERROR(K26/$E$7, "NA")</f>
        <v>1.7166666666666667E-3</v>
      </c>
      <c r="K26" s="154">
        <f>IFERROR(IF($E$4="construction", "not applicable", SUM(K18:K25))-K24, "NA")</f>
        <v>3090</v>
      </c>
      <c r="L26" s="155"/>
      <c r="M26" s="156">
        <f>IFERROR(N26/$E$7, "NA")</f>
        <v>1.5499999999999999E-3</v>
      </c>
      <c r="N26" s="155">
        <f>IFERROR(IF($E$4="construction", "not applicable", SUM(N18:N25))-N24, "NA")</f>
        <v>2790</v>
      </c>
      <c r="O26" s="157"/>
      <c r="P26" s="158">
        <f>IFERROR(Q26/$E$7, "NA")</f>
        <v>3.4961111111111109E-2</v>
      </c>
      <c r="Q26" s="159">
        <f>IFERROR(IF($E$4="construction", "not applicable", SUM(Q18:Q25))-Q24, "NA")</f>
        <v>62930</v>
      </c>
      <c r="R26" s="160"/>
      <c r="S26" s="161">
        <f>IFERROR(T26/$E$7, "NA")</f>
        <v>3.2461111111111114E-2</v>
      </c>
      <c r="T26" s="162">
        <f>IFERROR(IF($E$4="construction", "not applicable", SUM(T18:T25))-T24, "NA")</f>
        <v>58430</v>
      </c>
      <c r="U26" s="163"/>
      <c r="V26" s="164" t="str">
        <f>IFERROR(W26/$E$7, "NA")</f>
        <v>NA</v>
      </c>
      <c r="W26" s="165" t="str" cm="1">
        <f t="array" ref="W26">IFERROR(IF(AND(E5="no", E10="p&amp;I", E7&lt;=600000, E9&lt;=65%), SUM(W18:W25)-W24+1299, "Not applicable"), NA)</f>
        <v>Not applicable</v>
      </c>
      <c r="X26" s="166"/>
      <c r="Y26" s="167" t="str">
        <f>IFERROR(Z26/$E$7, "NA")</f>
        <v>NA</v>
      </c>
      <c r="Z26" s="168" t="str">
        <f>IFERROR(IF($E$4="Non Resi", "not applicable", SUM(Z18:Z25))-Z24, "NA")</f>
        <v>NA</v>
      </c>
      <c r="AA26" s="169"/>
      <c r="AB26" s="170" t="str">
        <f>IFERROR(AC26/$E$7, "NA")</f>
        <v>NA</v>
      </c>
      <c r="AC26" s="171" t="str">
        <f>IFERROR(IF($E$4="Non Resi", "not applicable", SUM(AC18:AC25))-AC24, "NA")</f>
        <v>NA</v>
      </c>
    </row>
    <row r="28" spans="2:33">
      <c r="B28" s="172" t="s">
        <v>395</v>
      </c>
      <c r="D28" s="173" t="e">
        <f>Rates!L22</f>
        <v>#N/A</v>
      </c>
      <c r="E28" s="174">
        <f>repayment!P16</f>
        <v>468</v>
      </c>
      <c r="G28" s="173" t="e">
        <f>Rates!D22</f>
        <v>#N/A</v>
      </c>
      <c r="H28" s="174">
        <f>repayment!G16</f>
        <v>499</v>
      </c>
      <c r="J28" s="173" t="e">
        <f>Rates!E43</f>
        <v>#N/A</v>
      </c>
      <c r="K28" s="174">
        <f>repayment!Y16</f>
        <v>499</v>
      </c>
      <c r="M28" s="173" t="e">
        <f>Rates!M43</f>
        <v>#N/A</v>
      </c>
      <c r="N28" s="174">
        <f>repayment!AH16</f>
        <v>499</v>
      </c>
      <c r="P28" s="173">
        <f>Rates!C65</f>
        <v>5.3600000000000002E-2</v>
      </c>
      <c r="Q28" s="174">
        <f>repayment!AQ16</f>
        <v>499</v>
      </c>
      <c r="S28" s="173" t="e">
        <f>Rates!L65</f>
        <v>#N/A</v>
      </c>
      <c r="T28" s="174">
        <f>repayment!AZ16</f>
        <v>499</v>
      </c>
      <c r="V28" s="173" t="str">
        <f>IF(W26="Not applicable", "NA", N12)</f>
        <v>NA</v>
      </c>
      <c r="W28" s="174" t="str">
        <f>IF(W26="Not applicable", "NA", repayment!BI16)</f>
        <v>NA</v>
      </c>
      <c r="Y28" s="173">
        <f>Rates!C85</f>
        <v>6.4799999999999996E-2</v>
      </c>
      <c r="Z28" s="174">
        <f>repayment!BQ16</f>
        <v>499</v>
      </c>
      <c r="AB28" s="173">
        <f>Rates!J85</f>
        <v>6.4799999999999996E-2</v>
      </c>
      <c r="AC28" s="174">
        <f>repayment!BZ16</f>
        <v>499</v>
      </c>
    </row>
    <row r="29" spans="2:33">
      <c r="B29" s="172" t="s">
        <v>396</v>
      </c>
      <c r="D29" s="173">
        <f>Rates!L23</f>
        <v>6.4799999999999996E-2</v>
      </c>
      <c r="E29" s="174">
        <f>repayment!P28</f>
        <v>117638</v>
      </c>
      <c r="G29" s="173">
        <f>Rates!D23</f>
        <v>6.4799999999999996E-2</v>
      </c>
      <c r="H29" s="174">
        <f>repayment!G28</f>
        <v>117638</v>
      </c>
      <c r="J29" s="173" t="e">
        <f>Rates!E44</f>
        <v>#N/A</v>
      </c>
      <c r="K29" s="174" t="e">
        <f>repayment!Y28</f>
        <v>#N/A</v>
      </c>
      <c r="M29" s="173" t="e">
        <f>Rates!M44</f>
        <v>#N/A</v>
      </c>
      <c r="N29" s="174" t="e">
        <f>repayment!AH28</f>
        <v>#N/A</v>
      </c>
      <c r="P29" s="173">
        <f>Rates!C66</f>
        <v>5.3600000000000002E-2</v>
      </c>
      <c r="Q29" s="174">
        <f>repayment!AQ28</f>
        <v>97478</v>
      </c>
      <c r="S29" s="173" t="e">
        <f>Rates!L66</f>
        <v>#N/A</v>
      </c>
      <c r="T29" s="174" t="e">
        <f>repayment!AZ28</f>
        <v>#N/A</v>
      </c>
      <c r="V29" s="173" t="str">
        <f>IF(W26="Not applicable", "NA", N12)</f>
        <v>NA</v>
      </c>
      <c r="W29" s="174" t="str">
        <f>IF(W26="Not applicable", "NA", repayment!BI28+396)</f>
        <v>NA</v>
      </c>
      <c r="Y29" s="173">
        <f>Rates!C86</f>
        <v>6.4799999999999996E-2</v>
      </c>
      <c r="Z29" s="174">
        <f>repayment!BQ28</f>
        <v>117638</v>
      </c>
      <c r="AB29" s="173">
        <f>Rates!J86</f>
        <v>6.4799999999999996E-2</v>
      </c>
      <c r="AC29" s="174">
        <f>repayment!BZ28</f>
        <v>117638</v>
      </c>
    </row>
    <row r="30" spans="2:33">
      <c r="B30" s="172" t="s">
        <v>397</v>
      </c>
      <c r="D30" s="173">
        <f>Rates!L24</f>
        <v>6.4799999999999996E-2</v>
      </c>
      <c r="E30" s="174">
        <f>repayment!P40</f>
        <v>234684</v>
      </c>
      <c r="G30" s="173">
        <f>Rates!D24</f>
        <v>6.4799999999999996E-2</v>
      </c>
      <c r="H30" s="174">
        <f>repayment!G40</f>
        <v>234777</v>
      </c>
      <c r="J30" s="173" t="e">
        <f>Rates!E45</f>
        <v>#N/A</v>
      </c>
      <c r="K30" s="174" t="e">
        <f>repayment!Y40</f>
        <v>#N/A</v>
      </c>
      <c r="M30" s="173" t="e">
        <f>Rates!M45</f>
        <v>#N/A</v>
      </c>
      <c r="N30" s="174" t="e">
        <f>repayment!AH40</f>
        <v>#N/A</v>
      </c>
      <c r="P30" s="173">
        <f>Rates!C67</f>
        <v>5.3600000000000002E-2</v>
      </c>
      <c r="Q30" s="174">
        <f>repayment!AQ40</f>
        <v>194457</v>
      </c>
      <c r="S30" s="173" t="e">
        <f>Rates!L67</f>
        <v>#N/A</v>
      </c>
      <c r="T30" s="174" t="e">
        <f>repayment!AZ40</f>
        <v>#N/A</v>
      </c>
      <c r="V30" s="173" t="str">
        <f>IF(W26="Not applicable", "NA", N12)</f>
        <v>NA</v>
      </c>
      <c r="W30" s="174" t="str">
        <f>IF(W26="Not applicable", "NA", repayment!BI40+396)</f>
        <v>NA</v>
      </c>
      <c r="Y30" s="173">
        <f>Rates!C87</f>
        <v>6.4799999999999996E-2</v>
      </c>
      <c r="Z30" s="174">
        <f>repayment!BQ40</f>
        <v>234777</v>
      </c>
      <c r="AB30" s="173">
        <f>Rates!J87</f>
        <v>6.4799999999999996E-2</v>
      </c>
      <c r="AC30" s="174">
        <f>repayment!BZ40</f>
        <v>234777</v>
      </c>
    </row>
    <row r="31" spans="2:33">
      <c r="B31" s="172" t="s">
        <v>398</v>
      </c>
      <c r="D31" s="173">
        <f>Rates!L25</f>
        <v>6.4799999999999996E-2</v>
      </c>
      <c r="E31" s="174">
        <f>repayment!P52</f>
        <v>351916</v>
      </c>
      <c r="G31" s="173">
        <f>Rates!D25</f>
        <v>6.4799999999999996E-2</v>
      </c>
      <c r="H31" s="174">
        <f>repayment!G52</f>
        <v>351916</v>
      </c>
      <c r="J31" s="173" t="e">
        <f>Rates!E46</f>
        <v>#N/A</v>
      </c>
      <c r="K31" s="174" t="e">
        <f>repayment!Y52</f>
        <v>#N/A</v>
      </c>
      <c r="M31" s="173" t="e">
        <f>Rates!M46</f>
        <v>#N/A</v>
      </c>
      <c r="N31" s="174" t="e">
        <f>repayment!AH52</f>
        <v>#N/A</v>
      </c>
      <c r="P31" s="173">
        <f>Rates!C68</f>
        <v>5.3600000000000002E-2</v>
      </c>
      <c r="Q31" s="174">
        <f>repayment!AQ52</f>
        <v>291436</v>
      </c>
      <c r="S31" s="173" t="e">
        <f>Rates!L68</f>
        <v>#N/A</v>
      </c>
      <c r="T31" s="174" t="e">
        <f>repayment!AZ52</f>
        <v>#N/A</v>
      </c>
      <c r="V31" s="173" t="str">
        <f>IF(W26="Not applicable", "NA", N12)</f>
        <v>NA</v>
      </c>
      <c r="W31" s="174" t="str">
        <f>IF(W26="Not applicable", "NA", repayment!BI52+396)</f>
        <v>NA</v>
      </c>
      <c r="Y31" s="173">
        <f>Rates!C88</f>
        <v>6.4799999999999996E-2</v>
      </c>
      <c r="Z31" s="174">
        <f>repayment!BQ52</f>
        <v>351916</v>
      </c>
      <c r="AB31" s="173">
        <f>Rates!J88</f>
        <v>6.4799999999999996E-2</v>
      </c>
      <c r="AC31" s="174">
        <f>repayment!BZ52</f>
        <v>351916</v>
      </c>
    </row>
    <row r="32" spans="2:33">
      <c r="B32" s="175"/>
      <c r="E32" s="176"/>
      <c r="H32" s="176"/>
      <c r="K32" s="176"/>
      <c r="N32" s="176"/>
      <c r="Q32" s="176"/>
      <c r="T32" s="176"/>
      <c r="W32" s="176"/>
      <c r="Z32" s="176"/>
    </row>
    <row r="33" spans="2:35">
      <c r="B33" s="175"/>
      <c r="E33" s="176"/>
      <c r="H33" s="176"/>
      <c r="K33" s="176"/>
      <c r="N33" s="176"/>
      <c r="Q33" s="176"/>
      <c r="T33" s="176"/>
      <c r="W33" s="176"/>
      <c r="Z33" s="176"/>
    </row>
    <row r="34" spans="2:35">
      <c r="B34" s="1239" t="s">
        <v>399</v>
      </c>
      <c r="C34" s="1239"/>
      <c r="D34" s="1239"/>
      <c r="E34" s="1239"/>
    </row>
    <row r="35" spans="2:35" ht="16" thickBot="1">
      <c r="B35" s="1239"/>
      <c r="C35" s="1239"/>
      <c r="D35" s="1239"/>
      <c r="E35" s="1239"/>
    </row>
    <row r="36" spans="2:35" ht="16.899999999999999" customHeight="1" thickBot="1">
      <c r="B36" s="177" t="s">
        <v>383</v>
      </c>
      <c r="C36" s="1225" t="s">
        <v>385</v>
      </c>
      <c r="D36" s="1226"/>
      <c r="E36" s="1227"/>
      <c r="F36" s="1228" t="s">
        <v>338</v>
      </c>
      <c r="G36" s="1229"/>
      <c r="H36" s="1230"/>
      <c r="I36" s="1226" t="s">
        <v>386</v>
      </c>
      <c r="J36" s="1226"/>
      <c r="K36" s="1227"/>
      <c r="L36" s="1229" t="s">
        <v>400</v>
      </c>
      <c r="M36" s="1229"/>
      <c r="N36" s="1230"/>
      <c r="O36" s="1233" t="s">
        <v>401</v>
      </c>
      <c r="P36" s="1234"/>
      <c r="Q36" s="1235"/>
      <c r="R36" s="1220" t="s">
        <v>389</v>
      </c>
      <c r="S36" s="1220"/>
      <c r="T36" s="1221"/>
      <c r="U36" s="1222" t="s">
        <v>402</v>
      </c>
      <c r="V36" s="1223"/>
      <c r="W36" s="1224"/>
      <c r="X36" s="1223" t="s">
        <v>403</v>
      </c>
      <c r="Y36" s="1223"/>
      <c r="Z36" s="1224"/>
      <c r="AA36" s="1223" t="s">
        <v>404</v>
      </c>
      <c r="AB36" s="1223"/>
      <c r="AC36" s="1224"/>
      <c r="AD36" s="1228" t="s">
        <v>405</v>
      </c>
      <c r="AE36" s="1231"/>
      <c r="AF36" s="1232"/>
      <c r="AG36" s="1225" t="s">
        <v>406</v>
      </c>
      <c r="AH36" s="1226"/>
      <c r="AI36" s="1227"/>
    </row>
    <row r="37" spans="2:35">
      <c r="B37" s="178" t="s">
        <v>206</v>
      </c>
      <c r="C37" s="179"/>
      <c r="D37" s="108"/>
      <c r="E37" s="180">
        <f t="shared" ref="E37:E43" si="0">H18</f>
        <v>660</v>
      </c>
      <c r="F37" s="179"/>
      <c r="G37" s="108"/>
      <c r="H37" s="180">
        <v>660</v>
      </c>
      <c r="I37" s="110"/>
      <c r="J37" s="110"/>
      <c r="K37" s="180">
        <f t="shared" ref="K37:K43" si="1">N18</f>
        <v>660</v>
      </c>
      <c r="L37" s="110"/>
      <c r="M37" s="110"/>
      <c r="N37" s="180">
        <v>660</v>
      </c>
      <c r="O37" s="179"/>
      <c r="P37" s="108"/>
      <c r="Q37" s="180">
        <f t="shared" ref="Q37:Q43" si="2">T18</f>
        <v>660</v>
      </c>
      <c r="R37" s="112"/>
      <c r="S37" s="108"/>
      <c r="T37" s="113" t="str">
        <f t="shared" ref="T37:T44" si="3">W18</f>
        <v>Not applicable</v>
      </c>
      <c r="U37" s="181"/>
      <c r="V37" s="114"/>
      <c r="W37" s="180">
        <v>0</v>
      </c>
      <c r="X37" s="110"/>
      <c r="Y37" s="114"/>
      <c r="Z37" s="182">
        <v>0</v>
      </c>
      <c r="AA37" s="110"/>
      <c r="AB37" s="114"/>
      <c r="AC37" s="182">
        <v>0</v>
      </c>
      <c r="AD37" s="181"/>
      <c r="AE37" s="114"/>
      <c r="AF37" s="182">
        <f t="shared" ref="AF37:AF43" si="4">Z18</f>
        <v>660</v>
      </c>
      <c r="AG37" s="181"/>
      <c r="AH37" s="114"/>
      <c r="AI37" s="182">
        <f t="shared" ref="AI37:AI43" si="5">AC18</f>
        <v>660</v>
      </c>
    </row>
    <row r="38" spans="2:35">
      <c r="B38" s="178" t="s">
        <v>207</v>
      </c>
      <c r="C38" s="179"/>
      <c r="D38" s="108"/>
      <c r="E38" s="180">
        <f t="shared" si="0"/>
        <v>330</v>
      </c>
      <c r="F38" s="179"/>
      <c r="G38" s="108"/>
      <c r="H38" s="180">
        <v>330</v>
      </c>
      <c r="I38" s="110"/>
      <c r="J38" s="110"/>
      <c r="K38" s="180">
        <f t="shared" si="1"/>
        <v>330</v>
      </c>
      <c r="L38" s="110"/>
      <c r="M38" s="110"/>
      <c r="N38" s="180">
        <v>330</v>
      </c>
      <c r="O38" s="179"/>
      <c r="P38" s="108"/>
      <c r="Q38" s="180">
        <f t="shared" si="2"/>
        <v>330</v>
      </c>
      <c r="R38" s="112"/>
      <c r="S38" s="108"/>
      <c r="T38" s="113" t="str">
        <f t="shared" si="3"/>
        <v>Not applicable</v>
      </c>
      <c r="U38" s="181"/>
      <c r="V38" s="114"/>
      <c r="W38" s="180">
        <v>275</v>
      </c>
      <c r="X38" s="110"/>
      <c r="Y38" s="114"/>
      <c r="Z38" s="180">
        <v>275</v>
      </c>
      <c r="AA38" s="110"/>
      <c r="AB38" s="114"/>
      <c r="AC38" s="180">
        <v>275</v>
      </c>
      <c r="AD38" s="181"/>
      <c r="AE38" s="114"/>
      <c r="AF38" s="182">
        <f t="shared" si="4"/>
        <v>330</v>
      </c>
      <c r="AG38" s="181"/>
      <c r="AH38" s="114"/>
      <c r="AI38" s="182">
        <f t="shared" si="5"/>
        <v>330</v>
      </c>
    </row>
    <row r="39" spans="2:35">
      <c r="B39" s="178" t="s">
        <v>208</v>
      </c>
      <c r="C39" s="179"/>
      <c r="D39" s="108"/>
      <c r="E39" s="180">
        <f t="shared" si="0"/>
        <v>550</v>
      </c>
      <c r="F39" s="179"/>
      <c r="G39" s="108"/>
      <c r="H39" s="180">
        <v>550</v>
      </c>
      <c r="I39" s="110"/>
      <c r="J39" s="110"/>
      <c r="K39" s="180">
        <f t="shared" si="1"/>
        <v>550</v>
      </c>
      <c r="L39" s="110"/>
      <c r="M39" s="110"/>
      <c r="N39" s="180">
        <v>550</v>
      </c>
      <c r="O39" s="179"/>
      <c r="P39" s="108"/>
      <c r="Q39" s="180">
        <f t="shared" si="2"/>
        <v>550</v>
      </c>
      <c r="R39" s="112"/>
      <c r="S39" s="108"/>
      <c r="T39" s="113" t="str">
        <f t="shared" si="3"/>
        <v>Not applicable</v>
      </c>
      <c r="U39" s="181"/>
      <c r="V39" s="114"/>
      <c r="W39" s="180">
        <v>400</v>
      </c>
      <c r="X39" s="110"/>
      <c r="Y39" s="114"/>
      <c r="Z39" s="180">
        <v>400</v>
      </c>
      <c r="AA39" s="110"/>
      <c r="AB39" s="114"/>
      <c r="AC39" s="180">
        <v>400</v>
      </c>
      <c r="AD39" s="181"/>
      <c r="AE39" s="114"/>
      <c r="AF39" s="182">
        <f t="shared" si="4"/>
        <v>550</v>
      </c>
      <c r="AG39" s="181"/>
      <c r="AH39" s="114"/>
      <c r="AI39" s="182">
        <f t="shared" si="5"/>
        <v>550</v>
      </c>
    </row>
    <row r="40" spans="2:35">
      <c r="B40" s="183" t="s">
        <v>209</v>
      </c>
      <c r="C40" s="179"/>
      <c r="D40" s="108"/>
      <c r="E40" s="180">
        <f t="shared" si="0"/>
        <v>550</v>
      </c>
      <c r="F40" s="179"/>
      <c r="G40" s="108"/>
      <c r="H40" s="180">
        <v>550</v>
      </c>
      <c r="I40" s="121"/>
      <c r="J40" s="120"/>
      <c r="K40" s="180">
        <f t="shared" si="1"/>
        <v>1250</v>
      </c>
      <c r="L40" s="121"/>
      <c r="M40" s="120"/>
      <c r="N40" s="180">
        <v>1250</v>
      </c>
      <c r="O40" s="179"/>
      <c r="P40" s="108"/>
      <c r="Q40" s="180">
        <f t="shared" si="2"/>
        <v>550</v>
      </c>
      <c r="R40" s="112"/>
      <c r="S40" s="108"/>
      <c r="T40" s="113" t="str">
        <f t="shared" si="3"/>
        <v>Not applicable</v>
      </c>
      <c r="U40" s="181"/>
      <c r="V40" s="114"/>
      <c r="W40" s="180">
        <v>550</v>
      </c>
      <c r="X40" s="110"/>
      <c r="Y40" s="114"/>
      <c r="Z40" s="180">
        <v>550</v>
      </c>
      <c r="AA40" s="110"/>
      <c r="AB40" s="114"/>
      <c r="AC40" s="180">
        <v>550</v>
      </c>
      <c r="AD40" s="181"/>
      <c r="AE40" s="114"/>
      <c r="AF40" s="182">
        <f t="shared" si="4"/>
        <v>550</v>
      </c>
      <c r="AG40" s="181"/>
      <c r="AH40" s="114"/>
      <c r="AI40" s="182">
        <f t="shared" si="5"/>
        <v>550</v>
      </c>
    </row>
    <row r="41" spans="2:35" ht="21">
      <c r="B41" s="184" t="s">
        <v>210</v>
      </c>
      <c r="C41" s="185"/>
      <c r="D41" s="124"/>
      <c r="E41" s="180">
        <f t="shared" si="0"/>
        <v>22500</v>
      </c>
      <c r="F41" s="185"/>
      <c r="G41" s="124"/>
      <c r="H41" s="180">
        <f>E7*1.25%</f>
        <v>22500</v>
      </c>
      <c r="I41" s="110"/>
      <c r="J41" s="110"/>
      <c r="K41" s="180">
        <f t="shared" si="1"/>
        <v>0</v>
      </c>
      <c r="L41" s="110"/>
      <c r="M41" s="110"/>
      <c r="N41" s="180">
        <v>0</v>
      </c>
      <c r="O41" s="179" t="s">
        <v>392</v>
      </c>
      <c r="P41" s="125">
        <f>S22</f>
        <v>1.38E-2</v>
      </c>
      <c r="Q41" s="180">
        <f t="shared" si="2"/>
        <v>24840</v>
      </c>
      <c r="R41" s="112" t="s">
        <v>392</v>
      </c>
      <c r="S41" s="125">
        <f>V22</f>
        <v>1.38E-2</v>
      </c>
      <c r="T41" s="113" t="str">
        <f t="shared" si="3"/>
        <v>Not applicable</v>
      </c>
      <c r="U41" s="186" t="s">
        <v>392</v>
      </c>
      <c r="V41" s="187" t="s">
        <v>407</v>
      </c>
      <c r="W41" s="180">
        <f>IF(E4="Non Resi", E7*1%, E7*1.25%)</f>
        <v>18000</v>
      </c>
      <c r="X41" s="186" t="s">
        <v>392</v>
      </c>
      <c r="Y41" s="187" t="s">
        <v>407</v>
      </c>
      <c r="Z41" s="180">
        <f>IF(E4="Non Resi", E7*1%, E7*1.25%)</f>
        <v>18000</v>
      </c>
      <c r="AA41" s="186" t="s">
        <v>392</v>
      </c>
      <c r="AB41" s="187" t="s">
        <v>407</v>
      </c>
      <c r="AC41" s="180">
        <f>IF(E4="Non Resi", E7*1%, E7*1.25%)</f>
        <v>18000</v>
      </c>
      <c r="AD41" s="186" t="s">
        <v>392</v>
      </c>
      <c r="AE41" s="133">
        <v>1.2500000000000001E-2</v>
      </c>
      <c r="AF41" s="182">
        <f>E7*AE41</f>
        <v>22500</v>
      </c>
      <c r="AG41" s="181"/>
      <c r="AH41" s="114"/>
      <c r="AI41" s="182">
        <f t="shared" si="5"/>
        <v>22500</v>
      </c>
    </row>
    <row r="42" spans="2:35">
      <c r="B42" s="178" t="s">
        <v>211</v>
      </c>
      <c r="C42" s="179" t="s">
        <v>392</v>
      </c>
      <c r="D42" s="130">
        <f>G23</f>
        <v>1.6E-2</v>
      </c>
      <c r="E42" s="180">
        <f t="shared" si="0"/>
        <v>28800</v>
      </c>
      <c r="F42" s="179" t="s">
        <v>392</v>
      </c>
      <c r="G42" s="130">
        <f>'Risk Fee Matrix2'!A142</f>
        <v>1.8499999999999999E-2</v>
      </c>
      <c r="H42" s="188">
        <f>E7*G42</f>
        <v>33300</v>
      </c>
      <c r="I42" s="121" t="s">
        <v>392</v>
      </c>
      <c r="J42" s="110">
        <f>M23</f>
        <v>0</v>
      </c>
      <c r="K42" s="180">
        <f t="shared" si="1"/>
        <v>0</v>
      </c>
      <c r="L42" s="121" t="s">
        <v>392</v>
      </c>
      <c r="M42" s="189">
        <v>0</v>
      </c>
      <c r="N42" s="188">
        <f>M42*M42</f>
        <v>0</v>
      </c>
      <c r="O42" s="179" t="s">
        <v>392</v>
      </c>
      <c r="P42" s="125">
        <f>S23</f>
        <v>1.7500000000000002E-2</v>
      </c>
      <c r="Q42" s="180">
        <f t="shared" si="2"/>
        <v>31500.000000000004</v>
      </c>
      <c r="R42" s="112" t="s">
        <v>392</v>
      </c>
      <c r="S42" s="130">
        <f>V23</f>
        <v>1.7500000000000002E-2</v>
      </c>
      <c r="T42" s="113" t="str">
        <f t="shared" si="3"/>
        <v>Not applicable</v>
      </c>
      <c r="U42" s="190" t="s">
        <v>392</v>
      </c>
      <c r="V42" s="133">
        <f>'Risk Fee Matrix2'!$A$122</f>
        <v>1.0999999999999999E-2</v>
      </c>
      <c r="W42" s="188">
        <f>V42*E7</f>
        <v>19800</v>
      </c>
      <c r="X42" s="121" t="s">
        <v>392</v>
      </c>
      <c r="Y42" s="133">
        <f>'Risk Fee Matrix2'!$A$122</f>
        <v>1.0999999999999999E-2</v>
      </c>
      <c r="Z42" s="188">
        <f>Y42*E7</f>
        <v>19800</v>
      </c>
      <c r="AA42" s="121" t="s">
        <v>392</v>
      </c>
      <c r="AB42" s="133">
        <f>'Risk Fee Matrix2'!$A$122</f>
        <v>1.0999999999999999E-2</v>
      </c>
      <c r="AC42" s="188">
        <f>AB42*E7</f>
        <v>19800</v>
      </c>
      <c r="AD42" s="190" t="s">
        <v>392</v>
      </c>
      <c r="AE42" s="133">
        <f>'Risk Fee Matrix2'!A167</f>
        <v>1.6E-2</v>
      </c>
      <c r="AF42" s="182">
        <f>E7*AE42</f>
        <v>28800</v>
      </c>
      <c r="AG42" s="190" t="s">
        <v>392</v>
      </c>
      <c r="AH42" s="133">
        <f>AB23</f>
        <v>1.55E-2</v>
      </c>
      <c r="AI42" s="182">
        <f t="shared" si="5"/>
        <v>27900</v>
      </c>
    </row>
    <row r="43" spans="2:35" ht="31.15" customHeight="1">
      <c r="B43" s="178" t="s">
        <v>213</v>
      </c>
      <c r="C43" s="179"/>
      <c r="D43" s="130"/>
      <c r="E43" s="180">
        <f t="shared" si="0"/>
        <v>499</v>
      </c>
      <c r="F43" s="179"/>
      <c r="G43" s="130"/>
      <c r="H43" s="188">
        <f>IF(AJ30="Construction", 499, 468)</f>
        <v>468</v>
      </c>
      <c r="I43" s="121"/>
      <c r="J43" s="121"/>
      <c r="K43" s="180">
        <f t="shared" si="1"/>
        <v>499</v>
      </c>
      <c r="L43" s="121"/>
      <c r="M43" s="121"/>
      <c r="N43" s="188">
        <v>499</v>
      </c>
      <c r="O43" s="179"/>
      <c r="P43" s="130"/>
      <c r="Q43" s="180">
        <f t="shared" si="2"/>
        <v>499</v>
      </c>
      <c r="R43" s="112"/>
      <c r="S43" s="1210" t="s">
        <v>393</v>
      </c>
      <c r="T43" s="139" t="str">
        <f t="shared" si="3"/>
        <v>Not applicable</v>
      </c>
      <c r="U43" s="190"/>
      <c r="V43" s="133"/>
      <c r="W43" s="188">
        <v>499</v>
      </c>
      <c r="X43" s="121"/>
      <c r="Y43" s="133"/>
      <c r="Z43" s="188">
        <v>499</v>
      </c>
      <c r="AA43" s="121"/>
      <c r="AB43" s="133"/>
      <c r="AC43" s="188">
        <v>499</v>
      </c>
      <c r="AD43" s="190"/>
      <c r="AE43" s="133"/>
      <c r="AF43" s="182">
        <f t="shared" si="4"/>
        <v>499</v>
      </c>
      <c r="AG43" s="190"/>
      <c r="AH43" s="133"/>
      <c r="AI43" s="182">
        <f t="shared" si="5"/>
        <v>499</v>
      </c>
    </row>
    <row r="44" spans="2:35" ht="15.4" customHeight="1">
      <c r="B44" s="178" t="s">
        <v>408</v>
      </c>
      <c r="C44" s="179"/>
      <c r="D44" s="130"/>
      <c r="E44" s="180"/>
      <c r="F44" s="179"/>
      <c r="G44" s="130"/>
      <c r="H44" s="188"/>
      <c r="I44" s="121"/>
      <c r="J44" s="121"/>
      <c r="K44" s="180"/>
      <c r="L44" s="121"/>
      <c r="M44" s="121"/>
      <c r="N44" s="188"/>
      <c r="O44" s="179"/>
      <c r="P44" s="130"/>
      <c r="Q44" s="180"/>
      <c r="R44" s="112"/>
      <c r="S44" s="1210"/>
      <c r="T44" s="139" t="str">
        <f t="shared" si="3"/>
        <v>Not applicable</v>
      </c>
      <c r="U44" s="190"/>
      <c r="V44" s="133"/>
      <c r="W44" s="188">
        <f>IF(E5="yes", E7*0.75%, 0)</f>
        <v>0</v>
      </c>
      <c r="X44" s="121"/>
      <c r="Y44" s="133"/>
      <c r="Z44" s="188"/>
      <c r="AA44" s="121"/>
      <c r="AB44" s="133"/>
      <c r="AC44" s="188"/>
      <c r="AD44" s="190"/>
      <c r="AE44" s="133"/>
      <c r="AF44" s="182"/>
      <c r="AG44" s="190"/>
      <c r="AH44" s="133"/>
      <c r="AI44" s="182"/>
    </row>
    <row r="45" spans="2:35" ht="16" thickBot="1">
      <c r="B45" s="178" t="s">
        <v>214</v>
      </c>
      <c r="C45" s="179"/>
      <c r="D45" s="108"/>
      <c r="E45" s="180">
        <f>H25</f>
        <v>0</v>
      </c>
      <c r="F45" s="179"/>
      <c r="G45" s="108"/>
      <c r="H45" s="188" t="str">
        <f>IF(F30="Construction",750,"0")</f>
        <v>0</v>
      </c>
      <c r="I45" s="121"/>
      <c r="J45" s="191"/>
      <c r="K45" s="192">
        <f>N25</f>
        <v>0</v>
      </c>
      <c r="L45" s="121"/>
      <c r="M45" s="121"/>
      <c r="N45" s="188" t="str">
        <f>IF(L30="Construction",750,"0")</f>
        <v>0</v>
      </c>
      <c r="O45" s="193"/>
      <c r="P45" s="194"/>
      <c r="Q45" s="192">
        <f>T25</f>
        <v>0</v>
      </c>
      <c r="S45" s="1211"/>
      <c r="U45" s="190"/>
      <c r="V45" s="144"/>
      <c r="W45" s="188" t="str">
        <f>IF($X$4="Construction",#REF!*1.25%,"0")</f>
        <v>0</v>
      </c>
      <c r="X45" s="121"/>
      <c r="Y45" s="144"/>
      <c r="Z45" s="188" t="str">
        <f>IF($X$4="Construction",#REF!*1.25%,"0")</f>
        <v>0</v>
      </c>
      <c r="AA45" s="121"/>
      <c r="AB45" s="144"/>
      <c r="AC45" s="188" t="str">
        <f>IF($X$4="Construction",#REF!*1.25%,"0")</f>
        <v>0</v>
      </c>
      <c r="AD45" s="190"/>
      <c r="AE45" s="144"/>
      <c r="AF45" s="182" t="str">
        <f>Z25</f>
        <v>0</v>
      </c>
      <c r="AG45" s="190"/>
      <c r="AH45" s="144"/>
      <c r="AI45" s="182">
        <f>AC25</f>
        <v>475</v>
      </c>
    </row>
    <row r="46" spans="2:35" ht="16" thickBot="1">
      <c r="B46" s="195" t="s">
        <v>394</v>
      </c>
      <c r="C46" s="196"/>
      <c r="D46" s="197">
        <f>G26</f>
        <v>2.966111111111111E-2</v>
      </c>
      <c r="E46" s="198">
        <f>H26</f>
        <v>53390</v>
      </c>
      <c r="F46" s="199"/>
      <c r="G46" s="200">
        <f>IFERROR(H46/$E$7, "NA")</f>
        <v>3.2161111111111113E-2</v>
      </c>
      <c r="H46" s="201">
        <f>IFERROR(IF($E$4="construction", "not applicable", SUM(H37:H45))-H43, "NA")</f>
        <v>57890</v>
      </c>
      <c r="I46" s="202"/>
      <c r="J46" s="197">
        <f>M26</f>
        <v>1.5499999999999999E-3</v>
      </c>
      <c r="K46" s="203">
        <f>N26</f>
        <v>2790</v>
      </c>
      <c r="L46" s="204"/>
      <c r="M46" s="200">
        <f>IFERROR(N46/$E$7, "NA")</f>
        <v>1.5499999999999999E-3</v>
      </c>
      <c r="N46" s="201">
        <f>IFERROR(IF($E$4="construction", "not applicable", SUM(N37:N45))-N43, "NA")</f>
        <v>2790</v>
      </c>
      <c r="O46" s="205"/>
      <c r="P46" s="206">
        <f>S26</f>
        <v>3.2461111111111114E-2</v>
      </c>
      <c r="Q46" s="207">
        <f>T26</f>
        <v>58430</v>
      </c>
      <c r="R46" s="208"/>
      <c r="S46" s="209" t="str">
        <f>V26</f>
        <v>NA</v>
      </c>
      <c r="T46" s="210" t="str">
        <f>W26</f>
        <v>Not applicable</v>
      </c>
      <c r="U46" s="211"/>
      <c r="V46" s="212">
        <f>W46/E7</f>
        <v>2.1680555555555557E-2</v>
      </c>
      <c r="W46" s="213">
        <f>IF(AND(E4="Construction",E7&gt;750000),"Out of Policy",SUM(W37:W45))-W43</f>
        <v>39025</v>
      </c>
      <c r="X46" s="214"/>
      <c r="Y46" s="215">
        <f>Z46/E7</f>
        <v>2.1680555555555557E-2</v>
      </c>
      <c r="Z46" s="216">
        <f>IF(AND(E4="Construction",E7&gt;750000),"Out of Policy",SUM(Z37:Z45))-Z43</f>
        <v>39025</v>
      </c>
      <c r="AA46" s="214"/>
      <c r="AB46" s="215">
        <f>AC46/E7</f>
        <v>2.1680555555555557E-2</v>
      </c>
      <c r="AC46" s="216">
        <f>IF(AND(E4="Construction",E7&gt;750000),"Out of Policy",SUM(AC37:AC45))-AC43</f>
        <v>39025</v>
      </c>
      <c r="AD46" s="217"/>
      <c r="AE46" s="200">
        <f>IFERROR(AF46/$E$7, "NA")</f>
        <v>2.966111111111111E-2</v>
      </c>
      <c r="AF46" s="201">
        <f>IFERROR(IF($E$4="construction", "not applicable", SUM(AF37:AF45))-AF43, "NA")</f>
        <v>53390</v>
      </c>
      <c r="AG46" s="218"/>
      <c r="AH46" s="219" t="str">
        <f>AB26</f>
        <v>NA</v>
      </c>
      <c r="AI46" s="220" t="str">
        <f>AC26</f>
        <v>NA</v>
      </c>
    </row>
    <row r="47" spans="2:35">
      <c r="B47" s="221" t="s">
        <v>409</v>
      </c>
      <c r="C47" s="1212" t="s">
        <v>410</v>
      </c>
      <c r="D47" s="1213"/>
      <c r="E47" s="222">
        <v>2000</v>
      </c>
      <c r="F47" s="1214" t="s">
        <v>410</v>
      </c>
      <c r="G47" s="1215"/>
      <c r="H47" s="223">
        <v>2000</v>
      </c>
      <c r="I47" s="1216" t="s">
        <v>410</v>
      </c>
      <c r="J47" s="1217"/>
      <c r="K47" s="224">
        <v>2000</v>
      </c>
      <c r="L47" s="1218" t="s">
        <v>410</v>
      </c>
      <c r="M47" s="1219"/>
      <c r="N47" s="223">
        <v>2000</v>
      </c>
      <c r="O47" s="1212" t="s">
        <v>410</v>
      </c>
      <c r="P47" s="1213"/>
      <c r="Q47" s="224">
        <v>2000</v>
      </c>
      <c r="R47" s="1212" t="s">
        <v>410</v>
      </c>
      <c r="S47" s="1213"/>
      <c r="T47" s="224">
        <v>2000</v>
      </c>
      <c r="U47" s="1194" t="s">
        <v>411</v>
      </c>
      <c r="V47" s="1195"/>
      <c r="W47" s="216">
        <v>1000</v>
      </c>
      <c r="X47" s="1196" t="s">
        <v>412</v>
      </c>
      <c r="Y47" s="1197"/>
      <c r="Z47" s="216">
        <v>2750</v>
      </c>
      <c r="AA47" s="1196" t="s">
        <v>412</v>
      </c>
      <c r="AB47" s="1197"/>
      <c r="AC47" s="216">
        <v>770</v>
      </c>
      <c r="AD47" s="1198" t="s">
        <v>412</v>
      </c>
      <c r="AE47" s="1199"/>
      <c r="AF47" s="225">
        <v>2000</v>
      </c>
      <c r="AG47" s="1200" t="s">
        <v>412</v>
      </c>
      <c r="AH47" s="1201"/>
      <c r="AI47" s="226">
        <v>2000</v>
      </c>
    </row>
    <row r="48" spans="2:35">
      <c r="B48" s="227" t="s">
        <v>413</v>
      </c>
      <c r="C48" s="228"/>
      <c r="D48" s="229"/>
      <c r="E48" s="230"/>
      <c r="F48" s="231"/>
      <c r="G48" s="232"/>
      <c r="H48" s="233"/>
      <c r="I48" s="234"/>
      <c r="J48" s="234"/>
      <c r="K48" s="230"/>
      <c r="L48" s="235"/>
      <c r="M48" s="235"/>
      <c r="N48" s="233"/>
      <c r="O48" s="228"/>
      <c r="P48" s="229"/>
      <c r="Q48" s="230"/>
      <c r="R48" s="228"/>
      <c r="S48" s="229"/>
      <c r="T48" s="230"/>
      <c r="U48" s="1202" t="s">
        <v>414</v>
      </c>
      <c r="V48" s="1203"/>
      <c r="W48" s="236">
        <v>1.0999999999999999E-2</v>
      </c>
      <c r="X48" s="1204" t="s">
        <v>415</v>
      </c>
      <c r="Y48" s="1205"/>
      <c r="Z48" s="236">
        <v>3.3E-3</v>
      </c>
      <c r="AA48" s="1204" t="s">
        <v>415</v>
      </c>
      <c r="AB48" s="1205"/>
      <c r="AC48" s="236">
        <v>3.3E-3</v>
      </c>
      <c r="AD48" s="1206"/>
      <c r="AE48" s="1207"/>
      <c r="AF48" s="237"/>
      <c r="AG48" s="1208"/>
      <c r="AH48" s="1209"/>
      <c r="AI48" s="238"/>
    </row>
    <row r="49" spans="2:35" ht="16" thickBot="1">
      <c r="B49" s="239"/>
      <c r="C49" s="240"/>
      <c r="D49" s="241"/>
      <c r="E49" s="242"/>
      <c r="F49" s="243"/>
      <c r="G49" s="244"/>
      <c r="H49" s="245"/>
      <c r="I49" s="246"/>
      <c r="J49" s="246"/>
      <c r="K49" s="242"/>
      <c r="L49" s="247"/>
      <c r="M49" s="247"/>
      <c r="N49" s="245"/>
      <c r="O49" s="240"/>
      <c r="P49" s="241"/>
      <c r="Q49" s="242"/>
      <c r="R49" s="240"/>
      <c r="S49" s="241"/>
      <c r="T49" s="242"/>
      <c r="U49" s="248"/>
      <c r="V49" s="249"/>
      <c r="W49" s="250">
        <f>W48*E7</f>
        <v>19800</v>
      </c>
      <c r="X49" s="251"/>
      <c r="Y49" s="252"/>
      <c r="Z49" s="250">
        <f>Z48*E7</f>
        <v>5940</v>
      </c>
      <c r="AA49" s="251"/>
      <c r="AB49" s="252"/>
      <c r="AC49" s="250">
        <f>AC48*E7</f>
        <v>5940</v>
      </c>
      <c r="AD49" s="253"/>
      <c r="AE49" s="254"/>
      <c r="AF49" s="255"/>
      <c r="AG49" s="256"/>
      <c r="AH49" s="257"/>
      <c r="AI49" s="258"/>
    </row>
    <row r="50" spans="2:35" ht="27" customHeight="1" thickBot="1">
      <c r="B50" s="259" t="s">
        <v>416</v>
      </c>
      <c r="C50" s="196"/>
      <c r="D50" s="197"/>
      <c r="E50" s="260">
        <f>SUM(E46:E49)</f>
        <v>55390</v>
      </c>
      <c r="F50" s="199"/>
      <c r="G50" s="200"/>
      <c r="H50" s="201">
        <f>SUM(H46:H49)</f>
        <v>59890</v>
      </c>
      <c r="I50" s="261"/>
      <c r="J50" s="261"/>
      <c r="K50" s="198">
        <f>SUM(K46:K47)</f>
        <v>4790</v>
      </c>
      <c r="L50" s="204"/>
      <c r="M50" s="204"/>
      <c r="N50" s="201">
        <f>SUM(N46:N47)</f>
        <v>4790</v>
      </c>
      <c r="O50" s="262"/>
      <c r="P50" s="263"/>
      <c r="Q50" s="198">
        <f>SUM(Q46:Q49)</f>
        <v>60430</v>
      </c>
      <c r="R50" s="262"/>
      <c r="S50" s="263"/>
      <c r="T50" s="198">
        <f>SUM(T46:T49)</f>
        <v>2000</v>
      </c>
      <c r="U50" s="211"/>
      <c r="V50" s="212"/>
      <c r="W50" s="213">
        <f>SUM(W46:W47,W49)</f>
        <v>59825</v>
      </c>
      <c r="X50" s="214"/>
      <c r="Y50" s="215"/>
      <c r="Z50" s="213" cm="1">
        <f t="array" ref="Z50">SUM(Z46:Z47+Z49)</f>
        <v>53655</v>
      </c>
      <c r="AA50" s="214"/>
      <c r="AB50" s="215"/>
      <c r="AC50" s="213">
        <f>SUM(AC46:AC47,AC49)</f>
        <v>45735</v>
      </c>
      <c r="AD50" s="264"/>
      <c r="AE50" s="265"/>
      <c r="AF50" s="266">
        <f>SUM(AF46:AF47)</f>
        <v>55390</v>
      </c>
      <c r="AG50" s="218"/>
      <c r="AH50" s="219"/>
      <c r="AI50" s="260">
        <f>SUM(AI46:AI47)</f>
        <v>2000</v>
      </c>
    </row>
    <row r="52" spans="2:35">
      <c r="B52" s="172" t="s">
        <v>417</v>
      </c>
      <c r="D52" s="173" t="e">
        <f>G28</f>
        <v>#N/A</v>
      </c>
      <c r="E52" s="174">
        <f>repayment!G16</f>
        <v>499</v>
      </c>
      <c r="G52" s="173" t="e">
        <f>Rates!C104</f>
        <v>#N/A</v>
      </c>
      <c r="H52" s="174">
        <f>repayment!CI16</f>
        <v>468</v>
      </c>
      <c r="J52" s="173" t="e">
        <f>'Comparison Calculator'!M28</f>
        <v>#N/A</v>
      </c>
      <c r="K52" s="174">
        <f>repayment!AH16</f>
        <v>499</v>
      </c>
      <c r="M52" s="173" t="e">
        <f>Rates!B125</f>
        <v>#N/A</v>
      </c>
      <c r="N52" s="174">
        <f>repayment!CR16</f>
        <v>499</v>
      </c>
      <c r="P52" s="173" t="e">
        <f>S28</f>
        <v>#N/A</v>
      </c>
      <c r="Q52" s="174">
        <f>repayment!AZ16</f>
        <v>499</v>
      </c>
      <c r="R52" s="176"/>
      <c r="S52" s="173" t="str">
        <f>V28</f>
        <v>NA</v>
      </c>
      <c r="T52" s="174" t="str">
        <f>W28</f>
        <v>NA</v>
      </c>
      <c r="V52" s="173" t="e">
        <f>Rates!C144</f>
        <v>#N/A</v>
      </c>
      <c r="W52" s="174">
        <f>repayment!DA16</f>
        <v>499</v>
      </c>
      <c r="Y52" s="173" t="e">
        <f>Rates!C144</f>
        <v>#N/A</v>
      </c>
      <c r="Z52" s="174">
        <f>W52</f>
        <v>499</v>
      </c>
      <c r="AB52" s="173" t="e">
        <f>Rates!C144</f>
        <v>#N/A</v>
      </c>
      <c r="AC52" s="174">
        <f>Z52</f>
        <v>499</v>
      </c>
      <c r="AE52" s="173" t="e">
        <f>Rates!C164</f>
        <v>#N/A</v>
      </c>
      <c r="AF52" s="174">
        <f>repayment!DJ16</f>
        <v>499</v>
      </c>
      <c r="AG52" s="173">
        <f>AB28</f>
        <v>6.4799999999999996E-2</v>
      </c>
      <c r="AI52" s="174">
        <f>repayment!BZ16</f>
        <v>499</v>
      </c>
    </row>
    <row r="53" spans="2:35">
      <c r="B53" s="172" t="s">
        <v>396</v>
      </c>
      <c r="D53" s="173">
        <f t="shared" ref="D53:D55" si="6">G29</f>
        <v>6.4799999999999996E-2</v>
      </c>
      <c r="E53" s="174">
        <f>repayment!G28</f>
        <v>117638</v>
      </c>
      <c r="G53" s="173">
        <f>Rates!C105</f>
        <v>6.3799999999999996E-2</v>
      </c>
      <c r="H53" s="174">
        <f>repayment!CI28</f>
        <v>115775.99999999999</v>
      </c>
      <c r="J53" s="173" t="e">
        <f>'Comparison Calculator'!M29</f>
        <v>#N/A</v>
      </c>
      <c r="K53" s="174" t="e">
        <f>repayment!AH28</f>
        <v>#N/A</v>
      </c>
      <c r="M53" s="173" t="e">
        <f>Rates!B126</f>
        <v>#N/A</v>
      </c>
      <c r="N53" s="174" t="e">
        <f>repayment!CR28</f>
        <v>#N/A</v>
      </c>
      <c r="P53" s="173" t="e">
        <f t="shared" ref="P53:P55" si="7">S29</f>
        <v>#N/A</v>
      </c>
      <c r="Q53" s="174" t="e">
        <f>repayment!AZ28</f>
        <v>#N/A</v>
      </c>
      <c r="R53" s="176"/>
      <c r="S53" s="173" t="str">
        <f t="shared" ref="S53:S55" si="8">V29</f>
        <v>NA</v>
      </c>
      <c r="T53" s="174" t="str">
        <f>W29</f>
        <v>NA</v>
      </c>
      <c r="V53" s="173" t="e">
        <f>Rates!C145</f>
        <v>#N/A</v>
      </c>
      <c r="W53" s="174" t="e">
        <f>repayment!DA28</f>
        <v>#N/A</v>
      </c>
      <c r="Y53" s="173" t="e">
        <f>Rates!C145</f>
        <v>#N/A</v>
      </c>
      <c r="Z53" s="174" t="e">
        <f t="shared" ref="Z53:Z55" si="9">W53</f>
        <v>#N/A</v>
      </c>
      <c r="AB53" s="173" t="e">
        <f>Rates!C145</f>
        <v>#N/A</v>
      </c>
      <c r="AC53" s="174" t="e">
        <f t="shared" ref="AC53:AC55" si="10">Z53</f>
        <v>#N/A</v>
      </c>
      <c r="AE53" s="173" t="e">
        <f>Rates!C165</f>
        <v>#N/A</v>
      </c>
      <c r="AF53" s="174" t="e">
        <f>repayment!DJ28</f>
        <v>#N/A</v>
      </c>
      <c r="AG53" s="173">
        <f t="shared" ref="AG53:AG55" si="11">AB29</f>
        <v>6.4799999999999996E-2</v>
      </c>
      <c r="AI53" s="174">
        <f>repayment!BZ28</f>
        <v>117638</v>
      </c>
    </row>
    <row r="54" spans="2:35">
      <c r="B54" s="172" t="s">
        <v>397</v>
      </c>
      <c r="D54" s="173">
        <f t="shared" si="6"/>
        <v>6.4799999999999996E-2</v>
      </c>
      <c r="E54" s="174">
        <f>repayment!G40</f>
        <v>234777</v>
      </c>
      <c r="G54" s="173">
        <f>Rates!C106</f>
        <v>6.3799999999999996E-2</v>
      </c>
      <c r="H54" s="174">
        <f>repayment!CI40</f>
        <v>231083.99999999997</v>
      </c>
      <c r="J54" s="173" t="e">
        <f>'Comparison Calculator'!M30</f>
        <v>#N/A</v>
      </c>
      <c r="K54" s="174" t="e">
        <f>repayment!AH40</f>
        <v>#N/A</v>
      </c>
      <c r="M54" s="173" t="e">
        <f>Rates!B127</f>
        <v>#N/A</v>
      </c>
      <c r="N54" s="174" t="e">
        <f>repayment!CR40</f>
        <v>#N/A</v>
      </c>
      <c r="P54" s="173" t="e">
        <f t="shared" si="7"/>
        <v>#N/A</v>
      </c>
      <c r="Q54" s="174" t="e">
        <f>repayment!AZ40</f>
        <v>#N/A</v>
      </c>
      <c r="R54" s="176"/>
      <c r="S54" s="173" t="str">
        <f t="shared" si="8"/>
        <v>NA</v>
      </c>
      <c r="T54" s="174" t="str">
        <f>W30</f>
        <v>NA</v>
      </c>
      <c r="V54" s="173" t="e">
        <f>Rates!C146</f>
        <v>#N/A</v>
      </c>
      <c r="W54" s="174" t="e">
        <f>repayment!DA40</f>
        <v>#N/A</v>
      </c>
      <c r="Y54" s="173" t="e">
        <f>Rates!C146</f>
        <v>#N/A</v>
      </c>
      <c r="Z54" s="174" t="e">
        <f t="shared" si="9"/>
        <v>#N/A</v>
      </c>
      <c r="AB54" s="173" t="e">
        <f>Rates!C146</f>
        <v>#N/A</v>
      </c>
      <c r="AC54" s="174" t="e">
        <f t="shared" si="10"/>
        <v>#N/A</v>
      </c>
      <c r="AE54" s="173" t="e">
        <f>Rates!C166</f>
        <v>#N/A</v>
      </c>
      <c r="AF54" s="174" t="e">
        <f>repayment!DJ40</f>
        <v>#N/A</v>
      </c>
      <c r="AG54" s="173">
        <f t="shared" si="11"/>
        <v>6.4799999999999996E-2</v>
      </c>
      <c r="AI54" s="174">
        <f>repayment!BZ40</f>
        <v>234777</v>
      </c>
    </row>
    <row r="55" spans="2:35">
      <c r="B55" s="172" t="s">
        <v>398</v>
      </c>
      <c r="D55" s="173">
        <f t="shared" si="6"/>
        <v>6.4799999999999996E-2</v>
      </c>
      <c r="E55" s="174">
        <f>repayment!G52</f>
        <v>351916</v>
      </c>
      <c r="G55" s="173">
        <f>Rates!C107</f>
        <v>6.3799999999999996E-2</v>
      </c>
      <c r="H55" s="174">
        <f>repayment!CI52</f>
        <v>346391.99999999994</v>
      </c>
      <c r="J55" s="173" t="e">
        <f>'Comparison Calculator'!M31</f>
        <v>#N/A</v>
      </c>
      <c r="K55" s="174" t="e">
        <f>repayment!AH52</f>
        <v>#N/A</v>
      </c>
      <c r="M55" s="173" t="e">
        <f>Rates!B128</f>
        <v>#N/A</v>
      </c>
      <c r="N55" s="174" t="e">
        <f>repayment!CR52</f>
        <v>#N/A</v>
      </c>
      <c r="P55" s="173" t="e">
        <f t="shared" si="7"/>
        <v>#N/A</v>
      </c>
      <c r="Q55" s="174" t="e">
        <f>repayment!AZ52</f>
        <v>#N/A</v>
      </c>
      <c r="R55" s="176"/>
      <c r="S55" s="173" t="str">
        <f t="shared" si="8"/>
        <v>NA</v>
      </c>
      <c r="T55" s="174" t="str">
        <f>W31</f>
        <v>NA</v>
      </c>
      <c r="V55" s="173" t="e">
        <f>Rates!C147</f>
        <v>#N/A</v>
      </c>
      <c r="W55" s="174" t="e">
        <f>repayment!DA52</f>
        <v>#N/A</v>
      </c>
      <c r="Y55" s="173" t="e">
        <f>Rates!C147</f>
        <v>#N/A</v>
      </c>
      <c r="Z55" s="174" t="e">
        <f t="shared" si="9"/>
        <v>#N/A</v>
      </c>
      <c r="AB55" s="173" t="e">
        <f>Rates!C147</f>
        <v>#N/A</v>
      </c>
      <c r="AC55" s="174" t="e">
        <f t="shared" si="10"/>
        <v>#N/A</v>
      </c>
      <c r="AE55" s="173" t="e">
        <f>Rates!C167</f>
        <v>#N/A</v>
      </c>
      <c r="AF55" s="174" t="e">
        <f>repayment!DJ52</f>
        <v>#N/A</v>
      </c>
      <c r="AG55" s="173">
        <f t="shared" si="11"/>
        <v>6.4799999999999996E-2</v>
      </c>
      <c r="AI55" s="174">
        <f>repayment!BZ52</f>
        <v>351916</v>
      </c>
    </row>
  </sheetData>
  <mergeCells count="84">
    <mergeCell ref="B5:D5"/>
    <mergeCell ref="B6:D6"/>
    <mergeCell ref="B4:D4"/>
    <mergeCell ref="K4:M4"/>
    <mergeCell ref="V4:X4"/>
    <mergeCell ref="AA4:AC4"/>
    <mergeCell ref="B2:H2"/>
    <mergeCell ref="J3:L3"/>
    <mergeCell ref="P3:R3"/>
    <mergeCell ref="V3:X3"/>
    <mergeCell ref="AA3:AC3"/>
    <mergeCell ref="P10:Q10"/>
    <mergeCell ref="X12:Y12"/>
    <mergeCell ref="AA6:AB6"/>
    <mergeCell ref="B8:D8"/>
    <mergeCell ref="B9:D9"/>
    <mergeCell ref="E9:H9"/>
    <mergeCell ref="P9:Q9"/>
    <mergeCell ref="AA9:AB9"/>
    <mergeCell ref="B7:D7"/>
    <mergeCell ref="AA7:AB7"/>
    <mergeCell ref="V9:W9"/>
    <mergeCell ref="AA12:AB12"/>
    <mergeCell ref="B12:D12"/>
    <mergeCell ref="P12:Q12"/>
    <mergeCell ref="R12:S12"/>
    <mergeCell ref="V12:W12"/>
    <mergeCell ref="B34:E35"/>
    <mergeCell ref="AC10:AD10"/>
    <mergeCell ref="B11:D11"/>
    <mergeCell ref="P11:Q11"/>
    <mergeCell ref="R11:S11"/>
    <mergeCell ref="V11:W11"/>
    <mergeCell ref="X11:Y11"/>
    <mergeCell ref="AA11:AB11"/>
    <mergeCell ref="AC11:AD11"/>
    <mergeCell ref="R10:S10"/>
    <mergeCell ref="V10:W10"/>
    <mergeCell ref="X10:Y10"/>
    <mergeCell ref="AA10:AB10"/>
    <mergeCell ref="B10:D10"/>
    <mergeCell ref="J10:K10"/>
    <mergeCell ref="M10:N10"/>
    <mergeCell ref="L13:M13"/>
    <mergeCell ref="AA13:AB13"/>
    <mergeCell ref="B15:E16"/>
    <mergeCell ref="C17:E17"/>
    <mergeCell ref="F17:H17"/>
    <mergeCell ref="I17:K17"/>
    <mergeCell ref="L17:N17"/>
    <mergeCell ref="O17:Q17"/>
    <mergeCell ref="R17:T17"/>
    <mergeCell ref="U17:W17"/>
    <mergeCell ref="X17:Z17"/>
    <mergeCell ref="AA17:AC17"/>
    <mergeCell ref="C36:E36"/>
    <mergeCell ref="F36:H36"/>
    <mergeCell ref="I36:K36"/>
    <mergeCell ref="L36:N36"/>
    <mergeCell ref="AG36:AI36"/>
    <mergeCell ref="AD36:AF36"/>
    <mergeCell ref="O36:Q36"/>
    <mergeCell ref="V24:V25"/>
    <mergeCell ref="R36:T36"/>
    <mergeCell ref="U36:W36"/>
    <mergeCell ref="X36:Z36"/>
    <mergeCell ref="AA36:AC36"/>
    <mergeCell ref="S43:S45"/>
    <mergeCell ref="C47:D47"/>
    <mergeCell ref="F47:G47"/>
    <mergeCell ref="I47:J47"/>
    <mergeCell ref="L47:M47"/>
    <mergeCell ref="O47:P47"/>
    <mergeCell ref="R47:S47"/>
    <mergeCell ref="U48:V48"/>
    <mergeCell ref="X48:Y48"/>
    <mergeCell ref="AA48:AB48"/>
    <mergeCell ref="AD48:AE48"/>
    <mergeCell ref="AG48:AH48"/>
    <mergeCell ref="U47:V47"/>
    <mergeCell ref="X47:Y47"/>
    <mergeCell ref="AA47:AB47"/>
    <mergeCell ref="AD47:AE47"/>
    <mergeCell ref="AG47:AH47"/>
  </mergeCells>
  <dataValidations count="7">
    <dataValidation type="custom" allowBlank="1" showInputMessage="1" showErrorMessage="1" errorTitle="Credit Policy" error="Minimum Loan $150,000.00_x000a_Maximum Loan $2,000,000.00" sqref="C7:D7" xr:uid="{3E611B2D-4779-491A-BD65-687971D77782}">
      <formula1>AND(C7&lt;=2000000, C7&gt;=150000)</formula1>
    </dataValidation>
    <dataValidation type="list" allowBlank="1" showInputMessage="1" showErrorMessage="1" sqref="E4" xr:uid="{673ACAA1-7368-440D-8210-27A2095B39E9}">
      <formula1>"Non Resi, Construction"</formula1>
    </dataValidation>
    <dataValidation type="list" allowBlank="1" showInputMessage="1" showErrorMessage="1" sqref="E5" xr:uid="{DA28447D-941E-489C-AB5E-F4F8810630FF}">
      <formula1>"Yes, No"</formula1>
    </dataValidation>
    <dataValidation type="custom" allowBlank="1" showInputMessage="1" showErrorMessage="1" error="Minimun Loan Amount AUD $150,000_x000a_Maximun Loan Amount AUD $2,000,000" sqref="E7" xr:uid="{D9FF59B4-8DB3-489A-BCD7-2B49A3609A5B}">
      <formula1>AND(E7&lt;=2000000, E7&gt;=150000)</formula1>
    </dataValidation>
    <dataValidation type="list" allowBlank="1" showInputMessage="1" showErrorMessage="1" prompt="Not Applicable to Contruction Loans" sqref="E6" xr:uid="{5F55FE45-D246-4291-9B6E-663D15443053}">
      <formula1>"Yes, No"</formula1>
    </dataValidation>
    <dataValidation type="list" allowBlank="1" showInputMessage="1" showErrorMessage="1" sqref="E10" xr:uid="{3A706EB3-A5E7-4B58-83AB-19D294C3B163}">
      <formula1>"P&amp;I, IO"</formula1>
    </dataValidation>
    <dataValidation type="list" allowBlank="1" showInputMessage="1" showErrorMessage="1" prompt="When P&amp;I, ensure 0" sqref="E11" xr:uid="{F60C4D07-3302-4B9C-8713-0AF52119E59C}">
      <formula1>"0,1,2,3,4,5"</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98EC5-D098-49C5-9C5D-AE64AEA25852}">
  <sheetPr codeName="Sheet7"/>
  <dimension ref="A1:AG172"/>
  <sheetViews>
    <sheetView workbookViewId="0"/>
  </sheetViews>
  <sheetFormatPr defaultColWidth="12.54296875" defaultRowHeight="14.5"/>
  <cols>
    <col min="1" max="1" width="12.54296875" style="514"/>
    <col min="2" max="2" width="19.7265625" style="514" customWidth="1"/>
    <col min="3" max="3" width="21.26953125" style="514" customWidth="1"/>
    <col min="4" max="11" width="12.54296875" style="514"/>
    <col min="12" max="12" width="17.7265625" style="514" customWidth="1"/>
    <col min="13" max="13" width="21.1796875" style="514" customWidth="1"/>
    <col min="14" max="16384" width="12.54296875" style="514"/>
  </cols>
  <sheetData>
    <row r="1" spans="1:32">
      <c r="J1" s="515"/>
      <c r="V1" s="515"/>
      <c r="W1" s="515"/>
      <c r="X1" s="515"/>
      <c r="Y1" s="515"/>
      <c r="Z1" s="515"/>
      <c r="AA1" s="515"/>
      <c r="AB1" s="515"/>
      <c r="AC1" s="515"/>
      <c r="AD1" s="515"/>
      <c r="AE1" s="515"/>
      <c r="AF1" s="515"/>
    </row>
    <row r="2" spans="1:32">
      <c r="A2" s="516" t="s">
        <v>55</v>
      </c>
      <c r="B2" s="517">
        <v>450000</v>
      </c>
      <c r="C2" s="515"/>
      <c r="D2" s="515"/>
      <c r="E2" s="515"/>
      <c r="F2" s="515"/>
      <c r="G2" s="515"/>
      <c r="H2" s="515"/>
      <c r="I2" s="515"/>
      <c r="J2" s="515"/>
      <c r="K2" s="518" t="s">
        <v>55</v>
      </c>
      <c r="L2" s="271">
        <f>B2</f>
        <v>450000</v>
      </c>
      <c r="M2" s="519"/>
      <c r="N2" s="519"/>
      <c r="O2" s="519"/>
      <c r="P2" s="519"/>
      <c r="Q2" s="519"/>
      <c r="R2" s="519"/>
      <c r="S2" s="519"/>
      <c r="T2" s="519"/>
      <c r="U2" s="520"/>
      <c r="V2" s="515"/>
      <c r="W2" s="515"/>
      <c r="X2" s="515"/>
      <c r="Y2" s="515"/>
      <c r="Z2" s="515"/>
      <c r="AA2" s="515"/>
      <c r="AB2" s="515"/>
      <c r="AC2" s="515"/>
      <c r="AD2" s="515"/>
      <c r="AE2" s="515"/>
      <c r="AF2" s="515"/>
    </row>
    <row r="3" spans="1:32">
      <c r="A3" s="516" t="s">
        <v>68</v>
      </c>
      <c r="B3" s="521">
        <v>0.6</v>
      </c>
      <c r="C3" s="515"/>
      <c r="D3" s="515"/>
      <c r="E3" s="515"/>
      <c r="F3" s="515"/>
      <c r="G3" s="515"/>
      <c r="H3" s="515"/>
      <c r="I3" s="515"/>
      <c r="J3" s="515"/>
      <c r="K3" s="518" t="s">
        <v>68</v>
      </c>
      <c r="L3" s="522">
        <f>B3</f>
        <v>0.6</v>
      </c>
      <c r="M3" s="519"/>
      <c r="N3" s="519"/>
      <c r="O3" s="519"/>
      <c r="P3" s="519"/>
      <c r="Q3" s="519"/>
      <c r="R3" s="519"/>
      <c r="S3" s="519"/>
      <c r="T3" s="519"/>
      <c r="U3" s="520"/>
      <c r="V3" s="515"/>
      <c r="W3" s="515"/>
      <c r="X3" s="515"/>
      <c r="Y3" s="515"/>
      <c r="Z3" s="515"/>
      <c r="AA3" s="515"/>
      <c r="AB3" s="515"/>
      <c r="AC3" s="515"/>
      <c r="AD3" s="515"/>
      <c r="AE3" s="515"/>
      <c r="AF3" s="515"/>
    </row>
    <row r="4" spans="1:32" ht="15" thickBot="1">
      <c r="A4" s="516"/>
      <c r="B4" s="521"/>
      <c r="C4" s="515"/>
      <c r="D4" s="515"/>
      <c r="E4" s="515"/>
      <c r="F4" s="515"/>
      <c r="G4" s="515"/>
      <c r="H4" s="515"/>
      <c r="I4" s="515"/>
      <c r="J4" s="515"/>
      <c r="K4" s="518"/>
      <c r="L4" s="522"/>
      <c r="M4" s="519"/>
      <c r="N4" s="519"/>
      <c r="O4" s="519"/>
      <c r="P4" s="519"/>
      <c r="Q4" s="519"/>
      <c r="R4" s="519"/>
      <c r="S4" s="519"/>
      <c r="T4" s="519"/>
      <c r="U4" s="520"/>
      <c r="V4" s="515"/>
      <c r="W4" s="515"/>
      <c r="X4" s="515"/>
      <c r="Y4" s="515"/>
      <c r="Z4" s="515"/>
      <c r="AA4" s="515"/>
      <c r="AB4" s="515"/>
      <c r="AC4" s="515"/>
      <c r="AD4" s="515"/>
      <c r="AE4" s="515"/>
      <c r="AF4" s="515"/>
    </row>
    <row r="5" spans="1:32">
      <c r="A5" s="1284" t="s">
        <v>418</v>
      </c>
      <c r="B5" s="1285"/>
      <c r="C5" s="1285"/>
      <c r="D5" s="1285"/>
      <c r="E5" s="1285"/>
      <c r="F5" s="1285"/>
      <c r="G5" s="1285"/>
      <c r="H5" s="1285"/>
      <c r="I5" s="1285"/>
      <c r="J5" s="515"/>
      <c r="K5" s="1286" t="s">
        <v>419</v>
      </c>
      <c r="L5" s="1287"/>
      <c r="M5" s="1287"/>
      <c r="N5" s="1287"/>
      <c r="O5" s="1287"/>
      <c r="P5" s="1287"/>
      <c r="Q5" s="1287"/>
      <c r="R5" s="1287"/>
      <c r="S5" s="1287"/>
      <c r="T5" s="1287"/>
      <c r="U5" s="1288"/>
      <c r="V5" s="515"/>
      <c r="W5" s="515"/>
      <c r="X5" s="515"/>
      <c r="Y5" s="515"/>
      <c r="Z5" s="515"/>
      <c r="AA5" s="515"/>
      <c r="AB5" s="515"/>
      <c r="AC5" s="515"/>
      <c r="AD5" s="515"/>
      <c r="AE5" s="515"/>
      <c r="AF5" s="515"/>
    </row>
    <row r="6" spans="1:32">
      <c r="A6" s="523"/>
      <c r="B6" s="524"/>
      <c r="C6" s="525"/>
      <c r="D6" s="525"/>
      <c r="E6" s="525"/>
      <c r="F6" s="525"/>
      <c r="G6" s="525"/>
      <c r="H6" s="525"/>
      <c r="I6" s="525"/>
      <c r="J6" s="515"/>
      <c r="K6" s="526"/>
      <c r="L6" s="527"/>
      <c r="M6" s="528"/>
      <c r="N6" s="528"/>
      <c r="O6" s="528"/>
      <c r="P6" s="528"/>
      <c r="Q6" s="528"/>
      <c r="R6" s="528"/>
      <c r="S6" s="528"/>
      <c r="T6" s="528"/>
      <c r="U6" s="529"/>
      <c r="V6" s="515"/>
      <c r="W6" s="515"/>
      <c r="X6" s="515"/>
      <c r="Y6" s="515"/>
      <c r="Z6" s="515"/>
      <c r="AA6" s="515"/>
      <c r="AB6" s="515"/>
      <c r="AC6" s="515"/>
      <c r="AD6" s="515"/>
      <c r="AE6" s="515"/>
      <c r="AF6" s="515"/>
    </row>
    <row r="7" spans="1:32" ht="15" thickBot="1">
      <c r="A7" s="523"/>
      <c r="B7" s="524"/>
      <c r="C7" s="525"/>
      <c r="D7" s="525"/>
      <c r="E7" s="525"/>
      <c r="F7" s="525"/>
      <c r="G7" s="525"/>
      <c r="H7" s="525"/>
      <c r="I7" s="525"/>
      <c r="J7" s="515"/>
      <c r="K7" s="526"/>
      <c r="L7" s="527"/>
      <c r="M7" s="528"/>
      <c r="N7" s="528"/>
      <c r="O7" s="528"/>
      <c r="P7" s="528"/>
      <c r="Q7" s="528"/>
      <c r="R7" s="528"/>
      <c r="S7" s="528"/>
      <c r="T7" s="528"/>
      <c r="U7" s="529"/>
      <c r="V7" s="515"/>
      <c r="W7" s="515"/>
      <c r="X7" s="530"/>
      <c r="Y7" s="521"/>
      <c r="Z7" s="521"/>
      <c r="AA7" s="521"/>
      <c r="AB7" s="521"/>
      <c r="AC7" s="521"/>
      <c r="AD7" s="515"/>
      <c r="AE7" s="515"/>
    </row>
    <row r="8" spans="1:32" ht="15.5" thickTop="1" thickBot="1">
      <c r="A8" s="525"/>
      <c r="B8" s="531"/>
      <c r="C8" s="532">
        <v>0.4</v>
      </c>
      <c r="D8" s="533">
        <v>0.5</v>
      </c>
      <c r="E8" s="533">
        <v>0.6</v>
      </c>
      <c r="F8" s="533">
        <v>0.7</v>
      </c>
      <c r="G8" s="534">
        <v>0.75</v>
      </c>
      <c r="H8" s="525"/>
      <c r="I8" s="525"/>
      <c r="J8" s="515"/>
      <c r="K8" s="528"/>
      <c r="L8" s="535"/>
      <c r="M8" s="536">
        <v>0.4</v>
      </c>
      <c r="N8" s="290">
        <v>0.5</v>
      </c>
      <c r="O8" s="290">
        <v>0.55000000000000004</v>
      </c>
      <c r="P8" s="290">
        <v>0.6</v>
      </c>
      <c r="Q8" s="290">
        <v>0.65</v>
      </c>
      <c r="R8" s="290">
        <v>0.7</v>
      </c>
      <c r="S8" s="291">
        <v>0.75</v>
      </c>
      <c r="T8" s="528"/>
      <c r="U8" s="529"/>
      <c r="V8" s="515"/>
      <c r="W8" s="517"/>
      <c r="X8" s="521"/>
      <c r="Y8" s="521"/>
      <c r="Z8" s="521"/>
      <c r="AA8" s="521"/>
      <c r="AB8" s="521"/>
      <c r="AC8" s="537"/>
      <c r="AD8" s="515"/>
      <c r="AE8" s="515"/>
    </row>
    <row r="9" spans="1:32">
      <c r="A9" s="525"/>
      <c r="B9" s="538">
        <v>300000</v>
      </c>
      <c r="C9" s="294">
        <v>1.5E-3</v>
      </c>
      <c r="D9" s="295">
        <v>7.0000000000000001E-3</v>
      </c>
      <c r="E9" s="295">
        <v>1.4500000000000001E-2</v>
      </c>
      <c r="F9" s="295">
        <v>1.7000000000000001E-2</v>
      </c>
      <c r="G9" s="296">
        <v>1.9900000000000001E-2</v>
      </c>
      <c r="H9" s="525"/>
      <c r="I9" s="525"/>
      <c r="J9" s="515"/>
      <c r="K9" s="528"/>
      <c r="L9" s="271">
        <v>150000</v>
      </c>
      <c r="M9" s="297">
        <v>1.5E-3</v>
      </c>
      <c r="N9" s="297">
        <v>7.0000000000000001E-3</v>
      </c>
      <c r="O9" s="297">
        <v>1.15E-2</v>
      </c>
      <c r="P9" s="298">
        <v>1.4500000000000001E-2</v>
      </c>
      <c r="Q9" s="299">
        <v>1.6500000000000001E-2</v>
      </c>
      <c r="R9" s="299">
        <v>1.7000000000000001E-2</v>
      </c>
      <c r="S9" s="300">
        <v>1.9900000000000001E-2</v>
      </c>
      <c r="T9" s="528"/>
      <c r="U9" s="529"/>
      <c r="V9" s="515"/>
      <c r="W9" s="517"/>
      <c r="X9" s="521"/>
      <c r="Y9" s="521"/>
      <c r="Z9" s="521"/>
      <c r="AA9" s="521"/>
      <c r="AB9" s="521"/>
      <c r="AC9" s="537"/>
      <c r="AD9" s="515"/>
      <c r="AE9" s="515"/>
    </row>
    <row r="10" spans="1:32">
      <c r="A10" s="525"/>
      <c r="B10" s="538">
        <v>500000</v>
      </c>
      <c r="C10" s="301">
        <v>3.0000000000000001E-3</v>
      </c>
      <c r="D10" s="302">
        <v>8.5000000000000006E-3</v>
      </c>
      <c r="E10" s="302">
        <v>1.6E-2</v>
      </c>
      <c r="F10" s="302">
        <v>1.8499999999999999E-2</v>
      </c>
      <c r="G10" s="303">
        <v>1.9900000000000001E-2</v>
      </c>
      <c r="H10" s="525"/>
      <c r="I10" s="525"/>
      <c r="J10" s="515"/>
      <c r="K10" s="528"/>
      <c r="L10" s="271">
        <v>300000</v>
      </c>
      <c r="M10" s="297">
        <v>3.0000000000000001E-3</v>
      </c>
      <c r="N10" s="297">
        <v>8.5000000000000006E-3</v>
      </c>
      <c r="O10" s="297">
        <v>1.2999999999999999E-2</v>
      </c>
      <c r="P10" s="298">
        <v>1.6E-2</v>
      </c>
      <c r="Q10" s="299">
        <v>1.7999999999999999E-2</v>
      </c>
      <c r="R10" s="299">
        <v>1.8499999999999999E-2</v>
      </c>
      <c r="S10" s="300">
        <v>1.9900000000000001E-2</v>
      </c>
      <c r="T10" s="528"/>
      <c r="U10" s="529"/>
      <c r="V10" s="515"/>
      <c r="W10" s="517"/>
      <c r="X10" s="537"/>
      <c r="Y10" s="537"/>
      <c r="Z10" s="521"/>
      <c r="AA10" s="521"/>
      <c r="AB10" s="521"/>
      <c r="AC10" s="537"/>
      <c r="AD10" s="515"/>
      <c r="AE10" s="515"/>
    </row>
    <row r="11" spans="1:32">
      <c r="A11" s="525"/>
      <c r="B11" s="538">
        <v>900000</v>
      </c>
      <c r="C11" s="301">
        <v>8.5000000000000006E-3</v>
      </c>
      <c r="D11" s="302">
        <v>1.35E-2</v>
      </c>
      <c r="E11" s="302">
        <v>1.7000000000000001E-2</v>
      </c>
      <c r="F11" s="302">
        <v>1.9E-2</v>
      </c>
      <c r="G11" s="303">
        <v>1.9900000000000001E-2</v>
      </c>
      <c r="H11" s="525"/>
      <c r="I11" s="525"/>
      <c r="J11" s="515"/>
      <c r="K11" s="528"/>
      <c r="L11" s="271">
        <v>500000</v>
      </c>
      <c r="M11" s="297">
        <v>8.5000000000000006E-3</v>
      </c>
      <c r="N11" s="297">
        <v>1.35E-2</v>
      </c>
      <c r="O11" s="297">
        <v>1.4500000000000001E-2</v>
      </c>
      <c r="P11" s="298">
        <v>1.7000000000000001E-2</v>
      </c>
      <c r="Q11" s="299">
        <v>1.8499999999999999E-2</v>
      </c>
      <c r="R11" s="299">
        <v>1.9E-2</v>
      </c>
      <c r="S11" s="300">
        <v>1.9900000000000001E-2</v>
      </c>
      <c r="T11" s="528"/>
      <c r="U11" s="529"/>
      <c r="V11" s="515"/>
      <c r="W11" s="517"/>
      <c r="X11" s="537"/>
      <c r="Y11" s="537"/>
      <c r="Z11" s="537"/>
      <c r="AA11" s="537"/>
      <c r="AB11" s="537"/>
      <c r="AC11" s="537"/>
      <c r="AD11" s="515"/>
      <c r="AE11" s="515"/>
    </row>
    <row r="12" spans="1:32" ht="15" thickBot="1">
      <c r="A12" s="525"/>
      <c r="B12" s="539">
        <v>1500000</v>
      </c>
      <c r="C12" s="304">
        <v>1.0999999999999999E-2</v>
      </c>
      <c r="D12" s="305">
        <v>1.55E-2</v>
      </c>
      <c r="E12" s="305">
        <v>1.9E-2</v>
      </c>
      <c r="F12" s="305">
        <v>1.9900000000000001E-2</v>
      </c>
      <c r="G12" s="306">
        <v>1.9900000000000001E-2</v>
      </c>
      <c r="H12" s="525"/>
      <c r="I12" s="525"/>
      <c r="J12" s="515"/>
      <c r="K12" s="528"/>
      <c r="L12" s="307">
        <v>900000</v>
      </c>
      <c r="M12" s="308">
        <v>1.0999999999999999E-2</v>
      </c>
      <c r="N12" s="308">
        <v>1.55E-2</v>
      </c>
      <c r="O12" s="308">
        <v>1.8499999999999999E-2</v>
      </c>
      <c r="P12" s="309">
        <v>1.9E-2</v>
      </c>
      <c r="Q12" s="308">
        <v>1.9900000000000001E-2</v>
      </c>
      <c r="R12" s="308">
        <v>1.9900000000000001E-2</v>
      </c>
      <c r="S12" s="310">
        <v>1.9900000000000001E-2</v>
      </c>
      <c r="T12" s="528"/>
      <c r="U12" s="529"/>
      <c r="V12" s="515"/>
      <c r="W12" s="517"/>
      <c r="X12" s="540"/>
      <c r="Y12" s="540"/>
      <c r="Z12" s="540"/>
      <c r="AA12" s="540"/>
      <c r="AB12" s="540"/>
      <c r="AC12" s="540"/>
      <c r="AD12" s="515"/>
      <c r="AE12" s="515"/>
    </row>
    <row r="13" spans="1:32" ht="15.5" thickTop="1" thickBot="1">
      <c r="A13" s="525"/>
      <c r="B13" s="541"/>
      <c r="C13" s="524"/>
      <c r="D13" s="524"/>
      <c r="E13" s="524"/>
      <c r="F13" s="524"/>
      <c r="G13" s="524"/>
      <c r="H13" s="525"/>
      <c r="I13" s="525"/>
      <c r="J13" s="515"/>
      <c r="K13" s="528"/>
      <c r="L13" s="313"/>
      <c r="M13" s="308"/>
      <c r="N13" s="308"/>
      <c r="O13" s="308"/>
      <c r="P13" s="308"/>
      <c r="Q13" s="308"/>
      <c r="R13" s="308"/>
      <c r="S13" s="308"/>
      <c r="T13" s="528"/>
      <c r="U13" s="529"/>
      <c r="V13" s="515"/>
      <c r="W13" s="517"/>
      <c r="X13" s="517"/>
      <c r="Y13" s="515"/>
      <c r="Z13" s="515"/>
      <c r="AA13" s="515"/>
      <c r="AB13" s="515"/>
      <c r="AC13" s="515"/>
      <c r="AD13" s="521"/>
      <c r="AE13" s="521"/>
    </row>
    <row r="14" spans="1:32" ht="15" thickTop="1">
      <c r="A14" s="525"/>
      <c r="B14" s="542"/>
      <c r="C14" s="543" t="str">
        <f>IF($B$3&lt;=C8, "1", "0")</f>
        <v>0</v>
      </c>
      <c r="D14" s="543" t="str">
        <f>IF(AND(C8&lt;$B$3,$B$3&lt;=D8),"1","0")</f>
        <v>0</v>
      </c>
      <c r="E14" s="543" t="str">
        <f>IF(AND(D8&lt;$B$3,$B$3&lt;=E8),"1","0")</f>
        <v>1</v>
      </c>
      <c r="F14" s="543" t="str">
        <f>IF(AND(E8&lt;$B$3,$B$3&lt;=F8),"1","0")</f>
        <v>0</v>
      </c>
      <c r="G14" s="543" t="str">
        <f>IF(AND(F8&lt;$B$3,$B$3&lt;=G8),"1","0")</f>
        <v>0</v>
      </c>
      <c r="H14" s="524"/>
      <c r="I14" s="524"/>
      <c r="J14" s="515"/>
      <c r="K14" s="528"/>
      <c r="L14" s="313"/>
      <c r="M14" s="316"/>
      <c r="N14" s="528"/>
      <c r="O14" s="528"/>
      <c r="P14" s="528"/>
      <c r="Q14" s="528"/>
      <c r="R14" s="528"/>
      <c r="S14" s="528"/>
      <c r="T14" s="297"/>
      <c r="U14" s="317"/>
      <c r="V14" s="515"/>
      <c r="W14" s="544"/>
      <c r="X14" s="545"/>
      <c r="Y14" s="545"/>
      <c r="Z14" s="545"/>
      <c r="AA14" s="545"/>
      <c r="AB14" s="545"/>
      <c r="AC14" s="545"/>
      <c r="AD14" s="521"/>
      <c r="AE14" s="515"/>
    </row>
    <row r="15" spans="1:32">
      <c r="A15" s="525"/>
      <c r="B15" s="525" t="str">
        <f>IF(AND($B$2&lt;=B9),"1", "0")</f>
        <v>0</v>
      </c>
      <c r="C15" s="524">
        <f t="shared" ref="C15:G18" si="0">C9</f>
        <v>1.5E-3</v>
      </c>
      <c r="D15" s="524">
        <f t="shared" si="0"/>
        <v>7.0000000000000001E-3</v>
      </c>
      <c r="E15" s="524">
        <f t="shared" si="0"/>
        <v>1.4500000000000001E-2</v>
      </c>
      <c r="F15" s="524">
        <f t="shared" si="0"/>
        <v>1.7000000000000001E-2</v>
      </c>
      <c r="G15" s="524">
        <f t="shared" si="0"/>
        <v>1.9900000000000001E-2</v>
      </c>
      <c r="H15" s="524"/>
      <c r="I15" s="525"/>
      <c r="J15" s="515"/>
      <c r="K15" s="528"/>
      <c r="L15" s="320"/>
      <c r="M15" s="546" t="str">
        <f>IF($B$3&lt;M8, "1", "0")</f>
        <v>0</v>
      </c>
      <c r="N15" s="546" t="str">
        <f>IF(AND(M8&lt;=$B$3,$B$3&lt;N8), "1", "0")</f>
        <v>0</v>
      </c>
      <c r="O15" s="546" t="str">
        <f>IF(AND(N8&lt;=$B$3,$B$3&lt;O8), "1", "0")</f>
        <v>0</v>
      </c>
      <c r="P15" s="546" t="str">
        <f t="shared" ref="P15:R15" si="1">IF(AND(O8&lt;=$B$3,$B$3&lt;P8), "1", "0")</f>
        <v>0</v>
      </c>
      <c r="Q15" s="546" t="str">
        <f t="shared" si="1"/>
        <v>1</v>
      </c>
      <c r="R15" s="546" t="str">
        <f t="shared" si="1"/>
        <v>0</v>
      </c>
      <c r="S15" s="546" t="str">
        <f>IF(AND(R8&lt;=$B$3,$B$3&lt;=S8),"1","0")</f>
        <v>0</v>
      </c>
      <c r="T15" s="297"/>
      <c r="U15" s="529"/>
      <c r="V15" s="515"/>
      <c r="W15" s="515"/>
      <c r="X15" s="521"/>
      <c r="Y15" s="521"/>
      <c r="Z15" s="521"/>
      <c r="AA15" s="521"/>
      <c r="AB15" s="521"/>
      <c r="AC15" s="537"/>
      <c r="AD15" s="521"/>
      <c r="AE15" s="515"/>
    </row>
    <row r="16" spans="1:32">
      <c r="A16" s="525"/>
      <c r="B16" s="525" t="str">
        <f>IF(AND($B$2&gt;B9, $B$2&lt;=B10),"1", "0")</f>
        <v>1</v>
      </c>
      <c r="C16" s="524">
        <f t="shared" si="0"/>
        <v>3.0000000000000001E-3</v>
      </c>
      <c r="D16" s="524">
        <f t="shared" si="0"/>
        <v>8.5000000000000006E-3</v>
      </c>
      <c r="E16" s="524">
        <f t="shared" si="0"/>
        <v>1.6E-2</v>
      </c>
      <c r="F16" s="524">
        <f t="shared" si="0"/>
        <v>1.8499999999999999E-2</v>
      </c>
      <c r="G16" s="524">
        <f t="shared" si="0"/>
        <v>1.9900000000000001E-2</v>
      </c>
      <c r="H16" s="524"/>
      <c r="I16" s="525"/>
      <c r="J16" s="515"/>
      <c r="K16" s="528"/>
      <c r="L16" s="528" t="str">
        <f>IF(L2&lt;L9,"1", "0")</f>
        <v>0</v>
      </c>
      <c r="M16" s="297">
        <f>M9</f>
        <v>1.5E-3</v>
      </c>
      <c r="N16" s="297">
        <f t="shared" ref="N16:S16" si="2">N9</f>
        <v>7.0000000000000001E-3</v>
      </c>
      <c r="O16" s="297">
        <f t="shared" si="2"/>
        <v>1.15E-2</v>
      </c>
      <c r="P16" s="297">
        <f t="shared" si="2"/>
        <v>1.4500000000000001E-2</v>
      </c>
      <c r="Q16" s="297">
        <f t="shared" si="2"/>
        <v>1.6500000000000001E-2</v>
      </c>
      <c r="R16" s="297">
        <f t="shared" si="2"/>
        <v>1.7000000000000001E-2</v>
      </c>
      <c r="S16" s="297">
        <f t="shared" si="2"/>
        <v>1.9900000000000001E-2</v>
      </c>
      <c r="T16" s="297"/>
      <c r="U16" s="529"/>
      <c r="V16" s="515"/>
      <c r="W16" s="515"/>
      <c r="X16" s="521"/>
      <c r="Y16" s="521"/>
      <c r="Z16" s="521"/>
      <c r="AA16" s="521"/>
      <c r="AB16" s="521"/>
      <c r="AC16" s="537"/>
      <c r="AD16" s="521"/>
      <c r="AE16" s="515"/>
    </row>
    <row r="17" spans="1:33">
      <c r="A17" s="525"/>
      <c r="B17" s="525" t="str">
        <f>IF(AND($B$2&gt;B10, $B$2&lt;=B11),"1", "0")</f>
        <v>0</v>
      </c>
      <c r="C17" s="524">
        <f t="shared" si="0"/>
        <v>8.5000000000000006E-3</v>
      </c>
      <c r="D17" s="524">
        <f t="shared" si="0"/>
        <v>1.35E-2</v>
      </c>
      <c r="E17" s="524">
        <f t="shared" si="0"/>
        <v>1.7000000000000001E-2</v>
      </c>
      <c r="F17" s="524">
        <f t="shared" si="0"/>
        <v>1.9E-2</v>
      </c>
      <c r="G17" s="524">
        <f t="shared" si="0"/>
        <v>1.9900000000000001E-2</v>
      </c>
      <c r="H17" s="524"/>
      <c r="I17" s="525"/>
      <c r="J17" s="515"/>
      <c r="K17" s="528"/>
      <c r="L17" s="528" t="str">
        <f>IF(AND($B$2&gt;=L9, $B$2&lt;L10),"1", "0")</f>
        <v>0</v>
      </c>
      <c r="M17" s="297">
        <f t="shared" ref="M17:S19" si="3">M10</f>
        <v>3.0000000000000001E-3</v>
      </c>
      <c r="N17" s="297">
        <f t="shared" si="3"/>
        <v>8.5000000000000006E-3</v>
      </c>
      <c r="O17" s="297">
        <f t="shared" si="3"/>
        <v>1.2999999999999999E-2</v>
      </c>
      <c r="P17" s="297">
        <f t="shared" si="3"/>
        <v>1.6E-2</v>
      </c>
      <c r="Q17" s="297">
        <f>Q10</f>
        <v>1.7999999999999999E-2</v>
      </c>
      <c r="R17" s="297">
        <f t="shared" si="3"/>
        <v>1.8499999999999999E-2</v>
      </c>
      <c r="S17" s="297">
        <f t="shared" si="3"/>
        <v>1.9900000000000001E-2</v>
      </c>
      <c r="T17" s="297"/>
      <c r="U17" s="529"/>
      <c r="V17" s="515"/>
      <c r="W17" s="515"/>
      <c r="X17" s="537"/>
      <c r="Y17" s="537"/>
      <c r="Z17" s="521"/>
      <c r="AA17" s="521"/>
      <c r="AB17" s="521"/>
      <c r="AC17" s="537"/>
      <c r="AD17" s="515"/>
      <c r="AE17" s="515"/>
    </row>
    <row r="18" spans="1:33">
      <c r="A18" s="525"/>
      <c r="B18" s="525" t="str">
        <f>IF(AND($B$2&gt;B11, $B$2&lt;=B12),"1", "0")</f>
        <v>0</v>
      </c>
      <c r="C18" s="524">
        <f t="shared" si="0"/>
        <v>1.0999999999999999E-2</v>
      </c>
      <c r="D18" s="524">
        <f t="shared" si="0"/>
        <v>1.55E-2</v>
      </c>
      <c r="E18" s="524">
        <f t="shared" si="0"/>
        <v>1.9E-2</v>
      </c>
      <c r="F18" s="524">
        <f t="shared" si="0"/>
        <v>1.9900000000000001E-2</v>
      </c>
      <c r="G18" s="524">
        <f t="shared" si="0"/>
        <v>1.9900000000000001E-2</v>
      </c>
      <c r="H18" s="525"/>
      <c r="I18" s="525"/>
      <c r="J18" s="515"/>
      <c r="K18" s="528"/>
      <c r="L18" s="528" t="str">
        <f>IF(AND($B$2&gt;=L10, $B$2&lt;L11),"1", "0")</f>
        <v>1</v>
      </c>
      <c r="M18" s="297">
        <f t="shared" si="3"/>
        <v>8.5000000000000006E-3</v>
      </c>
      <c r="N18" s="297">
        <f t="shared" si="3"/>
        <v>1.35E-2</v>
      </c>
      <c r="O18" s="297">
        <f t="shared" si="3"/>
        <v>1.4500000000000001E-2</v>
      </c>
      <c r="P18" s="297">
        <f t="shared" si="3"/>
        <v>1.7000000000000001E-2</v>
      </c>
      <c r="Q18" s="297">
        <f t="shared" si="3"/>
        <v>1.8499999999999999E-2</v>
      </c>
      <c r="R18" s="297">
        <f t="shared" si="3"/>
        <v>1.9E-2</v>
      </c>
      <c r="S18" s="297">
        <f t="shared" si="3"/>
        <v>1.9900000000000001E-2</v>
      </c>
      <c r="T18" s="528"/>
      <c r="U18" s="529"/>
      <c r="V18" s="515"/>
      <c r="W18" s="515"/>
      <c r="X18" s="537"/>
      <c r="Y18" s="537"/>
      <c r="Z18" s="537"/>
      <c r="AA18" s="537"/>
      <c r="AB18" s="537"/>
      <c r="AC18" s="537"/>
      <c r="AD18" s="515"/>
      <c r="AE18" s="515"/>
    </row>
    <row r="19" spans="1:33">
      <c r="A19" s="525"/>
      <c r="B19" s="525"/>
      <c r="C19" s="524"/>
      <c r="D19" s="524"/>
      <c r="E19" s="524"/>
      <c r="F19" s="524"/>
      <c r="G19" s="524"/>
      <c r="H19" s="525"/>
      <c r="I19" s="525"/>
      <c r="J19" s="515"/>
      <c r="K19" s="528"/>
      <c r="L19" s="528" t="str">
        <f>IF(AND($B$2&gt;=L11, $B$2&lt;L12),"1", "0")</f>
        <v>0</v>
      </c>
      <c r="M19" s="297">
        <f t="shared" si="3"/>
        <v>1.0999999999999999E-2</v>
      </c>
      <c r="N19" s="297">
        <f t="shared" si="3"/>
        <v>1.55E-2</v>
      </c>
      <c r="O19" s="297">
        <f t="shared" si="3"/>
        <v>1.8499999999999999E-2</v>
      </c>
      <c r="P19" s="297">
        <f t="shared" si="3"/>
        <v>1.9E-2</v>
      </c>
      <c r="Q19" s="297">
        <f t="shared" si="3"/>
        <v>1.9900000000000001E-2</v>
      </c>
      <c r="R19" s="297">
        <f t="shared" si="3"/>
        <v>1.9900000000000001E-2</v>
      </c>
      <c r="S19" s="297">
        <f t="shared" si="3"/>
        <v>1.9900000000000001E-2</v>
      </c>
      <c r="T19" s="528"/>
      <c r="U19" s="529"/>
      <c r="V19" s="515"/>
      <c r="W19" s="515"/>
      <c r="X19" s="540"/>
      <c r="Y19" s="540"/>
      <c r="Z19" s="540"/>
      <c r="AA19" s="540"/>
      <c r="AB19" s="540"/>
      <c r="AC19" s="540"/>
      <c r="AD19" s="515"/>
      <c r="AE19" s="515"/>
    </row>
    <row r="20" spans="1:33" ht="15" thickBot="1">
      <c r="A20" s="525" t="s">
        <v>420</v>
      </c>
      <c r="B20" s="514" t="s">
        <v>372</v>
      </c>
      <c r="C20" s="514" t="s">
        <v>378</v>
      </c>
      <c r="D20" s="514" t="s">
        <v>380</v>
      </c>
      <c r="H20" s="525"/>
      <c r="I20" s="525"/>
      <c r="J20" s="515"/>
      <c r="K20" s="528"/>
      <c r="L20" s="528"/>
      <c r="M20" s="308"/>
      <c r="N20" s="308"/>
      <c r="O20" s="308"/>
      <c r="P20" s="308"/>
      <c r="Q20" s="308"/>
      <c r="R20" s="308"/>
      <c r="S20" s="308"/>
      <c r="T20" s="528"/>
      <c r="U20" s="529"/>
      <c r="V20" s="515"/>
      <c r="W20" s="515"/>
      <c r="X20" s="515"/>
      <c r="Y20" s="515"/>
      <c r="Z20" s="515"/>
      <c r="AA20" s="515"/>
      <c r="AB20" s="515"/>
      <c r="AC20" s="515"/>
      <c r="AD20" s="515"/>
      <c r="AE20" s="515"/>
    </row>
    <row r="21" spans="1:33" ht="15" thickTop="1">
      <c r="A21" s="525"/>
      <c r="B21" s="525"/>
      <c r="C21" s="524">
        <v>0</v>
      </c>
      <c r="D21" s="524">
        <v>5.0000000000000001E-3</v>
      </c>
      <c r="E21" s="525"/>
      <c r="F21" s="524"/>
      <c r="H21" s="525"/>
      <c r="I21" s="525"/>
      <c r="J21" s="515"/>
      <c r="K21" s="528" t="s">
        <v>235</v>
      </c>
      <c r="L21" s="528"/>
      <c r="M21" s="528" t="s">
        <v>421</v>
      </c>
      <c r="N21" s="528"/>
      <c r="O21" s="528"/>
      <c r="P21" s="528"/>
      <c r="Q21" s="528"/>
      <c r="R21" s="528"/>
      <c r="S21" s="297"/>
      <c r="T21" s="528"/>
      <c r="U21" s="529"/>
      <c r="V21" s="521"/>
      <c r="W21" s="521"/>
      <c r="X21" s="521"/>
      <c r="Y21" s="515"/>
      <c r="Z21" s="515"/>
      <c r="AA21" s="515"/>
      <c r="AB21" s="515"/>
      <c r="AC21" s="515"/>
      <c r="AD21" s="515"/>
      <c r="AE21" s="515"/>
    </row>
    <row r="22" spans="1:33">
      <c r="A22" s="524">
        <f>VLOOKUP("1",B15:G18,(MATCH("1",B14:G14,0)),FALSE)</f>
        <v>1.6E-2</v>
      </c>
      <c r="B22" s="524"/>
      <c r="C22" s="524">
        <v>1.6E-2</v>
      </c>
      <c r="D22" s="524">
        <v>1.6E-2</v>
      </c>
      <c r="E22" s="525"/>
      <c r="F22" s="525"/>
      <c r="G22" s="524"/>
      <c r="H22" s="525"/>
      <c r="I22" s="525"/>
      <c r="J22" s="515"/>
      <c r="K22" s="322">
        <f>IF(L2&gt;1500000," 2.49%", VLOOKUP("1",L16:S20,(MATCH("1",L15:S15,0)),FALSE))</f>
        <v>1.8499999999999999E-2</v>
      </c>
      <c r="L22" s="322"/>
      <c r="M22" s="322">
        <v>1.8499999999999999E-2</v>
      </c>
      <c r="N22" s="528"/>
      <c r="O22" s="528"/>
      <c r="P22" s="528"/>
      <c r="Q22" s="528"/>
      <c r="R22" s="528"/>
      <c r="S22" s="297"/>
      <c r="T22" s="528"/>
      <c r="U22" s="529"/>
      <c r="V22" s="521"/>
      <c r="W22" s="521"/>
      <c r="X22" s="515"/>
      <c r="Y22" s="515"/>
      <c r="Z22" s="515"/>
      <c r="AA22" s="515"/>
      <c r="AB22" s="515"/>
      <c r="AC22" s="515"/>
      <c r="AD22" s="515"/>
      <c r="AE22" s="515"/>
    </row>
    <row r="23" spans="1:33">
      <c r="A23" s="524"/>
      <c r="B23" s="524"/>
      <c r="C23" s="525"/>
      <c r="D23" s="525"/>
      <c r="E23" s="525"/>
      <c r="F23" s="525"/>
      <c r="G23" s="524"/>
      <c r="H23" s="525"/>
      <c r="I23" s="525"/>
      <c r="J23" s="515"/>
      <c r="K23" s="322"/>
      <c r="L23" s="322"/>
      <c r="M23" s="528"/>
      <c r="N23" s="528"/>
      <c r="O23" s="528"/>
      <c r="P23" s="528"/>
      <c r="Q23" s="528"/>
      <c r="R23" s="528"/>
      <c r="S23" s="297"/>
      <c r="T23" s="528"/>
      <c r="U23" s="529"/>
      <c r="V23" s="521"/>
      <c r="W23" s="521"/>
      <c r="X23" s="515"/>
      <c r="Y23" s="515"/>
      <c r="Z23" s="515"/>
      <c r="AA23" s="515"/>
      <c r="AB23" s="515"/>
      <c r="AC23" s="515"/>
      <c r="AD23" s="515"/>
      <c r="AE23" s="515"/>
    </row>
    <row r="24" spans="1:33">
      <c r="A24" s="524" t="s">
        <v>422</v>
      </c>
      <c r="B24" s="524"/>
      <c r="C24" s="525"/>
      <c r="D24" s="525"/>
      <c r="E24" s="525"/>
      <c r="F24" s="525"/>
      <c r="G24" s="524"/>
      <c r="H24" s="525"/>
      <c r="I24" s="525"/>
      <c r="J24" s="515"/>
      <c r="K24" s="322" t="s">
        <v>422</v>
      </c>
      <c r="L24" s="322"/>
      <c r="M24" s="528"/>
      <c r="N24" s="528"/>
      <c r="O24" s="528"/>
      <c r="P24" s="528"/>
      <c r="Q24" s="528"/>
      <c r="R24" s="528"/>
      <c r="S24" s="297"/>
      <c r="T24" s="528"/>
      <c r="U24" s="529"/>
      <c r="V24" s="547"/>
      <c r="W24" s="515"/>
      <c r="X24" s="515"/>
      <c r="Y24" s="515"/>
      <c r="Z24" s="515"/>
      <c r="AA24" s="515"/>
      <c r="AB24" s="515"/>
      <c r="AC24" s="515"/>
      <c r="AD24" s="515"/>
      <c r="AE24" s="515"/>
    </row>
    <row r="25" spans="1:33">
      <c r="A25" s="548">
        <f>D22</f>
        <v>1.6E-2</v>
      </c>
      <c r="B25" s="525"/>
      <c r="C25" s="525"/>
      <c r="D25" s="525"/>
      <c r="E25" s="525"/>
      <c r="F25" s="525"/>
      <c r="G25" s="525"/>
      <c r="H25" s="525"/>
      <c r="I25" s="525"/>
      <c r="J25" s="515"/>
      <c r="K25" s="325">
        <v>1.8499999999999999E-2</v>
      </c>
      <c r="L25" s="528"/>
      <c r="M25" s="528"/>
      <c r="N25" s="528"/>
      <c r="O25" s="528"/>
      <c r="P25" s="528"/>
      <c r="Q25" s="528"/>
      <c r="R25" s="528"/>
      <c r="S25" s="528"/>
      <c r="T25" s="528"/>
      <c r="U25" s="529"/>
      <c r="V25" s="521"/>
      <c r="W25" s="515"/>
      <c r="X25" s="515"/>
      <c r="Y25" s="515"/>
      <c r="Z25" s="515"/>
      <c r="AA25" s="515"/>
      <c r="AB25" s="515"/>
      <c r="AC25" s="515"/>
      <c r="AD25" s="515"/>
      <c r="AE25" s="515"/>
    </row>
    <row r="26" spans="1:33">
      <c r="A26" s="549"/>
      <c r="B26" s="525"/>
      <c r="C26" s="525"/>
      <c r="D26" s="525"/>
      <c r="E26" s="525"/>
      <c r="F26" s="525"/>
      <c r="G26" s="525"/>
      <c r="H26" s="525"/>
      <c r="I26" s="525"/>
      <c r="J26" s="515"/>
      <c r="K26" s="327"/>
      <c r="L26" s="528"/>
      <c r="M26" s="528"/>
      <c r="N26" s="528"/>
      <c r="O26" s="528"/>
      <c r="P26" s="528"/>
      <c r="Q26" s="528"/>
      <c r="R26" s="528"/>
      <c r="S26" s="528"/>
      <c r="T26" s="528"/>
      <c r="U26" s="529"/>
      <c r="V26" s="521"/>
      <c r="W26" s="515"/>
      <c r="X26" s="515"/>
      <c r="Y26" s="515"/>
      <c r="Z26" s="515"/>
      <c r="AA26" s="515"/>
      <c r="AB26" s="515"/>
      <c r="AC26" s="515"/>
      <c r="AD26" s="515"/>
      <c r="AE26" s="515"/>
    </row>
    <row r="27" spans="1:33">
      <c r="A27" s="549"/>
      <c r="B27" s="525"/>
      <c r="C27" s="525"/>
      <c r="D27" s="525"/>
      <c r="E27" s="525"/>
      <c r="F27" s="525"/>
      <c r="G27" s="525"/>
      <c r="H27" s="525"/>
      <c r="I27" s="525"/>
      <c r="J27" s="515"/>
      <c r="K27" s="327"/>
      <c r="L27" s="528"/>
      <c r="M27" s="528"/>
      <c r="N27" s="528"/>
      <c r="O27" s="528"/>
      <c r="P27" s="528"/>
      <c r="Q27" s="528"/>
      <c r="R27" s="528"/>
      <c r="S27" s="528"/>
      <c r="T27" s="528"/>
      <c r="U27" s="529"/>
      <c r="V27" s="521"/>
      <c r="W27" s="515"/>
      <c r="X27" s="515"/>
      <c r="Y27" s="515"/>
      <c r="Z27" s="515"/>
      <c r="AA27" s="515"/>
      <c r="AB27" s="515"/>
      <c r="AC27" s="515"/>
      <c r="AD27" s="515"/>
      <c r="AE27" s="515"/>
    </row>
    <row r="28" spans="1:33">
      <c r="A28" s="549"/>
      <c r="B28" s="525"/>
      <c r="C28" s="525"/>
      <c r="D28" s="525"/>
      <c r="E28" s="525"/>
      <c r="F28" s="525"/>
      <c r="G28" s="525"/>
      <c r="H28" s="525"/>
      <c r="I28" s="525"/>
      <c r="J28" s="515"/>
      <c r="K28" s="327"/>
      <c r="L28" s="528"/>
      <c r="M28" s="528"/>
      <c r="N28" s="528"/>
      <c r="O28" s="528"/>
      <c r="P28" s="528"/>
      <c r="Q28" s="528"/>
      <c r="R28" s="528"/>
      <c r="S28" s="528"/>
      <c r="T28" s="528"/>
      <c r="U28" s="529"/>
      <c r="V28" s="521"/>
      <c r="W28" s="515"/>
      <c r="X28" s="515"/>
      <c r="Y28" s="515"/>
      <c r="Z28" s="515"/>
      <c r="AA28" s="515"/>
      <c r="AB28" s="515"/>
      <c r="AC28" s="515"/>
      <c r="AD28" s="515"/>
      <c r="AE28" s="515"/>
    </row>
    <row r="29" spans="1:33" ht="15" thickBot="1">
      <c r="A29" s="550"/>
      <c r="B29" s="551"/>
      <c r="C29" s="551"/>
      <c r="D29" s="551"/>
      <c r="E29" s="551"/>
      <c r="F29" s="551"/>
      <c r="G29" s="551"/>
      <c r="H29" s="551"/>
      <c r="I29" s="551"/>
      <c r="J29" s="515"/>
      <c r="K29" s="330"/>
      <c r="L29" s="552"/>
      <c r="M29" s="552"/>
      <c r="N29" s="552"/>
      <c r="O29" s="552"/>
      <c r="P29" s="552"/>
      <c r="Q29" s="552"/>
      <c r="R29" s="552"/>
      <c r="S29" s="552"/>
      <c r="T29" s="552"/>
      <c r="U29" s="553"/>
      <c r="V29" s="515"/>
      <c r="W29" s="515"/>
      <c r="X29" s="515"/>
      <c r="Y29" s="515"/>
      <c r="Z29" s="515"/>
      <c r="AA29" s="515"/>
      <c r="AB29" s="515"/>
      <c r="AC29" s="515"/>
      <c r="AD29" s="515"/>
      <c r="AE29" s="515"/>
    </row>
    <row r="30" spans="1:33">
      <c r="A30" s="521"/>
      <c r="B30" s="515"/>
      <c r="C30" s="515"/>
      <c r="D30" s="515"/>
      <c r="E30" s="515"/>
      <c r="F30" s="515"/>
      <c r="G30" s="515"/>
      <c r="H30" s="515"/>
      <c r="I30" s="515"/>
      <c r="J30" s="515"/>
      <c r="K30" s="515"/>
      <c r="L30" s="515"/>
      <c r="M30" s="515"/>
      <c r="N30" s="515"/>
      <c r="O30" s="515"/>
      <c r="P30" s="515"/>
      <c r="Q30" s="515"/>
      <c r="R30" s="515"/>
      <c r="S30" s="515"/>
      <c r="T30" s="515"/>
      <c r="U30" s="515"/>
      <c r="V30" s="515"/>
      <c r="W30" s="515"/>
      <c r="X30" s="515"/>
      <c r="Y30" s="515"/>
      <c r="Z30" s="515"/>
      <c r="AA30" s="515"/>
      <c r="AB30" s="515"/>
      <c r="AC30" s="515"/>
      <c r="AD30" s="515"/>
      <c r="AE30" s="515"/>
      <c r="AF30" s="515"/>
      <c r="AG30" s="515"/>
    </row>
    <row r="31" spans="1:33">
      <c r="A31" s="515"/>
      <c r="B31" s="515"/>
      <c r="C31" s="515"/>
      <c r="D31" s="515"/>
      <c r="E31" s="515"/>
      <c r="F31" s="515"/>
      <c r="G31" s="515"/>
      <c r="H31" s="515"/>
      <c r="I31" s="515"/>
      <c r="J31" s="515"/>
      <c r="K31" s="515"/>
      <c r="L31" s="515"/>
      <c r="M31" s="515"/>
      <c r="N31" s="521"/>
      <c r="O31" s="515"/>
      <c r="P31" s="515"/>
      <c r="Q31" s="515"/>
      <c r="R31" s="515"/>
      <c r="S31" s="515"/>
      <c r="T31" s="515"/>
      <c r="U31" s="515"/>
      <c r="V31" s="515"/>
      <c r="W31" s="515"/>
      <c r="X31" s="515"/>
      <c r="Y31" s="515"/>
      <c r="Z31" s="515"/>
      <c r="AA31" s="515"/>
      <c r="AB31" s="515"/>
      <c r="AC31" s="515"/>
      <c r="AD31" s="515"/>
      <c r="AE31" s="515"/>
      <c r="AF31" s="515"/>
      <c r="AG31" s="515"/>
    </row>
    <row r="32" spans="1:33">
      <c r="A32" s="519"/>
      <c r="B32" s="519"/>
      <c r="C32" s="519"/>
      <c r="D32" s="519"/>
      <c r="E32" s="519"/>
      <c r="F32" s="519"/>
      <c r="G32" s="519"/>
      <c r="H32" s="519"/>
      <c r="I32" s="519"/>
      <c r="J32" s="519"/>
      <c r="K32" s="515"/>
      <c r="L32" s="515"/>
      <c r="M32" s="515"/>
      <c r="N32" s="515"/>
      <c r="O32" s="521"/>
      <c r="P32" s="521"/>
      <c r="Q32" s="521"/>
      <c r="R32" s="515"/>
      <c r="S32" s="515"/>
      <c r="T32" s="515"/>
      <c r="U32" s="515"/>
      <c r="V32" s="515"/>
      <c r="W32" s="515"/>
      <c r="X32" s="515"/>
      <c r="Y32" s="515"/>
      <c r="Z32" s="515"/>
      <c r="AA32" s="515"/>
      <c r="AB32" s="515"/>
      <c r="AC32" s="515"/>
      <c r="AD32" s="515"/>
      <c r="AE32" s="515"/>
      <c r="AF32" s="515"/>
      <c r="AG32" s="515"/>
    </row>
    <row r="33" spans="1:33" ht="15" thickBot="1">
      <c r="A33" s="519"/>
      <c r="B33" s="519"/>
      <c r="C33" s="519"/>
      <c r="D33" s="519"/>
      <c r="E33" s="519"/>
      <c r="F33" s="519"/>
      <c r="G33" s="519"/>
      <c r="H33" s="519"/>
      <c r="I33" s="519"/>
      <c r="J33" s="519"/>
      <c r="K33" s="515"/>
      <c r="L33" s="515"/>
      <c r="M33" s="515"/>
      <c r="N33" s="517"/>
      <c r="O33" s="521"/>
      <c r="P33" s="521"/>
      <c r="Q33" s="521"/>
      <c r="R33" s="515"/>
      <c r="S33" s="515"/>
      <c r="T33" s="515"/>
      <c r="U33" s="515"/>
      <c r="V33" s="515"/>
      <c r="W33" s="515"/>
      <c r="X33" s="515"/>
      <c r="Y33" s="515"/>
      <c r="Z33" s="515"/>
      <c r="AA33" s="515"/>
      <c r="AB33" s="515"/>
      <c r="AC33" s="515"/>
      <c r="AD33" s="515"/>
      <c r="AE33" s="515"/>
      <c r="AF33" s="515"/>
      <c r="AG33" s="515"/>
    </row>
    <row r="34" spans="1:33" ht="16" thickBot="1">
      <c r="A34" s="1284" t="s">
        <v>423</v>
      </c>
      <c r="B34" s="1285"/>
      <c r="C34" s="1285"/>
      <c r="D34" s="1285"/>
      <c r="E34" s="1285"/>
      <c r="F34" s="1285"/>
      <c r="G34" s="1285"/>
      <c r="H34" s="1285"/>
      <c r="I34" s="1285"/>
      <c r="K34" s="554" t="s">
        <v>424</v>
      </c>
      <c r="L34" s="555"/>
      <c r="M34" s="554"/>
      <c r="N34" s="554"/>
      <c r="O34" s="554"/>
      <c r="P34" s="554"/>
      <c r="Q34" s="554"/>
      <c r="R34" s="554"/>
      <c r="S34" s="554"/>
      <c r="T34" s="554"/>
      <c r="U34" s="515"/>
      <c r="V34" s="515"/>
      <c r="W34" s="515"/>
      <c r="X34" s="515"/>
      <c r="Y34" s="515"/>
      <c r="Z34" s="515"/>
      <c r="AA34" s="515"/>
      <c r="AB34" s="515"/>
      <c r="AC34" s="515"/>
      <c r="AD34" s="515"/>
      <c r="AE34" s="515"/>
      <c r="AF34" s="515"/>
      <c r="AG34" s="515"/>
    </row>
    <row r="35" spans="1:33" ht="16" thickTop="1">
      <c r="A35" s="523"/>
      <c r="B35" s="524"/>
      <c r="C35" s="525"/>
      <c r="D35" s="525"/>
      <c r="E35" s="525"/>
      <c r="F35" s="525"/>
      <c r="G35" s="525"/>
      <c r="H35" s="525"/>
      <c r="I35" s="525"/>
      <c r="K35" s="554"/>
      <c r="L35" s="556"/>
      <c r="M35" s="336">
        <v>0.4</v>
      </c>
      <c r="N35" s="336">
        <v>0.5</v>
      </c>
      <c r="O35" s="336">
        <v>0.55000000000000004</v>
      </c>
      <c r="P35" s="336">
        <v>0.6</v>
      </c>
      <c r="Q35" s="336">
        <v>0.65</v>
      </c>
      <c r="R35" s="336">
        <v>0.7</v>
      </c>
      <c r="S35" s="337">
        <v>0.75</v>
      </c>
      <c r="T35" s="338"/>
      <c r="U35" s="515"/>
      <c r="V35" s="515"/>
      <c r="W35" s="515"/>
      <c r="X35" s="515"/>
      <c r="Y35" s="515"/>
      <c r="Z35" s="515"/>
      <c r="AA35" s="515"/>
      <c r="AB35" s="515"/>
      <c r="AC35" s="515"/>
      <c r="AD35" s="515"/>
      <c r="AE35" s="515"/>
      <c r="AF35" s="515"/>
      <c r="AG35" s="515"/>
    </row>
    <row r="36" spans="1:33" ht="16" thickBot="1">
      <c r="A36" s="523"/>
      <c r="B36" s="524"/>
      <c r="C36" s="525"/>
      <c r="D36" s="525"/>
      <c r="E36" s="525"/>
      <c r="F36" s="525"/>
      <c r="G36" s="525"/>
      <c r="H36" s="525"/>
      <c r="I36" s="525"/>
      <c r="K36" s="554"/>
      <c r="L36" s="339"/>
      <c r="M36" s="340">
        <v>1.2500000000000001E-2</v>
      </c>
      <c r="N36" s="340">
        <v>1.2500000000000001E-2</v>
      </c>
      <c r="O36" s="340">
        <v>1.4999999999999999E-2</v>
      </c>
      <c r="P36" s="340">
        <v>1.4999999999999999E-2</v>
      </c>
      <c r="Q36" s="340">
        <v>1.4999999999999999E-2</v>
      </c>
      <c r="R36" s="341">
        <v>1.7500000000000002E-2</v>
      </c>
      <c r="S36" s="340">
        <v>1.7500000000000002E-2</v>
      </c>
      <c r="T36" s="554"/>
      <c r="U36" s="515"/>
      <c r="V36" s="515"/>
      <c r="W36" s="515"/>
      <c r="X36" s="515"/>
      <c r="Y36" s="515"/>
      <c r="Z36" s="515"/>
      <c r="AA36" s="515"/>
      <c r="AB36" s="515"/>
      <c r="AC36" s="515"/>
      <c r="AD36" s="515"/>
      <c r="AE36" s="515"/>
      <c r="AF36" s="515"/>
      <c r="AG36" s="515"/>
    </row>
    <row r="37" spans="1:33" ht="16.5" thickTop="1" thickBot="1">
      <c r="A37" s="525"/>
      <c r="B37" s="531"/>
      <c r="C37" s="533">
        <v>0.5</v>
      </c>
      <c r="D37" s="533">
        <v>0.65</v>
      </c>
      <c r="E37" s="533">
        <v>0.7</v>
      </c>
      <c r="F37" s="534">
        <v>0.75</v>
      </c>
      <c r="H37" s="525"/>
      <c r="I37" s="525"/>
      <c r="K37" s="554"/>
      <c r="L37" s="339" t="s">
        <v>425</v>
      </c>
      <c r="M37" s="342"/>
      <c r="N37" s="341"/>
      <c r="O37" s="341"/>
      <c r="P37" s="341"/>
      <c r="Q37" s="341"/>
      <c r="R37" s="341"/>
      <c r="S37" s="343"/>
      <c r="T37" s="554"/>
      <c r="U37" s="515"/>
      <c r="V37" s="515"/>
      <c r="W37" s="515"/>
      <c r="X37" s="515"/>
      <c r="Y37" s="515"/>
      <c r="Z37" s="515"/>
      <c r="AA37" s="515"/>
      <c r="AB37" s="515"/>
      <c r="AC37" s="515"/>
      <c r="AD37" s="515"/>
      <c r="AE37" s="515"/>
      <c r="AF37" s="515"/>
      <c r="AG37" s="515"/>
    </row>
    <row r="38" spans="1:33" ht="16" thickBot="1">
      <c r="A38" s="525"/>
      <c r="B38" s="557">
        <v>450000</v>
      </c>
      <c r="C38" s="295">
        <v>1.35E-2</v>
      </c>
      <c r="D38" s="295">
        <v>1.7500000000000002E-2</v>
      </c>
      <c r="E38" s="295">
        <v>1.9900000000000001E-2</v>
      </c>
      <c r="F38" s="296">
        <v>2.4899999999999999E-2</v>
      </c>
      <c r="H38" s="525"/>
      <c r="I38" s="525"/>
      <c r="K38" s="554"/>
      <c r="L38" s="345" t="s">
        <v>426</v>
      </c>
      <c r="M38" s="346" t="s">
        <v>427</v>
      </c>
      <c r="N38" s="347"/>
      <c r="O38" s="347"/>
      <c r="P38" s="347"/>
      <c r="Q38" s="347"/>
      <c r="R38" s="347"/>
      <c r="S38" s="348"/>
      <c r="T38" s="554"/>
      <c r="U38" s="515"/>
      <c r="V38" s="515"/>
      <c r="W38" s="515"/>
      <c r="X38" s="515"/>
      <c r="Y38" s="515"/>
      <c r="Z38" s="515"/>
      <c r="AA38" s="515"/>
      <c r="AB38" s="515"/>
      <c r="AC38" s="515"/>
      <c r="AD38" s="515"/>
      <c r="AE38" s="515"/>
      <c r="AF38" s="515"/>
      <c r="AG38" s="515"/>
    </row>
    <row r="39" spans="1:33" ht="16" thickTop="1">
      <c r="A39" s="525"/>
      <c r="B39" s="538">
        <v>1500000</v>
      </c>
      <c r="C39" s="302">
        <v>1.7500000000000002E-2</v>
      </c>
      <c r="D39" s="302">
        <v>1.9900000000000001E-2</v>
      </c>
      <c r="E39" s="302">
        <v>2.2499999999999999E-2</v>
      </c>
      <c r="F39" s="303">
        <v>2.4899999999999999E-2</v>
      </c>
      <c r="H39" s="525"/>
      <c r="I39" s="525"/>
      <c r="K39" s="554"/>
      <c r="L39" s="349"/>
      <c r="M39" s="554"/>
      <c r="N39" s="554"/>
      <c r="O39" s="554"/>
      <c r="P39" s="554"/>
      <c r="Q39" s="554"/>
      <c r="R39" s="554"/>
      <c r="S39" s="554"/>
      <c r="T39" s="554"/>
      <c r="U39" s="515"/>
      <c r="V39" s="515"/>
      <c r="W39" s="515"/>
      <c r="X39" s="515"/>
      <c r="Y39" s="515"/>
      <c r="Z39" s="515"/>
      <c r="AA39" s="515"/>
      <c r="AB39" s="515"/>
      <c r="AC39" s="515"/>
      <c r="AD39" s="515"/>
      <c r="AE39" s="515"/>
      <c r="AF39" s="515"/>
      <c r="AG39" s="515"/>
    </row>
    <row r="40" spans="1:33" ht="16" thickBot="1">
      <c r="A40" s="525"/>
      <c r="B40" s="539">
        <v>2000000</v>
      </c>
      <c r="C40" s="305">
        <v>2.4899999999999999E-2</v>
      </c>
      <c r="D40" s="305">
        <v>2.4899999999999999E-2</v>
      </c>
      <c r="E40" s="305">
        <v>2.4899999999999999E-2</v>
      </c>
      <c r="F40" s="306">
        <v>2.4899999999999999E-2</v>
      </c>
      <c r="H40" s="525"/>
      <c r="I40" s="525"/>
      <c r="K40" s="554"/>
      <c r="L40" s="349"/>
      <c r="M40" s="554"/>
      <c r="N40" s="554"/>
      <c r="O40" s="554"/>
      <c r="P40" s="554"/>
      <c r="Q40" s="554"/>
      <c r="R40" s="554"/>
      <c r="S40" s="554"/>
      <c r="T40" s="554"/>
      <c r="U40" s="515"/>
      <c r="V40" s="515"/>
      <c r="W40" s="515"/>
      <c r="X40" s="515"/>
      <c r="Y40" s="515"/>
      <c r="Z40" s="515"/>
      <c r="AA40" s="515"/>
      <c r="AB40" s="515"/>
      <c r="AC40" s="515"/>
      <c r="AD40" s="515"/>
      <c r="AE40" s="515"/>
      <c r="AF40" s="515"/>
      <c r="AG40" s="515"/>
    </row>
    <row r="41" spans="1:33" ht="16" thickTop="1">
      <c r="A41" s="525"/>
      <c r="B41" s="541"/>
      <c r="C41" s="524"/>
      <c r="D41" s="524"/>
      <c r="E41" s="524"/>
      <c r="F41" s="524"/>
      <c r="G41" s="524"/>
      <c r="H41" s="525"/>
      <c r="I41" s="525"/>
      <c r="K41" s="554"/>
      <c r="L41" s="350"/>
      <c r="M41" s="558" t="str">
        <f>IF($B$3&lt;M35, "1", "0")</f>
        <v>0</v>
      </c>
      <c r="N41" s="558" t="str">
        <f>IF(AND(M35&lt;=$B$3,$B$3&lt;N35), "1", "0")</f>
        <v>0</v>
      </c>
      <c r="O41" s="558" t="str">
        <f>IF(AND(N35&lt;=$B$3,$B$3&lt;O35), "1", "0")</f>
        <v>0</v>
      </c>
      <c r="P41" s="558" t="str">
        <f>IF(AND(O35&lt;=$B$3,$B$3&lt;P35), "1", "0")</f>
        <v>0</v>
      </c>
      <c r="Q41" s="558" t="str">
        <f>IF(AND(P35&lt;=$B$3,$B$3&lt;Q35), "1", "0")</f>
        <v>1</v>
      </c>
      <c r="R41" s="558" t="str">
        <f>IF(AND(Q35&lt;=$B$3,$B$3&lt;R35), "1", "0")</f>
        <v>0</v>
      </c>
      <c r="S41" s="558" t="str">
        <f>IF(AND(R35&lt;=$B$3,$B$3&lt;=S35), "1", "0")</f>
        <v>0</v>
      </c>
      <c r="T41" s="554"/>
      <c r="U41" s="515"/>
      <c r="V41" s="515"/>
      <c r="W41" s="515"/>
      <c r="X41" s="515"/>
      <c r="Y41" s="515"/>
      <c r="Z41" s="515"/>
      <c r="AA41" s="515"/>
      <c r="AB41" s="515"/>
      <c r="AC41" s="515"/>
      <c r="AD41" s="515"/>
      <c r="AE41" s="515"/>
      <c r="AF41" s="515"/>
      <c r="AG41" s="515"/>
    </row>
    <row r="42" spans="1:33" ht="15.5">
      <c r="A42" s="525"/>
      <c r="B42" s="542"/>
      <c r="C42" s="543" t="str">
        <f>IF($B$3&lt;=C37,"1","0")</f>
        <v>0</v>
      </c>
      <c r="D42" s="543" t="str">
        <f>IF(AND(C37&lt;$B$3,$B$3&lt;=D37),"1","0")</f>
        <v>1</v>
      </c>
      <c r="E42" s="543" t="str">
        <f>IF(AND(D37&lt;$B$3,$B$3&lt;=E37),"1","0")</f>
        <v>0</v>
      </c>
      <c r="F42" s="543" t="str">
        <f>IF(AND(E37&lt;$B$3,$B$3&lt;=F37),"1","0")</f>
        <v>0</v>
      </c>
      <c r="H42" s="524"/>
      <c r="I42" s="524"/>
      <c r="K42" s="554"/>
      <c r="L42" s="554"/>
      <c r="M42" s="352">
        <f>M36</f>
        <v>1.2500000000000001E-2</v>
      </c>
      <c r="N42" s="352">
        <f>N36</f>
        <v>1.2500000000000001E-2</v>
      </c>
      <c r="O42" s="352">
        <f>O36</f>
        <v>1.4999999999999999E-2</v>
      </c>
      <c r="P42" s="352">
        <f t="shared" ref="P42:S42" si="4">P36</f>
        <v>1.4999999999999999E-2</v>
      </c>
      <c r="Q42" s="352">
        <f t="shared" si="4"/>
        <v>1.4999999999999999E-2</v>
      </c>
      <c r="R42" s="342">
        <f t="shared" si="4"/>
        <v>1.7500000000000002E-2</v>
      </c>
      <c r="S42" s="342">
        <f t="shared" si="4"/>
        <v>1.7500000000000002E-2</v>
      </c>
      <c r="T42" s="554"/>
      <c r="U42" s="515"/>
      <c r="V42" s="515"/>
      <c r="W42" s="515"/>
      <c r="X42" s="515"/>
      <c r="Y42" s="515"/>
      <c r="Z42" s="515"/>
      <c r="AA42" s="515"/>
      <c r="AB42" s="515"/>
      <c r="AC42" s="515"/>
      <c r="AD42" s="515"/>
      <c r="AE42" s="515"/>
      <c r="AF42" s="515"/>
      <c r="AG42" s="515"/>
    </row>
    <row r="43" spans="1:33" ht="15.5">
      <c r="A43" s="525"/>
      <c r="B43" s="525" t="str">
        <f>IF($B$2&lt;=B38,"1", "0")</f>
        <v>1</v>
      </c>
      <c r="C43" s="524">
        <f t="shared" ref="C43:F45" si="5">C38</f>
        <v>1.35E-2</v>
      </c>
      <c r="D43" s="524">
        <f t="shared" si="5"/>
        <v>1.7500000000000002E-2</v>
      </c>
      <c r="E43" s="524">
        <f t="shared" si="5"/>
        <v>1.9900000000000001E-2</v>
      </c>
      <c r="F43" s="524">
        <f t="shared" si="5"/>
        <v>2.4899999999999999E-2</v>
      </c>
      <c r="H43" s="524"/>
      <c r="I43" s="525"/>
      <c r="K43" s="554"/>
      <c r="L43" s="554"/>
      <c r="M43" s="554"/>
      <c r="N43" s="341"/>
      <c r="O43" s="341"/>
      <c r="P43" s="341"/>
      <c r="Q43" s="341"/>
      <c r="R43" s="341"/>
      <c r="S43" s="341"/>
      <c r="T43" s="554"/>
      <c r="U43" s="515"/>
      <c r="V43" s="515"/>
      <c r="W43" s="515"/>
      <c r="X43" s="515"/>
      <c r="Y43" s="515"/>
      <c r="Z43" s="515"/>
      <c r="AA43" s="515"/>
      <c r="AB43" s="515"/>
      <c r="AC43" s="515"/>
      <c r="AD43" s="515"/>
      <c r="AE43" s="515"/>
      <c r="AF43" s="515"/>
      <c r="AG43" s="515"/>
    </row>
    <row r="44" spans="1:33" ht="15.5">
      <c r="A44" s="525"/>
      <c r="B44" s="525" t="str">
        <f>IF(AND($B$2&gt;B38, $B$2&lt;=B39),"1", "0")</f>
        <v>0</v>
      </c>
      <c r="C44" s="524">
        <f t="shared" si="5"/>
        <v>1.7500000000000002E-2</v>
      </c>
      <c r="D44" s="524">
        <f t="shared" si="5"/>
        <v>1.9900000000000001E-2</v>
      </c>
      <c r="E44" s="524">
        <f t="shared" si="5"/>
        <v>2.2499999999999999E-2</v>
      </c>
      <c r="F44" s="524">
        <f t="shared" si="5"/>
        <v>2.4899999999999999E-2</v>
      </c>
      <c r="H44" s="524"/>
      <c r="I44" s="525"/>
      <c r="K44" s="559" t="s">
        <v>235</v>
      </c>
      <c r="L44" s="554"/>
      <c r="M44" s="554" t="s">
        <v>428</v>
      </c>
      <c r="N44" s="341"/>
      <c r="O44" s="341"/>
      <c r="P44" s="341" t="s">
        <v>429</v>
      </c>
      <c r="Q44" s="341"/>
      <c r="R44" s="341"/>
      <c r="S44" s="341"/>
      <c r="T44" s="554"/>
      <c r="U44" s="515"/>
      <c r="V44" s="515"/>
      <c r="W44" s="515"/>
      <c r="X44" s="515"/>
      <c r="Y44" s="515"/>
      <c r="Z44" s="515"/>
      <c r="AA44" s="515"/>
      <c r="AB44" s="515"/>
      <c r="AC44" s="515"/>
      <c r="AD44" s="515"/>
      <c r="AE44" s="515"/>
      <c r="AF44" s="515"/>
      <c r="AG44" s="515"/>
    </row>
    <row r="45" spans="1:33" ht="15.5">
      <c r="A45" s="525"/>
      <c r="B45" s="525" t="str">
        <f>IF(AND($B$2&gt;B39, $B$2&lt;=B40),"1", "0")</f>
        <v>0</v>
      </c>
      <c r="C45" s="524">
        <f t="shared" si="5"/>
        <v>2.4899999999999999E-2</v>
      </c>
      <c r="D45" s="524">
        <f t="shared" si="5"/>
        <v>2.4899999999999999E-2</v>
      </c>
      <c r="E45" s="524">
        <f t="shared" si="5"/>
        <v>2.4899999999999999E-2</v>
      </c>
      <c r="F45" s="524">
        <f t="shared" si="5"/>
        <v>2.4899999999999999E-2</v>
      </c>
      <c r="H45" s="525"/>
      <c r="I45" s="525"/>
      <c r="K45" s="352">
        <f>IF($B$2&gt;250000, HLOOKUP("1",M41:S42,2,FALSE)+0.5%, HLOOKUP("1",M41:S42,2,FALSE))</f>
        <v>0.02</v>
      </c>
      <c r="L45" s="554"/>
      <c r="M45" s="342">
        <v>0.02</v>
      </c>
      <c r="N45" s="341"/>
      <c r="O45" s="341"/>
      <c r="P45" s="341">
        <f>IF($B$2&gt;1500000, 2.49%, M45)</f>
        <v>0.02</v>
      </c>
      <c r="Q45" s="341"/>
      <c r="R45" s="341"/>
      <c r="S45" s="341"/>
      <c r="T45" s="554"/>
      <c r="U45" s="521"/>
      <c r="V45" s="515"/>
      <c r="W45" s="515"/>
      <c r="X45" s="515"/>
      <c r="Y45" s="515"/>
      <c r="Z45" s="515"/>
      <c r="AA45" s="515"/>
      <c r="AB45" s="515"/>
      <c r="AC45" s="515"/>
      <c r="AD45" s="515"/>
      <c r="AE45" s="515"/>
      <c r="AF45" s="515"/>
      <c r="AG45" s="515"/>
    </row>
    <row r="46" spans="1:33" ht="15.5">
      <c r="A46" s="525"/>
      <c r="B46" s="525"/>
      <c r="C46" s="524"/>
      <c r="D46" s="524"/>
      <c r="E46" s="524"/>
      <c r="F46" s="524"/>
      <c r="G46" s="524"/>
      <c r="H46" s="525"/>
      <c r="I46" s="525"/>
      <c r="K46" s="338"/>
      <c r="L46" s="554"/>
      <c r="M46" s="554"/>
      <c r="N46" s="554"/>
      <c r="O46" s="554"/>
      <c r="P46" s="554"/>
      <c r="Q46" s="554"/>
      <c r="R46" s="554"/>
      <c r="S46" s="554"/>
      <c r="T46" s="554"/>
      <c r="U46" s="521"/>
      <c r="V46" s="515"/>
      <c r="W46" s="515"/>
      <c r="X46" s="515"/>
      <c r="Y46" s="515"/>
      <c r="Z46" s="515"/>
      <c r="AA46" s="515"/>
      <c r="AB46" s="515"/>
      <c r="AC46" s="515"/>
      <c r="AD46" s="515"/>
      <c r="AE46" s="515"/>
      <c r="AF46" s="515"/>
      <c r="AG46" s="515"/>
    </row>
    <row r="47" spans="1:33" ht="15.5">
      <c r="A47" s="525" t="s">
        <v>420</v>
      </c>
      <c r="B47" s="514" t="s">
        <v>372</v>
      </c>
      <c r="C47" s="514" t="s">
        <v>378</v>
      </c>
      <c r="D47" s="514" t="s">
        <v>380</v>
      </c>
      <c r="H47" s="525"/>
      <c r="I47" s="525"/>
      <c r="K47" s="338" t="s">
        <v>422</v>
      </c>
      <c r="L47" s="554"/>
      <c r="M47" s="554"/>
      <c r="N47" s="554"/>
      <c r="O47" s="554"/>
      <c r="P47" s="554"/>
      <c r="Q47" s="554"/>
      <c r="R47" s="554"/>
      <c r="S47" s="554"/>
      <c r="T47" s="554"/>
      <c r="U47" s="521"/>
      <c r="V47" s="515"/>
      <c r="W47" s="515"/>
      <c r="X47" s="515"/>
      <c r="Y47" s="515"/>
      <c r="Z47" s="515"/>
      <c r="AA47" s="515"/>
      <c r="AB47" s="515"/>
      <c r="AC47" s="515"/>
      <c r="AD47" s="515"/>
      <c r="AE47" s="515"/>
      <c r="AF47" s="515"/>
      <c r="AG47" s="515"/>
    </row>
    <row r="48" spans="1:33" ht="15.5">
      <c r="A48" s="525"/>
      <c r="B48" s="525"/>
      <c r="C48" s="524">
        <v>0</v>
      </c>
      <c r="D48" s="524">
        <v>5.0000000000000001E-3</v>
      </c>
      <c r="E48" s="525"/>
      <c r="F48" s="524"/>
      <c r="H48" s="525"/>
      <c r="I48" s="525"/>
      <c r="K48" s="354">
        <v>0.02</v>
      </c>
      <c r="L48" s="554"/>
      <c r="M48" s="554"/>
      <c r="N48" s="554"/>
      <c r="O48" s="554"/>
      <c r="P48" s="554"/>
      <c r="Q48" s="554"/>
      <c r="R48" s="554"/>
      <c r="S48" s="554"/>
      <c r="T48" s="554"/>
      <c r="U48" s="521"/>
      <c r="V48" s="515"/>
      <c r="W48" s="515"/>
      <c r="X48" s="515"/>
      <c r="Y48" s="515"/>
      <c r="Z48" s="515"/>
      <c r="AA48" s="515"/>
      <c r="AB48" s="515"/>
      <c r="AC48" s="515"/>
      <c r="AD48" s="515"/>
      <c r="AE48" s="515"/>
      <c r="AF48" s="515"/>
      <c r="AG48" s="515"/>
    </row>
    <row r="49" spans="1:33" ht="15.5">
      <c r="A49" s="524">
        <f>VLOOKUP("1",B43:F45,(MATCH("1",B42:F42,0)),FALSE)</f>
        <v>1.7500000000000002E-2</v>
      </c>
      <c r="B49" s="524"/>
      <c r="C49" s="524">
        <v>1.7500000000000002E-2</v>
      </c>
      <c r="D49" s="524">
        <v>1.7500000000000002E-2</v>
      </c>
      <c r="E49" s="525"/>
      <c r="F49" s="525"/>
      <c r="G49" s="524"/>
      <c r="H49" s="525"/>
      <c r="I49" s="525"/>
      <c r="K49" s="554"/>
      <c r="L49" s="554"/>
      <c r="M49" s="554"/>
      <c r="N49" s="554"/>
      <c r="O49" s="554"/>
      <c r="P49" s="554"/>
      <c r="Q49" s="554"/>
      <c r="R49" s="554"/>
      <c r="S49" s="554"/>
      <c r="T49" s="554"/>
      <c r="U49" s="515"/>
      <c r="V49" s="515"/>
      <c r="W49" s="515"/>
      <c r="X49" s="515"/>
      <c r="Y49" s="515"/>
      <c r="Z49" s="515"/>
      <c r="AA49" s="515"/>
      <c r="AB49" s="515"/>
      <c r="AC49" s="515"/>
      <c r="AD49" s="515"/>
      <c r="AE49" s="515"/>
      <c r="AF49" s="515"/>
      <c r="AG49" s="515"/>
    </row>
    <row r="50" spans="1:33">
      <c r="A50" s="524"/>
      <c r="B50" s="524"/>
      <c r="C50" s="525"/>
      <c r="D50" s="525"/>
      <c r="E50" s="525"/>
      <c r="F50" s="525"/>
      <c r="G50" s="524"/>
      <c r="H50" s="525"/>
      <c r="I50" s="525"/>
      <c r="K50" s="515"/>
      <c r="L50" s="515"/>
      <c r="M50" s="521"/>
      <c r="N50" s="515"/>
      <c r="O50" s="515"/>
      <c r="P50" s="515"/>
      <c r="Q50" s="515"/>
      <c r="R50" s="515"/>
      <c r="S50" s="515"/>
      <c r="T50" s="515"/>
      <c r="U50" s="515"/>
      <c r="V50" s="515"/>
      <c r="W50" s="515"/>
      <c r="X50" s="515"/>
      <c r="Y50" s="515"/>
      <c r="Z50" s="515"/>
      <c r="AA50" s="515"/>
      <c r="AB50" s="515"/>
      <c r="AC50" s="515"/>
      <c r="AD50" s="515"/>
      <c r="AE50" s="515"/>
      <c r="AF50" s="515"/>
      <c r="AG50" s="515"/>
    </row>
    <row r="51" spans="1:33">
      <c r="A51" s="524" t="s">
        <v>422</v>
      </c>
      <c r="B51" s="524"/>
      <c r="C51" s="525"/>
      <c r="D51" s="525"/>
      <c r="E51" s="525"/>
      <c r="F51" s="525"/>
      <c r="G51" s="524"/>
      <c r="H51" s="525"/>
      <c r="I51" s="525"/>
      <c r="J51" s="515"/>
      <c r="K51" s="515"/>
      <c r="L51" s="515"/>
      <c r="M51" s="521"/>
      <c r="N51" s="515"/>
      <c r="O51" s="515"/>
      <c r="P51" s="515"/>
      <c r="Q51" s="515"/>
      <c r="R51" s="515"/>
      <c r="S51" s="515"/>
      <c r="T51" s="515"/>
      <c r="U51" s="515"/>
      <c r="V51" s="515"/>
      <c r="W51" s="515"/>
      <c r="X51" s="515"/>
      <c r="Y51" s="515"/>
      <c r="Z51" s="515"/>
      <c r="AA51" s="515"/>
      <c r="AB51" s="515"/>
      <c r="AC51" s="515"/>
      <c r="AD51" s="515"/>
      <c r="AE51" s="515"/>
      <c r="AF51" s="515"/>
      <c r="AG51" s="515"/>
    </row>
    <row r="52" spans="1:33">
      <c r="A52" s="548">
        <f>D49</f>
        <v>1.7500000000000002E-2</v>
      </c>
      <c r="B52" s="525"/>
      <c r="C52" s="525"/>
      <c r="D52" s="525"/>
      <c r="E52" s="525"/>
      <c r="F52" s="525"/>
      <c r="G52" s="525"/>
      <c r="H52" s="525"/>
      <c r="I52" s="525"/>
      <c r="J52" s="515"/>
      <c r="K52" s="515"/>
      <c r="L52" s="515"/>
      <c r="M52" s="521"/>
      <c r="N52" s="515"/>
      <c r="O52" s="515"/>
      <c r="P52" s="515"/>
      <c r="Q52" s="515"/>
      <c r="R52" s="515"/>
      <c r="S52" s="515"/>
      <c r="T52" s="515"/>
      <c r="U52" s="515"/>
      <c r="V52" s="515"/>
      <c r="W52" s="515"/>
      <c r="X52" s="515"/>
      <c r="Y52" s="515"/>
      <c r="Z52" s="515"/>
      <c r="AA52" s="515"/>
      <c r="AB52" s="515"/>
      <c r="AC52" s="515"/>
      <c r="AD52" s="515"/>
      <c r="AE52" s="515"/>
      <c r="AF52" s="515"/>
      <c r="AG52" s="515"/>
    </row>
    <row r="53" spans="1:33">
      <c r="A53" s="549"/>
      <c r="B53" s="525"/>
      <c r="C53" s="525"/>
      <c r="D53" s="525"/>
      <c r="E53" s="525"/>
      <c r="F53" s="525"/>
      <c r="G53" s="525"/>
      <c r="H53" s="525"/>
      <c r="I53" s="525"/>
      <c r="J53" s="515"/>
      <c r="K53" s="515"/>
      <c r="L53" s="515"/>
      <c r="M53" s="515"/>
      <c r="N53" s="515"/>
      <c r="O53" s="515"/>
      <c r="P53" s="515"/>
      <c r="Q53" s="515"/>
      <c r="R53" s="515"/>
      <c r="S53" s="515"/>
      <c r="T53" s="515"/>
      <c r="U53" s="515"/>
      <c r="V53" s="515"/>
      <c r="W53" s="515"/>
      <c r="X53" s="515"/>
      <c r="Y53" s="515"/>
      <c r="Z53" s="515"/>
      <c r="AA53" s="515"/>
      <c r="AB53" s="515"/>
      <c r="AC53" s="515"/>
      <c r="AD53" s="515"/>
      <c r="AE53" s="515"/>
      <c r="AF53" s="515"/>
      <c r="AG53" s="515"/>
    </row>
    <row r="54" spans="1:33">
      <c r="A54" s="549"/>
      <c r="B54" s="525"/>
      <c r="C54" s="525"/>
      <c r="D54" s="525"/>
      <c r="E54" s="525"/>
      <c r="F54" s="525"/>
      <c r="G54" s="525"/>
      <c r="H54" s="525"/>
      <c r="I54" s="525"/>
      <c r="J54" s="515"/>
      <c r="K54" s="515"/>
      <c r="L54" s="515"/>
      <c r="M54" s="515"/>
      <c r="N54" s="515"/>
      <c r="O54" s="515"/>
      <c r="P54" s="515"/>
      <c r="Q54" s="515"/>
      <c r="R54" s="515"/>
      <c r="S54" s="515"/>
      <c r="T54" s="515"/>
      <c r="U54" s="515"/>
      <c r="V54" s="515"/>
      <c r="W54" s="515"/>
      <c r="X54" s="515"/>
      <c r="Y54" s="515"/>
      <c r="Z54" s="515"/>
      <c r="AA54" s="515"/>
      <c r="AB54" s="515"/>
      <c r="AC54" s="515"/>
      <c r="AD54" s="515"/>
      <c r="AE54" s="515"/>
      <c r="AF54" s="515"/>
      <c r="AG54" s="515"/>
    </row>
    <row r="55" spans="1:33">
      <c r="A55" s="549"/>
      <c r="B55" s="525"/>
      <c r="C55" s="525"/>
      <c r="D55" s="525"/>
      <c r="E55" s="525"/>
      <c r="F55" s="525"/>
      <c r="G55" s="525"/>
      <c r="H55" s="525"/>
      <c r="I55" s="525"/>
      <c r="J55" s="515"/>
      <c r="K55" s="515"/>
      <c r="L55" s="515"/>
      <c r="M55" s="515"/>
      <c r="N55" s="515"/>
      <c r="O55" s="515"/>
      <c r="P55" s="515"/>
      <c r="Q55" s="515"/>
      <c r="R55" s="515"/>
      <c r="S55" s="515"/>
      <c r="T55" s="515"/>
      <c r="U55" s="515"/>
      <c r="V55" s="515"/>
      <c r="W55" s="515"/>
      <c r="X55" s="515"/>
      <c r="Y55" s="515"/>
      <c r="Z55" s="515"/>
      <c r="AA55" s="515"/>
      <c r="AB55" s="515"/>
      <c r="AC55" s="515"/>
      <c r="AD55" s="515"/>
      <c r="AE55" s="515"/>
      <c r="AF55" s="515"/>
      <c r="AG55" s="515"/>
    </row>
    <row r="56" spans="1:33" ht="15" thickBot="1">
      <c r="A56" s="550"/>
      <c r="B56" s="551"/>
      <c r="C56" s="551"/>
      <c r="D56" s="551"/>
      <c r="E56" s="551"/>
      <c r="F56" s="551"/>
      <c r="G56" s="551"/>
      <c r="H56" s="551"/>
      <c r="I56" s="551"/>
      <c r="J56" s="521"/>
      <c r="K56" s="521"/>
      <c r="L56" s="515"/>
      <c r="M56" s="515"/>
      <c r="N56" s="515"/>
      <c r="O56" s="515"/>
      <c r="P56" s="515"/>
      <c r="Q56" s="515"/>
      <c r="R56" s="515"/>
      <c r="S56" s="515"/>
      <c r="T56" s="515"/>
      <c r="U56" s="515"/>
      <c r="V56" s="515"/>
      <c r="W56" s="515"/>
      <c r="X56" s="515"/>
      <c r="Y56" s="515"/>
      <c r="Z56" s="515"/>
      <c r="AA56" s="515"/>
      <c r="AB56" s="515"/>
      <c r="AC56" s="515"/>
      <c r="AD56" s="515"/>
      <c r="AE56" s="515"/>
      <c r="AF56" s="515"/>
      <c r="AG56" s="515"/>
    </row>
    <row r="57" spans="1:33">
      <c r="A57" s="515"/>
      <c r="B57" s="515"/>
      <c r="C57" s="515"/>
      <c r="D57" s="515"/>
      <c r="E57" s="515"/>
      <c r="F57" s="515"/>
      <c r="G57" s="515"/>
      <c r="H57" s="515"/>
      <c r="I57" s="515"/>
      <c r="J57" s="521"/>
      <c r="K57" s="521"/>
      <c r="L57" s="515"/>
      <c r="M57" s="515"/>
      <c r="N57" s="515"/>
      <c r="O57" s="515"/>
      <c r="P57" s="515"/>
      <c r="Q57" s="515"/>
      <c r="R57" s="515"/>
      <c r="S57" s="515"/>
      <c r="T57" s="515"/>
      <c r="U57" s="515"/>
      <c r="V57" s="515"/>
      <c r="W57" s="515"/>
      <c r="X57" s="515"/>
      <c r="Y57" s="515"/>
      <c r="Z57" s="515"/>
      <c r="AA57" s="515"/>
      <c r="AB57" s="515"/>
      <c r="AC57" s="515"/>
      <c r="AD57" s="515"/>
      <c r="AE57" s="515"/>
      <c r="AF57" s="515"/>
      <c r="AG57" s="515"/>
    </row>
    <row r="58" spans="1:33">
      <c r="A58" s="515"/>
      <c r="B58" s="515"/>
      <c r="C58" s="515"/>
      <c r="D58" s="515"/>
      <c r="E58" s="515"/>
      <c r="F58" s="515"/>
      <c r="G58" s="515"/>
      <c r="H58" s="515"/>
      <c r="I58" s="515"/>
      <c r="J58" s="521"/>
      <c r="K58" s="521"/>
      <c r="L58" s="515"/>
      <c r="M58" s="515"/>
      <c r="N58" s="515"/>
      <c r="O58" s="515"/>
      <c r="P58" s="515"/>
      <c r="Q58" s="515"/>
      <c r="R58" s="515"/>
      <c r="S58" s="515"/>
      <c r="T58" s="515"/>
      <c r="U58" s="515"/>
      <c r="V58" s="515"/>
      <c r="W58" s="515"/>
      <c r="X58" s="515"/>
      <c r="Y58" s="515"/>
      <c r="Z58" s="515"/>
      <c r="AA58" s="515"/>
      <c r="AB58" s="515"/>
      <c r="AC58" s="515"/>
      <c r="AD58" s="515"/>
      <c r="AE58" s="515"/>
      <c r="AF58" s="515"/>
      <c r="AG58" s="515"/>
    </row>
    <row r="59" spans="1:33">
      <c r="A59" s="521"/>
      <c r="B59" s="515"/>
      <c r="C59" s="515"/>
      <c r="D59" s="515"/>
      <c r="E59" s="515"/>
      <c r="F59" s="515"/>
      <c r="G59" s="515"/>
      <c r="H59" s="515"/>
      <c r="I59" s="515"/>
      <c r="J59" s="521"/>
      <c r="K59" s="521"/>
      <c r="L59" s="515"/>
      <c r="M59" s="515"/>
      <c r="N59" s="515"/>
      <c r="O59" s="515"/>
      <c r="P59" s="515"/>
      <c r="Q59" s="515"/>
      <c r="R59" s="515"/>
      <c r="S59" s="515"/>
      <c r="T59" s="515"/>
      <c r="U59" s="515"/>
      <c r="V59" s="515"/>
      <c r="W59" s="515"/>
      <c r="X59" s="515"/>
      <c r="Y59" s="515"/>
      <c r="Z59" s="515"/>
      <c r="AA59" s="515"/>
      <c r="AB59" s="515"/>
      <c r="AC59" s="515"/>
      <c r="AD59" s="515"/>
      <c r="AE59" s="515"/>
      <c r="AF59" s="515"/>
      <c r="AG59" s="515"/>
    </row>
    <row r="60" spans="1:33">
      <c r="A60" s="515"/>
      <c r="B60" s="515"/>
      <c r="C60" s="515"/>
      <c r="D60" s="515"/>
      <c r="E60" s="515"/>
      <c r="F60" s="515"/>
      <c r="G60" s="515"/>
      <c r="H60" s="515"/>
      <c r="I60" s="515"/>
      <c r="J60" s="521"/>
      <c r="K60" s="521"/>
      <c r="L60" s="515"/>
      <c r="M60" s="515"/>
      <c r="N60" s="515"/>
      <c r="O60" s="515"/>
      <c r="P60" s="515"/>
      <c r="Q60" s="515"/>
      <c r="R60" s="515"/>
      <c r="S60" s="515"/>
      <c r="T60" s="515"/>
      <c r="U60" s="515"/>
      <c r="V60" s="515"/>
      <c r="W60" s="515"/>
      <c r="X60" s="515"/>
      <c r="Y60" s="515"/>
      <c r="Z60" s="515"/>
      <c r="AA60" s="515"/>
      <c r="AB60" s="515"/>
      <c r="AC60" s="515"/>
      <c r="AD60" s="515"/>
      <c r="AE60" s="515"/>
      <c r="AF60" s="515"/>
      <c r="AG60" s="515"/>
    </row>
    <row r="61" spans="1:33" ht="15" thickBot="1">
      <c r="A61" s="526" t="s">
        <v>430</v>
      </c>
      <c r="B61" s="527"/>
      <c r="C61" s="528"/>
      <c r="D61" s="528"/>
      <c r="E61" s="528"/>
      <c r="F61" s="528"/>
      <c r="G61" s="528"/>
      <c r="H61" s="528"/>
      <c r="I61" s="528"/>
      <c r="J61" s="529"/>
      <c r="K61" s="521"/>
      <c r="L61" s="526" t="s">
        <v>431</v>
      </c>
      <c r="M61" s="527"/>
      <c r="N61" s="528"/>
      <c r="O61" s="528"/>
      <c r="P61" s="528"/>
      <c r="Q61" s="528"/>
      <c r="R61" s="528"/>
      <c r="S61" s="529"/>
      <c r="T61" s="515"/>
      <c r="U61" s="515"/>
      <c r="V61" s="515"/>
      <c r="W61" s="515"/>
      <c r="X61" s="515"/>
      <c r="Y61" s="515"/>
      <c r="Z61" s="515"/>
      <c r="AA61" s="515"/>
      <c r="AB61" s="515"/>
      <c r="AC61" s="515"/>
      <c r="AD61" s="515"/>
      <c r="AE61" s="515"/>
    </row>
    <row r="62" spans="1:33" ht="16.5" thickTop="1" thickBot="1">
      <c r="A62" s="528"/>
      <c r="B62" s="560"/>
      <c r="C62" s="561">
        <v>0.4</v>
      </c>
      <c r="D62" s="357">
        <v>0.5</v>
      </c>
      <c r="E62" s="357">
        <v>0.55000000000000004</v>
      </c>
      <c r="F62" s="357">
        <v>0.6</v>
      </c>
      <c r="G62" s="357">
        <v>0.65</v>
      </c>
      <c r="H62" s="358">
        <v>0.7</v>
      </c>
      <c r="I62" s="528"/>
      <c r="J62" s="529"/>
      <c r="K62" s="521"/>
      <c r="L62" s="528"/>
      <c r="M62" s="535"/>
      <c r="N62" s="536">
        <v>0.55000000000000004</v>
      </c>
      <c r="O62" s="290">
        <v>0.6</v>
      </c>
      <c r="P62" s="290">
        <v>0.65</v>
      </c>
      <c r="Q62" s="291">
        <v>0.7</v>
      </c>
      <c r="R62" s="528"/>
      <c r="S62" s="529"/>
      <c r="T62" s="515"/>
      <c r="U62" s="515"/>
      <c r="V62" s="515"/>
      <c r="W62" s="515"/>
      <c r="X62" s="515"/>
      <c r="Y62" s="515"/>
      <c r="Z62" s="515"/>
      <c r="AA62" s="515"/>
      <c r="AB62" s="515"/>
      <c r="AC62" s="515"/>
      <c r="AD62" s="515"/>
      <c r="AE62" s="515"/>
    </row>
    <row r="63" spans="1:33" ht="15.5">
      <c r="A63" s="528"/>
      <c r="B63" s="562">
        <v>150000</v>
      </c>
      <c r="C63" s="360">
        <v>1.5E-3</v>
      </c>
      <c r="D63" s="360">
        <v>7.0000000000000001E-3</v>
      </c>
      <c r="E63" s="360">
        <v>1.15E-2</v>
      </c>
      <c r="F63" s="360">
        <v>1.4500000000000001E-2</v>
      </c>
      <c r="G63" s="360">
        <v>1.6500000000000001E-2</v>
      </c>
      <c r="H63" s="361">
        <v>3.2000000000000001E-2</v>
      </c>
      <c r="I63" s="528"/>
      <c r="J63" s="529"/>
      <c r="K63" s="521"/>
      <c r="L63" s="528"/>
      <c r="M63" s="557">
        <v>300000</v>
      </c>
      <c r="N63" s="294">
        <v>1.15E-2</v>
      </c>
      <c r="O63" s="295">
        <v>1.4500000000000001E-2</v>
      </c>
      <c r="P63" s="295">
        <v>1.6500000000000001E-2</v>
      </c>
      <c r="Q63" s="296">
        <v>3.2000000000000001E-2</v>
      </c>
      <c r="R63" s="528"/>
      <c r="S63" s="529"/>
      <c r="T63" s="515"/>
      <c r="U63" s="515"/>
      <c r="V63" s="515"/>
      <c r="W63" s="515"/>
      <c r="X63" s="515"/>
      <c r="Y63" s="515"/>
      <c r="Z63" s="515"/>
      <c r="AA63" s="515"/>
      <c r="AB63" s="515"/>
      <c r="AC63" s="515"/>
      <c r="AD63" s="515"/>
      <c r="AE63" s="515"/>
    </row>
    <row r="64" spans="1:33" ht="15.5">
      <c r="A64" s="528"/>
      <c r="B64" s="562">
        <v>300000</v>
      </c>
      <c r="C64" s="360">
        <v>3.0000000000000001E-3</v>
      </c>
      <c r="D64" s="360">
        <v>8.5000000000000006E-3</v>
      </c>
      <c r="E64" s="360">
        <v>1.2999999999999999E-2</v>
      </c>
      <c r="F64" s="360">
        <v>1.6E-2</v>
      </c>
      <c r="G64" s="360">
        <v>1.7999999999999999E-2</v>
      </c>
      <c r="H64" s="361">
        <v>3.3500000000000002E-2</v>
      </c>
      <c r="I64" s="528"/>
      <c r="J64" s="529"/>
      <c r="K64" s="521"/>
      <c r="L64" s="528"/>
      <c r="M64" s="538">
        <v>450000</v>
      </c>
      <c r="N64" s="301">
        <v>1.2500000000000001E-2</v>
      </c>
      <c r="O64" s="302">
        <v>1.55E-2</v>
      </c>
      <c r="P64" s="302">
        <v>1.7500000000000002E-2</v>
      </c>
      <c r="Q64" s="303">
        <v>3.3000000000000002E-2</v>
      </c>
      <c r="R64" s="528"/>
      <c r="S64" s="529"/>
      <c r="T64" s="515"/>
      <c r="U64" s="515"/>
      <c r="V64" s="515"/>
      <c r="W64" s="515"/>
      <c r="X64" s="515"/>
      <c r="Y64" s="515"/>
      <c r="Z64" s="515"/>
      <c r="AA64" s="515"/>
      <c r="AB64" s="515"/>
      <c r="AC64" s="515"/>
      <c r="AD64" s="515"/>
      <c r="AE64" s="515"/>
    </row>
    <row r="65" spans="1:31" ht="15.5">
      <c r="A65" s="528"/>
      <c r="B65" s="562">
        <v>500000</v>
      </c>
      <c r="C65" s="361">
        <v>8.5000000000000006E-3</v>
      </c>
      <c r="D65" s="361">
        <v>1.35E-2</v>
      </c>
      <c r="E65" s="360">
        <v>1.4500000000000001E-2</v>
      </c>
      <c r="F65" s="360">
        <v>1.7000000000000001E-2</v>
      </c>
      <c r="G65" s="360">
        <v>1.8499999999999999E-2</v>
      </c>
      <c r="H65" s="361">
        <v>3.4000000000000002E-2</v>
      </c>
      <c r="I65" s="528"/>
      <c r="J65" s="529"/>
      <c r="K65" s="521"/>
      <c r="L65" s="528"/>
      <c r="M65" s="538">
        <v>750000</v>
      </c>
      <c r="N65" s="301">
        <v>1.35E-2</v>
      </c>
      <c r="O65" s="302">
        <v>1.6500000000000001E-2</v>
      </c>
      <c r="P65" s="302">
        <v>1.8499999999999999E-2</v>
      </c>
      <c r="Q65" s="303">
        <v>3.4000000000000002E-2</v>
      </c>
      <c r="R65" s="528"/>
      <c r="S65" s="529"/>
      <c r="T65" s="515"/>
      <c r="U65" s="515"/>
      <c r="V65" s="515"/>
      <c r="W65" s="515"/>
      <c r="X65" s="515"/>
      <c r="Y65" s="515"/>
      <c r="Z65" s="515"/>
      <c r="AA65" s="515"/>
      <c r="AB65" s="515"/>
      <c r="AC65" s="515"/>
      <c r="AD65" s="515"/>
      <c r="AE65" s="515"/>
    </row>
    <row r="66" spans="1:31" ht="15" thickBot="1">
      <c r="A66" s="528"/>
      <c r="B66" s="562">
        <v>750000</v>
      </c>
      <c r="C66" s="362">
        <f t="shared" ref="C66:H66" si="6">C65+1.5%</f>
        <v>2.35E-2</v>
      </c>
      <c r="D66" s="362">
        <f t="shared" si="6"/>
        <v>2.8499999999999998E-2</v>
      </c>
      <c r="E66" s="362">
        <f t="shared" si="6"/>
        <v>2.9499999999999998E-2</v>
      </c>
      <c r="F66" s="362">
        <f t="shared" si="6"/>
        <v>3.2000000000000001E-2</v>
      </c>
      <c r="G66" s="362">
        <f t="shared" si="6"/>
        <v>3.3500000000000002E-2</v>
      </c>
      <c r="H66" s="362">
        <f t="shared" si="6"/>
        <v>4.9000000000000002E-2</v>
      </c>
      <c r="I66" s="528"/>
      <c r="J66" s="529"/>
      <c r="K66" s="521"/>
      <c r="L66" s="528"/>
      <c r="M66" s="538">
        <v>2000000</v>
      </c>
      <c r="N66" s="304">
        <v>4.1000000000000002E-2</v>
      </c>
      <c r="O66" s="305">
        <v>4.3999999999999997E-2</v>
      </c>
      <c r="P66" s="305">
        <v>4.5999999999999999E-2</v>
      </c>
      <c r="Q66" s="306">
        <v>6.1499999999999999E-2</v>
      </c>
      <c r="R66" s="528"/>
      <c r="S66" s="529"/>
      <c r="T66" s="515"/>
      <c r="U66" s="515"/>
      <c r="V66" s="515"/>
      <c r="W66" s="515"/>
      <c r="X66" s="515"/>
      <c r="Y66" s="515"/>
      <c r="Z66" s="515"/>
      <c r="AA66" s="515"/>
      <c r="AB66" s="515"/>
      <c r="AC66" s="515"/>
      <c r="AD66" s="515"/>
      <c r="AE66" s="515"/>
    </row>
    <row r="67" spans="1:31" ht="15" thickTop="1">
      <c r="A67" s="528"/>
      <c r="B67" s="562">
        <v>900000</v>
      </c>
      <c r="C67" s="363">
        <f>C65+2.49%</f>
        <v>3.3399999999999999E-2</v>
      </c>
      <c r="D67" s="363">
        <f t="shared" ref="D67:H67" si="7">D65+2.49%</f>
        <v>3.8400000000000004E-2</v>
      </c>
      <c r="E67" s="363">
        <f t="shared" si="7"/>
        <v>3.9400000000000004E-2</v>
      </c>
      <c r="F67" s="363">
        <f t="shared" si="7"/>
        <v>4.1900000000000007E-2</v>
      </c>
      <c r="G67" s="363">
        <f t="shared" si="7"/>
        <v>4.3400000000000001E-2</v>
      </c>
      <c r="H67" s="363">
        <f t="shared" si="7"/>
        <v>5.8900000000000008E-2</v>
      </c>
      <c r="I67" s="528"/>
      <c r="J67" s="529"/>
      <c r="K67" s="521"/>
      <c r="L67" s="528"/>
      <c r="M67" s="316"/>
      <c r="N67" s="316"/>
      <c r="O67" s="528"/>
      <c r="P67" s="528"/>
      <c r="Q67" s="528"/>
      <c r="R67" s="297"/>
      <c r="S67" s="317"/>
      <c r="T67" s="515"/>
      <c r="U67" s="515"/>
      <c r="V67" s="515"/>
      <c r="W67" s="515"/>
      <c r="X67" s="515"/>
      <c r="Y67" s="515"/>
      <c r="Z67" s="515"/>
      <c r="AA67" s="515"/>
      <c r="AB67" s="515"/>
      <c r="AC67" s="515"/>
      <c r="AD67" s="515"/>
      <c r="AE67" s="515"/>
    </row>
    <row r="68" spans="1:31" ht="15.5">
      <c r="A68" s="528"/>
      <c r="B68" s="364"/>
      <c r="C68" s="364"/>
      <c r="D68" s="563"/>
      <c r="E68" s="563"/>
      <c r="F68" s="563"/>
      <c r="G68" s="563"/>
      <c r="H68" s="563"/>
      <c r="I68" s="297"/>
      <c r="J68" s="317"/>
      <c r="K68" s="521"/>
      <c r="L68" s="528"/>
      <c r="M68" s="320"/>
      <c r="N68" s="546" t="str">
        <f>IF($B$3&lt;=N62, "1", "0")</f>
        <v>0</v>
      </c>
      <c r="O68" s="546" t="str">
        <f>IF(AND(N62&lt;$B$3,$B$3&lt;=O62), "1", "0")</f>
        <v>1</v>
      </c>
      <c r="P68" s="546" t="str">
        <f t="shared" ref="P68:Q68" si="8">IF(AND(O62&lt;$B$3,$B$3&lt;=P62), "1", "0")</f>
        <v>0</v>
      </c>
      <c r="Q68" s="546" t="str">
        <f t="shared" si="8"/>
        <v>0</v>
      </c>
      <c r="R68" s="297"/>
      <c r="S68" s="529"/>
      <c r="T68" s="515"/>
      <c r="U68" s="515"/>
      <c r="V68" s="515"/>
      <c r="W68" s="515"/>
      <c r="X68" s="515"/>
      <c r="Y68" s="515"/>
      <c r="Z68" s="515"/>
      <c r="AA68" s="515"/>
      <c r="AB68" s="515"/>
      <c r="AC68" s="515"/>
      <c r="AD68" s="515"/>
      <c r="AE68" s="515"/>
    </row>
    <row r="69" spans="1:31" ht="15.5">
      <c r="A69" s="528"/>
      <c r="B69" s="366"/>
      <c r="C69" s="564" t="str">
        <f>IF($B$3&lt;C62, "1", "0")</f>
        <v>0</v>
      </c>
      <c r="D69" s="564" t="str">
        <f>IF(AND(C62&lt;=$B$3,$B$3&lt;D62), "1", "0")</f>
        <v>0</v>
      </c>
      <c r="E69" s="564" t="str">
        <f>IF(AND(D62&lt;=$B$3,$B$3&lt;E62), "1", "0")</f>
        <v>0</v>
      </c>
      <c r="F69" s="564" t="str">
        <f t="shared" ref="F69:G69" si="9">IF(AND(E62&lt;=$B$3,$B$3&lt;F62), "1", "0")</f>
        <v>0</v>
      </c>
      <c r="G69" s="564" t="str">
        <f t="shared" si="9"/>
        <v>1</v>
      </c>
      <c r="H69" s="564" t="str">
        <f>IF(AND(G62&lt;=$B$3,$B$3&lt;=H62),"1","0")</f>
        <v>0</v>
      </c>
      <c r="I69" s="297"/>
      <c r="J69" s="529"/>
      <c r="K69" s="521"/>
      <c r="L69" s="528"/>
      <c r="M69" s="528" t="str">
        <f>IF( $B$2&lt;=M63,"1", "0")</f>
        <v>0</v>
      </c>
      <c r="N69" s="297">
        <f>N63</f>
        <v>1.15E-2</v>
      </c>
      <c r="O69" s="297">
        <f t="shared" ref="O69:Q69" si="10">O63</f>
        <v>1.4500000000000001E-2</v>
      </c>
      <c r="P69" s="297">
        <f t="shared" si="10"/>
        <v>1.6500000000000001E-2</v>
      </c>
      <c r="Q69" s="297">
        <f t="shared" si="10"/>
        <v>3.2000000000000001E-2</v>
      </c>
      <c r="R69" s="297"/>
      <c r="S69" s="529"/>
      <c r="T69" s="515"/>
      <c r="U69" s="515"/>
      <c r="V69" s="515"/>
      <c r="W69" s="515"/>
      <c r="X69" s="515"/>
      <c r="Y69" s="515"/>
      <c r="Z69" s="515"/>
      <c r="AA69" s="515"/>
      <c r="AB69" s="515"/>
      <c r="AC69" s="515"/>
      <c r="AD69" s="515"/>
      <c r="AE69" s="515"/>
    </row>
    <row r="70" spans="1:31" ht="15.5">
      <c r="A70" s="528"/>
      <c r="B70" s="563" t="str">
        <f>IF(AND($B$2&gt;=B63, $B$2&lt;B64),"1", "0")</f>
        <v>0</v>
      </c>
      <c r="C70" s="360">
        <v>1.5E-3</v>
      </c>
      <c r="D70" s="360">
        <v>7.0000000000000001E-3</v>
      </c>
      <c r="E70" s="360">
        <v>1.15E-2</v>
      </c>
      <c r="F70" s="360">
        <v>1.4500000000000001E-2</v>
      </c>
      <c r="G70" s="360">
        <v>1.6500000000000001E-2</v>
      </c>
      <c r="H70" s="361">
        <v>3.2000000000000001E-2</v>
      </c>
      <c r="I70" s="297"/>
      <c r="J70" s="529"/>
      <c r="K70" s="515"/>
      <c r="L70" s="528"/>
      <c r="M70" s="528" t="str">
        <f>IF(AND($B$2&gt;M63, $B$2&lt;=M64),"1", "0")</f>
        <v>1</v>
      </c>
      <c r="N70" s="297">
        <f t="shared" ref="N70:Q72" si="11">N64</f>
        <v>1.2500000000000001E-2</v>
      </c>
      <c r="O70" s="297">
        <f t="shared" si="11"/>
        <v>1.55E-2</v>
      </c>
      <c r="P70" s="297">
        <f t="shared" si="11"/>
        <v>1.7500000000000002E-2</v>
      </c>
      <c r="Q70" s="297">
        <f t="shared" si="11"/>
        <v>3.3000000000000002E-2</v>
      </c>
      <c r="R70" s="297"/>
      <c r="S70" s="529"/>
      <c r="T70" s="515"/>
      <c r="U70" s="515"/>
      <c r="V70" s="515"/>
      <c r="W70" s="515"/>
      <c r="X70" s="515"/>
      <c r="Y70" s="515"/>
      <c r="Z70" s="515"/>
      <c r="AA70" s="515"/>
      <c r="AB70" s="515"/>
      <c r="AC70" s="515"/>
      <c r="AD70" s="515"/>
      <c r="AE70" s="515"/>
    </row>
    <row r="71" spans="1:31" ht="15.5">
      <c r="A71" s="528"/>
      <c r="B71" s="563" t="str">
        <f t="shared" ref="B71:B72" si="12">IF(AND($B$2&gt;=B64, $B$2&lt;B65),"1", "0")</f>
        <v>1</v>
      </c>
      <c r="C71" s="360">
        <v>3.0000000000000001E-3</v>
      </c>
      <c r="D71" s="360">
        <v>8.5000000000000006E-3</v>
      </c>
      <c r="E71" s="360">
        <v>1.2999999999999999E-2</v>
      </c>
      <c r="F71" s="360">
        <v>1.6E-2</v>
      </c>
      <c r="G71" s="360">
        <v>1.7999999999999999E-2</v>
      </c>
      <c r="H71" s="361">
        <v>3.3500000000000002E-2</v>
      </c>
      <c r="I71" s="297"/>
      <c r="J71" s="529"/>
      <c r="K71" s="515"/>
      <c r="L71" s="528"/>
      <c r="M71" s="528" t="str">
        <f t="shared" ref="M71:M72" si="13">IF(AND($B$2&gt;M64, $B$2&lt;=M65),"1", "0")</f>
        <v>0</v>
      </c>
      <c r="N71" s="297">
        <f t="shared" si="11"/>
        <v>1.35E-2</v>
      </c>
      <c r="O71" s="297">
        <f t="shared" si="11"/>
        <v>1.6500000000000001E-2</v>
      </c>
      <c r="P71" s="297">
        <f t="shared" si="11"/>
        <v>1.8499999999999999E-2</v>
      </c>
      <c r="Q71" s="297">
        <f t="shared" si="11"/>
        <v>3.4000000000000002E-2</v>
      </c>
      <c r="R71" s="528"/>
      <c r="S71" s="529"/>
      <c r="T71" s="515"/>
      <c r="U71" s="515"/>
      <c r="V71" s="515"/>
      <c r="W71" s="515"/>
      <c r="X71" s="515"/>
      <c r="Y71" s="515"/>
      <c r="Z71" s="515"/>
      <c r="AA71" s="515"/>
      <c r="AB71" s="515"/>
      <c r="AC71" s="515"/>
      <c r="AD71" s="515"/>
      <c r="AE71" s="515"/>
    </row>
    <row r="72" spans="1:31" ht="15.5">
      <c r="A72" s="528"/>
      <c r="B72" s="563" t="str">
        <f t="shared" si="12"/>
        <v>0</v>
      </c>
      <c r="C72" s="361">
        <v>8.5000000000000006E-3</v>
      </c>
      <c r="D72" s="361">
        <v>1.35E-2</v>
      </c>
      <c r="E72" s="360">
        <v>1.4500000000000001E-2</v>
      </c>
      <c r="F72" s="360">
        <v>1.7000000000000001E-2</v>
      </c>
      <c r="G72" s="360">
        <v>1.8499999999999999E-2</v>
      </c>
      <c r="H72" s="361">
        <v>3.4000000000000002E-2</v>
      </c>
      <c r="I72" s="528"/>
      <c r="J72" s="529"/>
      <c r="K72" s="515"/>
      <c r="L72" s="528"/>
      <c r="M72" s="528" t="str">
        <f t="shared" si="13"/>
        <v>0</v>
      </c>
      <c r="N72" s="297">
        <f t="shared" si="11"/>
        <v>4.1000000000000002E-2</v>
      </c>
      <c r="O72" s="297">
        <f t="shared" si="11"/>
        <v>4.3999999999999997E-2</v>
      </c>
      <c r="P72" s="297">
        <f t="shared" si="11"/>
        <v>4.5999999999999999E-2</v>
      </c>
      <c r="Q72" s="297">
        <f t="shared" si="11"/>
        <v>6.1499999999999999E-2</v>
      </c>
      <c r="R72" s="528"/>
      <c r="S72" s="529"/>
      <c r="T72" s="515"/>
      <c r="U72" s="515"/>
      <c r="V72" s="515"/>
      <c r="W72" s="515"/>
      <c r="X72" s="515"/>
      <c r="Y72" s="515"/>
      <c r="Z72" s="515"/>
      <c r="AA72" s="515"/>
      <c r="AB72" s="515"/>
      <c r="AC72" s="515"/>
      <c r="AD72" s="515"/>
      <c r="AE72" s="515"/>
    </row>
    <row r="73" spans="1:31" ht="15.5">
      <c r="A73" s="528"/>
      <c r="B73" s="563" t="str">
        <f>IF(AND($B$2&gt;=B66, $B$2&lt;B67),"1", "0")</f>
        <v>0</v>
      </c>
      <c r="C73" s="361">
        <f t="shared" ref="C73:H73" si="14">C72+1.5%</f>
        <v>2.35E-2</v>
      </c>
      <c r="D73" s="361">
        <f t="shared" si="14"/>
        <v>2.8499999999999998E-2</v>
      </c>
      <c r="E73" s="361">
        <f t="shared" si="14"/>
        <v>2.9499999999999998E-2</v>
      </c>
      <c r="F73" s="361">
        <f t="shared" si="14"/>
        <v>3.2000000000000001E-2</v>
      </c>
      <c r="G73" s="361">
        <f t="shared" si="14"/>
        <v>3.3500000000000002E-2</v>
      </c>
      <c r="H73" s="361">
        <f t="shared" si="14"/>
        <v>4.9000000000000002E-2</v>
      </c>
      <c r="I73" s="528"/>
      <c r="J73" s="529"/>
      <c r="K73" s="515"/>
      <c r="L73" s="528"/>
      <c r="M73" s="528"/>
      <c r="N73" s="297"/>
      <c r="O73" s="297"/>
      <c r="P73" s="297"/>
      <c r="Q73" s="297"/>
      <c r="R73" s="528"/>
      <c r="S73" s="529"/>
      <c r="T73" s="515"/>
      <c r="U73" s="515"/>
      <c r="V73" s="515"/>
      <c r="W73" s="515"/>
      <c r="X73" s="515"/>
      <c r="Y73" s="515"/>
      <c r="Z73" s="515"/>
      <c r="AA73" s="515"/>
      <c r="AB73" s="515"/>
      <c r="AC73" s="515"/>
      <c r="AD73" s="515"/>
      <c r="AE73" s="515"/>
    </row>
    <row r="74" spans="1:31" ht="16" thickBot="1">
      <c r="A74" s="528"/>
      <c r="B74" s="565" t="str">
        <f>IF(AND($B$2&gt;=B67, $B$2&lt;B68),"1", "0")</f>
        <v>0</v>
      </c>
      <c r="C74" s="369">
        <f>C72+2.49%</f>
        <v>3.3399999999999999E-2</v>
      </c>
      <c r="D74" s="369">
        <f t="shared" ref="D74:H74" si="15">D72+2.49%</f>
        <v>3.8400000000000004E-2</v>
      </c>
      <c r="E74" s="369">
        <f t="shared" si="15"/>
        <v>3.9400000000000004E-2</v>
      </c>
      <c r="F74" s="369">
        <f t="shared" si="15"/>
        <v>4.1900000000000007E-2</v>
      </c>
      <c r="G74" s="369">
        <f t="shared" si="15"/>
        <v>4.3400000000000001E-2</v>
      </c>
      <c r="H74" s="369">
        <f t="shared" si="15"/>
        <v>5.8900000000000008E-2</v>
      </c>
      <c r="I74" s="528"/>
      <c r="J74" s="529"/>
      <c r="K74" s="515"/>
      <c r="L74" s="528" t="s">
        <v>235</v>
      </c>
      <c r="M74" s="528"/>
      <c r="N74" s="528" t="s">
        <v>432</v>
      </c>
      <c r="O74" s="528"/>
      <c r="P74" s="528"/>
      <c r="Q74" s="528" t="s">
        <v>380</v>
      </c>
      <c r="R74" s="528"/>
      <c r="S74" s="529"/>
      <c r="T74" s="515"/>
      <c r="U74" s="515"/>
      <c r="V74" s="515"/>
      <c r="W74" s="515"/>
      <c r="X74" s="515"/>
      <c r="Y74" s="515"/>
      <c r="Z74" s="515"/>
      <c r="AA74" s="515"/>
      <c r="AB74" s="515"/>
      <c r="AC74" s="515"/>
      <c r="AD74" s="515"/>
      <c r="AE74" s="515"/>
    </row>
    <row r="75" spans="1:31" ht="15" thickTop="1">
      <c r="A75" s="528" t="s">
        <v>235</v>
      </c>
      <c r="B75" s="528"/>
      <c r="C75" s="528" t="s">
        <v>432</v>
      </c>
      <c r="D75" s="528"/>
      <c r="E75" s="528"/>
      <c r="F75" s="528"/>
      <c r="G75" s="528"/>
      <c r="H75" s="528"/>
      <c r="I75" s="528"/>
      <c r="J75" s="529"/>
      <c r="K75" s="515"/>
      <c r="L75" s="370">
        <f>VLOOKUP("1",M69:Q72,(MATCH("1",M68:Q68,0)),FALSE)</f>
        <v>1.55E-2</v>
      </c>
      <c r="M75" s="322"/>
      <c r="N75" s="322">
        <v>0</v>
      </c>
      <c r="O75" s="528"/>
      <c r="P75" s="528"/>
      <c r="Q75" s="527">
        <v>0</v>
      </c>
      <c r="R75" s="528"/>
      <c r="S75" s="529"/>
      <c r="T75" s="515"/>
      <c r="U75" s="515"/>
      <c r="V75" s="515"/>
      <c r="W75" s="515"/>
      <c r="X75" s="515"/>
      <c r="Y75" s="515"/>
      <c r="Z75" s="515"/>
      <c r="AA75" s="515"/>
      <c r="AB75" s="515"/>
      <c r="AC75" s="515"/>
      <c r="AD75" s="515"/>
      <c r="AE75" s="515"/>
    </row>
    <row r="76" spans="1:31">
      <c r="A76" s="322">
        <f>VLOOKUP("1",B70:H74,(MATCH("1",B69:H69,0)),FALSE)</f>
        <v>1.7999999999999999E-2</v>
      </c>
      <c r="B76" s="322"/>
      <c r="C76" s="322">
        <v>0</v>
      </c>
      <c r="D76" s="528"/>
      <c r="E76" s="528"/>
      <c r="F76" s="528"/>
      <c r="G76" s="528"/>
      <c r="H76" s="528"/>
      <c r="I76" s="528"/>
      <c r="J76" s="529"/>
      <c r="K76" s="515"/>
      <c r="L76" s="322"/>
      <c r="M76" s="322"/>
      <c r="N76" s="322">
        <v>1.55E-2</v>
      </c>
      <c r="O76" s="528"/>
      <c r="P76" s="528"/>
      <c r="Q76" s="322">
        <v>1.55E-2</v>
      </c>
      <c r="R76" s="528"/>
      <c r="S76" s="529"/>
      <c r="T76" s="515"/>
      <c r="U76" s="515"/>
      <c r="V76" s="515"/>
      <c r="W76" s="515"/>
      <c r="X76" s="515"/>
      <c r="Y76" s="515"/>
      <c r="Z76" s="515"/>
      <c r="AA76" s="515"/>
      <c r="AB76" s="515"/>
      <c r="AC76" s="515"/>
      <c r="AD76" s="515"/>
      <c r="AE76" s="515"/>
    </row>
    <row r="77" spans="1:31">
      <c r="A77" s="322"/>
      <c r="B77" s="322"/>
      <c r="C77" s="528"/>
      <c r="D77" s="528"/>
      <c r="E77" s="528"/>
      <c r="F77" s="528"/>
      <c r="G77" s="528"/>
      <c r="H77" s="528"/>
      <c r="I77" s="528"/>
      <c r="J77" s="529"/>
      <c r="K77" s="515"/>
      <c r="L77" s="322" t="s">
        <v>422</v>
      </c>
      <c r="M77" s="322"/>
      <c r="N77" s="528"/>
      <c r="O77" s="528"/>
      <c r="P77" s="528"/>
      <c r="Q77" s="528"/>
      <c r="R77" s="528"/>
      <c r="S77" s="529"/>
      <c r="T77" s="515"/>
      <c r="U77" s="515"/>
      <c r="V77" s="515"/>
      <c r="W77" s="515"/>
      <c r="X77" s="515"/>
      <c r="Y77" s="515"/>
      <c r="Z77" s="515"/>
      <c r="AA77" s="515"/>
      <c r="AB77" s="515"/>
      <c r="AC77" s="515"/>
      <c r="AD77" s="515"/>
      <c r="AE77" s="515"/>
    </row>
    <row r="78" spans="1:31">
      <c r="A78" s="322" t="s">
        <v>422</v>
      </c>
      <c r="B78" s="322"/>
      <c r="C78" s="528"/>
      <c r="D78" s="528"/>
      <c r="E78" s="528"/>
      <c r="F78" s="528"/>
      <c r="G78" s="528"/>
      <c r="H78" s="528"/>
      <c r="I78" s="528"/>
      <c r="J78" s="529"/>
      <c r="K78" s="515"/>
      <c r="L78" s="325">
        <f>Q76</f>
        <v>1.55E-2</v>
      </c>
      <c r="M78" s="528"/>
      <c r="N78" s="528"/>
      <c r="O78" s="528"/>
      <c r="P78" s="528"/>
      <c r="Q78" s="528"/>
      <c r="R78" s="528"/>
      <c r="S78" s="529"/>
      <c r="T78" s="515"/>
      <c r="U78" s="515"/>
      <c r="V78" s="515"/>
      <c r="W78" s="515"/>
      <c r="X78" s="515"/>
      <c r="Y78" s="515"/>
      <c r="Z78" s="515"/>
      <c r="AA78" s="515"/>
      <c r="AB78" s="515"/>
      <c r="AC78" s="515"/>
      <c r="AD78" s="515"/>
      <c r="AE78" s="515"/>
    </row>
    <row r="79" spans="1:31">
      <c r="A79" s="325">
        <v>1.7999999999999999E-2</v>
      </c>
      <c r="B79" s="528"/>
      <c r="C79" s="528"/>
      <c r="D79" s="528"/>
      <c r="E79" s="528"/>
      <c r="F79" s="528"/>
      <c r="G79" s="528"/>
      <c r="H79" s="528"/>
      <c r="I79" s="528"/>
      <c r="J79" s="529"/>
      <c r="K79" s="515"/>
      <c r="L79" s="327"/>
      <c r="M79" s="528"/>
      <c r="N79" s="528"/>
      <c r="O79" s="528"/>
      <c r="P79" s="528"/>
      <c r="Q79" s="528"/>
      <c r="R79" s="528"/>
      <c r="S79" s="529"/>
      <c r="T79" s="515"/>
      <c r="U79" s="515"/>
      <c r="V79" s="515"/>
      <c r="W79" s="515"/>
      <c r="X79" s="515"/>
      <c r="Y79" s="515"/>
      <c r="Z79" s="515"/>
      <c r="AA79" s="515"/>
      <c r="AB79" s="515"/>
      <c r="AC79" s="515"/>
      <c r="AD79" s="515"/>
      <c r="AE79" s="515"/>
    </row>
    <row r="80" spans="1:31">
      <c r="A80" s="327"/>
      <c r="B80" s="528"/>
      <c r="C80" s="528"/>
      <c r="D80" s="528"/>
      <c r="E80" s="528"/>
      <c r="F80" s="528"/>
      <c r="G80" s="528"/>
      <c r="H80" s="528"/>
      <c r="I80" s="528"/>
      <c r="J80" s="529"/>
      <c r="K80" s="515"/>
      <c r="L80" s="327"/>
      <c r="M80" s="528"/>
      <c r="N80" s="528"/>
      <c r="O80" s="528"/>
      <c r="P80" s="528"/>
      <c r="Q80" s="528"/>
      <c r="R80" s="528"/>
      <c r="S80" s="529"/>
      <c r="T80" s="515"/>
      <c r="U80" s="515"/>
      <c r="V80" s="515"/>
      <c r="W80" s="515"/>
      <c r="X80" s="515"/>
      <c r="Y80" s="515"/>
      <c r="Z80" s="515"/>
      <c r="AA80" s="515"/>
      <c r="AB80" s="515"/>
      <c r="AC80" s="515"/>
      <c r="AD80" s="515"/>
      <c r="AE80" s="515"/>
    </row>
    <row r="81" spans="1:33">
      <c r="A81" s="327"/>
      <c r="B81" s="528"/>
      <c r="C81" s="528"/>
      <c r="D81" s="528"/>
      <c r="E81" s="528"/>
      <c r="F81" s="528"/>
      <c r="G81" s="528"/>
      <c r="H81" s="528"/>
      <c r="I81" s="528"/>
      <c r="J81" s="529"/>
      <c r="K81" s="515"/>
      <c r="L81" s="327"/>
      <c r="M81" s="528"/>
      <c r="N81" s="528"/>
      <c r="O81" s="528"/>
      <c r="P81" s="528"/>
      <c r="Q81" s="528"/>
      <c r="R81" s="528"/>
      <c r="S81" s="529"/>
      <c r="T81" s="515"/>
      <c r="U81" s="515"/>
      <c r="V81" s="515"/>
      <c r="W81" s="515"/>
      <c r="X81" s="515"/>
      <c r="Y81" s="515"/>
      <c r="Z81" s="515"/>
      <c r="AA81" s="515"/>
      <c r="AB81" s="515"/>
      <c r="AC81" s="515"/>
      <c r="AD81" s="515"/>
      <c r="AE81" s="515"/>
    </row>
    <row r="82" spans="1:33" ht="15" thickBot="1">
      <c r="A82" s="327"/>
      <c r="B82" s="528"/>
      <c r="C82" s="528"/>
      <c r="D82" s="528"/>
      <c r="E82" s="528"/>
      <c r="F82" s="528"/>
      <c r="G82" s="528"/>
      <c r="H82" s="528"/>
      <c r="I82" s="528"/>
      <c r="J82" s="529"/>
      <c r="K82" s="515"/>
      <c r="L82" s="330"/>
      <c r="M82" s="552"/>
      <c r="N82" s="552"/>
      <c r="O82" s="552"/>
      <c r="P82" s="552"/>
      <c r="Q82" s="552"/>
      <c r="R82" s="552"/>
      <c r="S82" s="553"/>
      <c r="T82" s="515"/>
      <c r="U82" s="515"/>
      <c r="V82" s="515"/>
      <c r="W82" s="515"/>
      <c r="X82" s="515"/>
      <c r="Y82" s="515"/>
      <c r="Z82" s="515"/>
      <c r="AA82" s="515"/>
      <c r="AB82" s="515"/>
      <c r="AC82" s="515"/>
      <c r="AD82" s="515"/>
      <c r="AE82" s="515"/>
    </row>
    <row r="83" spans="1:33" ht="15" thickBot="1">
      <c r="A83" s="330"/>
      <c r="B83" s="552"/>
      <c r="C83" s="552"/>
      <c r="D83" s="552"/>
      <c r="E83" s="552"/>
      <c r="F83" s="552"/>
      <c r="G83" s="552"/>
      <c r="H83" s="552"/>
      <c r="I83" s="552"/>
      <c r="J83" s="553"/>
      <c r="K83" s="515"/>
      <c r="L83" s="515"/>
      <c r="M83" s="515"/>
      <c r="N83" s="515"/>
      <c r="O83" s="515"/>
      <c r="P83" s="515"/>
      <c r="Q83" s="515"/>
      <c r="R83" s="515"/>
      <c r="S83" s="515"/>
      <c r="T83" s="515"/>
      <c r="U83" s="515"/>
      <c r="V83" s="515"/>
      <c r="W83" s="515"/>
      <c r="X83" s="515"/>
      <c r="Y83" s="515"/>
      <c r="Z83" s="515"/>
      <c r="AA83" s="515"/>
      <c r="AB83" s="515"/>
      <c r="AC83" s="515"/>
      <c r="AD83" s="515"/>
      <c r="AE83" s="515"/>
    </row>
    <row r="84" spans="1:33">
      <c r="A84" s="515"/>
      <c r="B84" s="517"/>
      <c r="C84" s="521"/>
      <c r="D84" s="521"/>
      <c r="E84" s="521"/>
      <c r="F84" s="521"/>
      <c r="G84" s="521"/>
      <c r="H84" s="521"/>
      <c r="I84" s="521"/>
      <c r="J84" s="515"/>
      <c r="K84" s="515"/>
      <c r="L84" s="515"/>
      <c r="M84" s="515"/>
      <c r="N84" s="521"/>
      <c r="O84" s="521"/>
      <c r="P84" s="521"/>
      <c r="Q84" s="521"/>
      <c r="R84" s="521"/>
      <c r="S84" s="521"/>
      <c r="T84" s="515"/>
      <c r="U84" s="515"/>
      <c r="V84" s="515"/>
      <c r="W84" s="515"/>
      <c r="X84" s="515"/>
      <c r="Y84" s="515"/>
      <c r="Z84" s="515"/>
      <c r="AA84" s="515"/>
      <c r="AB84" s="515"/>
      <c r="AC84" s="515"/>
      <c r="AD84" s="515"/>
      <c r="AE84" s="515"/>
    </row>
    <row r="85" spans="1:33">
      <c r="A85" s="515"/>
      <c r="B85" s="517"/>
      <c r="C85" s="521"/>
      <c r="D85" s="521"/>
      <c r="E85" s="521"/>
      <c r="F85" s="521"/>
      <c r="G85" s="521"/>
      <c r="H85" s="521"/>
      <c r="I85" s="521"/>
      <c r="J85" s="515"/>
      <c r="K85" s="515"/>
      <c r="L85" s="515"/>
      <c r="M85" s="517"/>
      <c r="N85" s="521"/>
      <c r="O85" s="521"/>
      <c r="P85" s="521"/>
      <c r="Q85" s="521"/>
      <c r="R85" s="521"/>
      <c r="S85" s="521"/>
      <c r="T85" s="521"/>
      <c r="U85" s="515"/>
      <c r="V85" s="515"/>
      <c r="W85" s="515"/>
      <c r="X85" s="515"/>
      <c r="Y85" s="515"/>
      <c r="Z85" s="515"/>
      <c r="AA85" s="515"/>
      <c r="AB85" s="515"/>
      <c r="AC85" s="515"/>
      <c r="AD85" s="515"/>
      <c r="AE85" s="515"/>
      <c r="AF85" s="515"/>
      <c r="AG85" s="515"/>
    </row>
    <row r="86" spans="1:33">
      <c r="A86" s="515"/>
      <c r="B86" s="517"/>
      <c r="C86" s="521"/>
      <c r="D86" s="521"/>
      <c r="E86" s="521"/>
      <c r="F86" s="521"/>
      <c r="G86" s="521"/>
      <c r="H86" s="521"/>
      <c r="I86" s="521"/>
      <c r="J86" s="515"/>
      <c r="K86" s="515"/>
      <c r="L86" s="515"/>
      <c r="M86" s="517"/>
      <c r="N86" s="521"/>
      <c r="O86" s="521"/>
      <c r="P86" s="521"/>
      <c r="Q86" s="521"/>
      <c r="R86" s="521"/>
      <c r="S86" s="521"/>
      <c r="T86" s="521"/>
      <c r="U86" s="515"/>
      <c r="V86" s="515"/>
      <c r="W86" s="515"/>
      <c r="X86" s="515"/>
      <c r="Y86" s="515"/>
      <c r="Z86" s="515"/>
      <c r="AA86" s="515"/>
      <c r="AB86" s="515"/>
      <c r="AC86" s="515"/>
      <c r="AD86" s="515"/>
      <c r="AE86" s="515"/>
      <c r="AF86" s="515"/>
      <c r="AG86" s="515"/>
    </row>
    <row r="87" spans="1:33">
      <c r="A87" s="515"/>
      <c r="B87" s="517"/>
      <c r="C87" s="521"/>
      <c r="D87" s="521"/>
      <c r="E87" s="521"/>
      <c r="F87" s="521"/>
      <c r="G87" s="521"/>
      <c r="H87" s="521"/>
      <c r="I87" s="521"/>
      <c r="J87" s="515"/>
      <c r="K87" s="515"/>
      <c r="L87" s="515"/>
      <c r="M87" s="517"/>
      <c r="N87" s="521"/>
      <c r="O87" s="521"/>
      <c r="P87" s="521"/>
      <c r="Q87" s="521"/>
      <c r="R87" s="521"/>
      <c r="S87" s="521"/>
      <c r="T87" s="521"/>
      <c r="U87" s="515"/>
      <c r="V87" s="515"/>
      <c r="W87" s="515"/>
      <c r="X87" s="515"/>
      <c r="Y87" s="515"/>
      <c r="Z87" s="515"/>
      <c r="AA87" s="515"/>
      <c r="AB87" s="515"/>
      <c r="AC87" s="515"/>
      <c r="AD87" s="515"/>
      <c r="AE87" s="515"/>
      <c r="AF87" s="515"/>
      <c r="AG87" s="515"/>
    </row>
    <row r="88" spans="1:33">
      <c r="A88" s="515"/>
      <c r="B88" s="517"/>
      <c r="C88" s="521"/>
      <c r="D88" s="521"/>
      <c r="E88" s="521"/>
      <c r="F88" s="521"/>
      <c r="G88" s="521"/>
      <c r="H88" s="521"/>
      <c r="I88" s="521"/>
      <c r="J88" s="515"/>
      <c r="K88" s="515"/>
      <c r="L88" s="515"/>
      <c r="M88" s="517"/>
      <c r="N88" s="521"/>
      <c r="O88" s="521"/>
      <c r="P88" s="521"/>
      <c r="Q88" s="521"/>
      <c r="R88" s="521"/>
      <c r="S88" s="521"/>
      <c r="T88" s="521"/>
      <c r="U88" s="515"/>
      <c r="V88" s="515"/>
      <c r="W88" s="515"/>
      <c r="X88" s="515"/>
      <c r="Y88" s="515"/>
      <c r="Z88" s="515"/>
      <c r="AA88" s="515"/>
      <c r="AB88" s="515"/>
      <c r="AC88" s="515"/>
      <c r="AD88" s="515"/>
      <c r="AE88" s="515"/>
      <c r="AF88" s="515"/>
      <c r="AG88" s="515"/>
    </row>
    <row r="89" spans="1:33">
      <c r="A89" s="566" t="s">
        <v>433</v>
      </c>
      <c r="B89" s="566"/>
      <c r="C89" s="566"/>
      <c r="D89" s="566"/>
      <c r="E89" s="566"/>
      <c r="F89" s="566"/>
      <c r="G89" s="566"/>
      <c r="H89" s="566"/>
      <c r="I89" s="566"/>
      <c r="J89" s="566"/>
      <c r="K89" s="515"/>
      <c r="L89" s="515"/>
      <c r="M89" s="515"/>
      <c r="N89" s="515"/>
      <c r="O89" s="515"/>
      <c r="P89" s="515"/>
      <c r="Q89" s="515"/>
      <c r="R89" s="515"/>
      <c r="S89" s="521"/>
      <c r="T89" s="515"/>
      <c r="U89" s="515"/>
      <c r="V89" s="515"/>
      <c r="W89" s="515"/>
      <c r="X89" s="515"/>
      <c r="Y89" s="515"/>
      <c r="Z89" s="515"/>
      <c r="AA89" s="515"/>
      <c r="AB89" s="515"/>
      <c r="AC89" s="515"/>
      <c r="AD89" s="515"/>
      <c r="AE89" s="515"/>
      <c r="AF89" s="515"/>
    </row>
    <row r="90" spans="1:33">
      <c r="A90" s="566"/>
      <c r="B90" s="566"/>
      <c r="C90" s="372"/>
      <c r="D90" s="372"/>
      <c r="E90" s="372"/>
      <c r="F90" s="372"/>
      <c r="G90" s="372"/>
      <c r="H90" s="372"/>
      <c r="I90" s="566"/>
      <c r="J90" s="566"/>
      <c r="K90" s="515"/>
      <c r="L90" s="515"/>
      <c r="M90" s="515"/>
      <c r="N90" s="515"/>
      <c r="O90" s="515"/>
      <c r="P90" s="515"/>
      <c r="Q90" s="515"/>
      <c r="R90" s="515"/>
      <c r="S90" s="515"/>
      <c r="T90" s="515"/>
      <c r="U90" s="515"/>
      <c r="V90" s="515"/>
      <c r="W90" s="515"/>
      <c r="X90" s="515"/>
      <c r="Y90" s="515"/>
      <c r="Z90" s="515"/>
      <c r="AA90" s="515"/>
      <c r="AB90" s="515"/>
      <c r="AC90" s="515"/>
      <c r="AD90" s="515"/>
      <c r="AE90" s="515"/>
      <c r="AF90" s="515"/>
    </row>
    <row r="91" spans="1:33" ht="15" thickBot="1">
      <c r="A91" s="566"/>
      <c r="B91" s="566"/>
      <c r="C91" s="567"/>
      <c r="D91" s="566"/>
      <c r="E91" s="566"/>
      <c r="F91" s="566"/>
      <c r="G91" s="566"/>
      <c r="H91" s="374"/>
      <c r="I91" s="566"/>
      <c r="J91" s="566"/>
      <c r="K91" s="515"/>
      <c r="L91" s="515"/>
      <c r="M91" s="521"/>
      <c r="N91" s="521"/>
      <c r="O91" s="521"/>
      <c r="P91" s="521"/>
      <c r="Q91" s="521"/>
      <c r="R91" s="521"/>
      <c r="S91" s="515"/>
      <c r="T91" s="515"/>
      <c r="U91" s="515"/>
      <c r="V91" s="515"/>
      <c r="W91" s="515"/>
      <c r="X91" s="515"/>
      <c r="Y91" s="515"/>
      <c r="Z91" s="515"/>
      <c r="AA91" s="515"/>
      <c r="AB91" s="515"/>
      <c r="AC91" s="515"/>
      <c r="AD91" s="515"/>
      <c r="AE91" s="515"/>
      <c r="AF91" s="515"/>
    </row>
    <row r="92" spans="1:33" ht="15.5">
      <c r="A92" s="566"/>
      <c r="B92" s="566"/>
      <c r="C92" s="568"/>
      <c r="D92" s="376">
        <v>0.55000000000000004</v>
      </c>
      <c r="E92" s="376">
        <v>0.6</v>
      </c>
      <c r="F92" s="376">
        <v>0.65</v>
      </c>
      <c r="G92" s="376">
        <v>0.7</v>
      </c>
      <c r="H92" s="377">
        <v>0.75</v>
      </c>
      <c r="I92" s="569"/>
      <c r="J92" s="566"/>
      <c r="K92" s="515"/>
      <c r="L92" s="515"/>
      <c r="M92" s="521"/>
      <c r="N92" s="521"/>
      <c r="O92" s="521"/>
      <c r="P92" s="521"/>
      <c r="Q92" s="521"/>
      <c r="R92" s="521"/>
      <c r="S92" s="521"/>
      <c r="T92" s="515"/>
      <c r="U92" s="515"/>
      <c r="V92" s="515"/>
      <c r="W92" s="515"/>
      <c r="X92" s="515"/>
      <c r="Y92" s="515"/>
      <c r="Z92" s="515"/>
      <c r="AA92" s="515"/>
      <c r="AB92" s="515"/>
      <c r="AC92" s="515"/>
      <c r="AD92" s="515"/>
      <c r="AE92" s="515"/>
      <c r="AF92" s="515"/>
    </row>
    <row r="93" spans="1:33" ht="15.5">
      <c r="A93" s="566"/>
      <c r="B93" s="566"/>
      <c r="C93" s="562">
        <v>499999</v>
      </c>
      <c r="D93" s="379">
        <v>8.9999999999999993E-3</v>
      </c>
      <c r="E93" s="379">
        <v>1.0999999999999999E-2</v>
      </c>
      <c r="F93" s="379">
        <v>1.2999999999999999E-2</v>
      </c>
      <c r="G93" s="379">
        <v>1.4999999999999999E-2</v>
      </c>
      <c r="H93" s="380">
        <v>1.7000000000000001E-2</v>
      </c>
      <c r="I93" s="569"/>
      <c r="J93" s="566"/>
      <c r="K93" s="515"/>
      <c r="L93" s="515"/>
      <c r="M93" s="521"/>
      <c r="N93" s="521"/>
      <c r="O93" s="521"/>
      <c r="P93" s="521"/>
      <c r="Q93" s="521"/>
      <c r="R93" s="521"/>
      <c r="S93" s="521"/>
      <c r="T93" s="515"/>
      <c r="U93" s="515"/>
      <c r="V93" s="515"/>
      <c r="W93" s="515"/>
      <c r="X93" s="515"/>
      <c r="Y93" s="515"/>
      <c r="Z93" s="515"/>
      <c r="AA93" s="515"/>
      <c r="AB93" s="515"/>
      <c r="AC93" s="515"/>
      <c r="AD93" s="515"/>
      <c r="AE93" s="515"/>
      <c r="AF93" s="515"/>
    </row>
    <row r="94" spans="1:33" ht="15.5">
      <c r="A94" s="566"/>
      <c r="B94" s="566"/>
      <c r="C94" s="562">
        <v>749999</v>
      </c>
      <c r="D94" s="379">
        <v>1.0999999999999999E-2</v>
      </c>
      <c r="E94" s="379">
        <v>1.2999999999999999E-2</v>
      </c>
      <c r="F94" s="379">
        <v>1.4999999999999999E-2</v>
      </c>
      <c r="G94" s="379">
        <v>1.7000000000000001E-2</v>
      </c>
      <c r="H94" s="380">
        <v>1.9E-2</v>
      </c>
      <c r="I94" s="569"/>
      <c r="J94" s="566"/>
      <c r="K94" s="515"/>
      <c r="L94" s="515"/>
      <c r="M94" s="521"/>
      <c r="N94" s="521"/>
      <c r="O94" s="521"/>
      <c r="P94" s="521"/>
      <c r="Q94" s="521"/>
      <c r="R94" s="521"/>
      <c r="S94" s="521"/>
      <c r="T94" s="515"/>
      <c r="U94" s="515"/>
      <c r="V94" s="515"/>
      <c r="W94" s="515"/>
      <c r="X94" s="515"/>
      <c r="Y94" s="515"/>
      <c r="Z94" s="515"/>
      <c r="AA94" s="515"/>
      <c r="AB94" s="515"/>
      <c r="AC94" s="515"/>
      <c r="AD94" s="515"/>
      <c r="AE94" s="515"/>
      <c r="AF94" s="515"/>
    </row>
    <row r="95" spans="1:33" ht="15.5">
      <c r="A95" s="566"/>
      <c r="B95" s="566"/>
      <c r="C95" s="562">
        <v>999999</v>
      </c>
      <c r="D95" s="379">
        <v>1.2999999999999999E-2</v>
      </c>
      <c r="E95" s="379">
        <v>1.4999999999999999E-2</v>
      </c>
      <c r="F95" s="379">
        <v>1.7000000000000001E-2</v>
      </c>
      <c r="G95" s="379">
        <v>1.9E-2</v>
      </c>
      <c r="H95" s="380">
        <v>2.1000000000000001E-2</v>
      </c>
      <c r="I95" s="569"/>
      <c r="J95" s="566"/>
      <c r="K95" s="515"/>
      <c r="L95" s="515"/>
      <c r="M95" s="515"/>
      <c r="N95" s="515"/>
      <c r="O95" s="515"/>
      <c r="P95" s="515"/>
      <c r="Q95" s="515"/>
      <c r="R95" s="515"/>
      <c r="S95" s="521"/>
      <c r="T95" s="515"/>
      <c r="U95" s="515"/>
      <c r="V95" s="515"/>
      <c r="W95" s="515"/>
      <c r="X95" s="515"/>
      <c r="Y95" s="515"/>
      <c r="Z95" s="515"/>
      <c r="AA95" s="515"/>
      <c r="AB95" s="515"/>
      <c r="AC95" s="515"/>
      <c r="AD95" s="515"/>
      <c r="AE95" s="515"/>
      <c r="AF95" s="515"/>
    </row>
    <row r="96" spans="1:33" ht="16" thickBot="1">
      <c r="A96" s="566"/>
      <c r="B96" s="566"/>
      <c r="C96" s="562">
        <v>1500000</v>
      </c>
      <c r="D96" s="381">
        <v>1.4999999999999999E-2</v>
      </c>
      <c r="E96" s="381">
        <v>1.7000000000000001E-2</v>
      </c>
      <c r="F96" s="381">
        <v>1.9E-2</v>
      </c>
      <c r="G96" s="381">
        <v>2.1000000000000001E-2</v>
      </c>
      <c r="H96" s="382">
        <v>2.3E-2</v>
      </c>
      <c r="I96" s="569"/>
      <c r="J96" s="566"/>
      <c r="K96" s="515"/>
      <c r="L96" s="515"/>
      <c r="M96" s="515"/>
      <c r="N96" s="515"/>
      <c r="O96" s="515"/>
      <c r="P96" s="515"/>
      <c r="Q96" s="515"/>
      <c r="R96" s="515"/>
      <c r="S96" s="515"/>
      <c r="T96" s="515"/>
      <c r="U96" s="515"/>
      <c r="V96" s="515"/>
      <c r="W96" s="515"/>
      <c r="X96" s="515"/>
      <c r="Y96" s="515"/>
      <c r="Z96" s="515"/>
      <c r="AA96" s="515"/>
      <c r="AB96" s="515"/>
      <c r="AC96" s="515"/>
      <c r="AD96" s="515"/>
      <c r="AE96" s="515"/>
      <c r="AF96" s="515"/>
    </row>
    <row r="97" spans="1:32" ht="15.5">
      <c r="A97" s="566"/>
      <c r="B97" s="566"/>
      <c r="C97" s="383"/>
      <c r="D97" s="569"/>
      <c r="E97" s="569"/>
      <c r="F97" s="569"/>
      <c r="G97" s="569"/>
      <c r="H97" s="384"/>
      <c r="I97" s="569"/>
      <c r="J97" s="566"/>
      <c r="K97" s="521"/>
      <c r="L97" s="521"/>
      <c r="M97" s="515"/>
      <c r="N97" s="515"/>
      <c r="O97" s="515"/>
      <c r="P97" s="515"/>
      <c r="Q97" s="515"/>
      <c r="R97" s="515"/>
      <c r="S97" s="515"/>
      <c r="T97" s="515"/>
      <c r="U97" s="515"/>
      <c r="V97" s="515"/>
      <c r="W97" s="515"/>
      <c r="X97" s="515"/>
      <c r="Y97" s="515"/>
      <c r="Z97" s="515"/>
      <c r="AA97" s="515"/>
      <c r="AB97" s="515"/>
      <c r="AC97" s="515"/>
      <c r="AD97" s="515"/>
      <c r="AE97" s="515"/>
      <c r="AF97" s="515"/>
    </row>
    <row r="98" spans="1:32" ht="15.5">
      <c r="A98" s="566"/>
      <c r="B98" s="566"/>
      <c r="C98" s="385"/>
      <c r="D98" s="570" t="str">
        <f>IF($B$3&lt;=D92, "1", "0")</f>
        <v>0</v>
      </c>
      <c r="E98" s="570" t="str">
        <f>IF(AND(D92&lt;$B$3,$B$3&lt;=E92), "1", "0")</f>
        <v>1</v>
      </c>
      <c r="F98" s="570" t="str">
        <f t="shared" ref="F98" si="16">IF(AND(E92&lt;$B$3,$B$3&lt;=F92), "1", "0")</f>
        <v>0</v>
      </c>
      <c r="G98" s="570" t="str">
        <f>IF(AND(F92&lt;$B$3,$B$3&lt;=G92), "1", "0")</f>
        <v>0</v>
      </c>
      <c r="H98" s="570" t="str">
        <f t="shared" ref="H98" si="17">IF(AND(G92&lt;$B$3,$B$3&lt;=H92), "1", "0")</f>
        <v>0</v>
      </c>
      <c r="I98" s="569"/>
      <c r="J98" s="566"/>
      <c r="K98" s="521"/>
      <c r="L98" s="515"/>
      <c r="M98" s="515"/>
      <c r="N98" s="515"/>
      <c r="O98" s="515"/>
      <c r="P98" s="515"/>
      <c r="Q98" s="515"/>
      <c r="R98" s="515"/>
      <c r="S98" s="515"/>
      <c r="T98" s="515"/>
      <c r="U98" s="515"/>
      <c r="V98" s="515"/>
      <c r="W98" s="515"/>
      <c r="X98" s="515"/>
      <c r="Y98" s="515"/>
      <c r="Z98" s="515"/>
      <c r="AA98" s="515"/>
      <c r="AB98" s="515"/>
      <c r="AC98" s="515"/>
      <c r="AD98" s="515"/>
      <c r="AE98" s="515"/>
      <c r="AF98" s="515"/>
    </row>
    <row r="99" spans="1:32" ht="15.5">
      <c r="A99" s="566"/>
      <c r="B99" s="566"/>
      <c r="C99" s="569" t="str">
        <f>IF($B$2&lt;=C93,"1", "0")</f>
        <v>1</v>
      </c>
      <c r="D99" s="379">
        <f>D93</f>
        <v>8.9999999999999993E-3</v>
      </c>
      <c r="E99" s="379">
        <f t="shared" ref="E99:H99" si="18">E93</f>
        <v>1.0999999999999999E-2</v>
      </c>
      <c r="F99" s="379">
        <f t="shared" si="18"/>
        <v>1.2999999999999999E-2</v>
      </c>
      <c r="G99" s="379">
        <f t="shared" si="18"/>
        <v>1.4999999999999999E-2</v>
      </c>
      <c r="H99" s="379">
        <f t="shared" si="18"/>
        <v>1.7000000000000001E-2</v>
      </c>
      <c r="I99" s="569"/>
      <c r="J99" s="566"/>
      <c r="K99" s="515"/>
      <c r="L99" s="515"/>
      <c r="M99" s="515"/>
      <c r="N99" s="515"/>
      <c r="O99" s="515"/>
      <c r="P99" s="515"/>
      <c r="Q99" s="515"/>
      <c r="R99" s="515"/>
      <c r="S99" s="515"/>
      <c r="T99" s="515"/>
      <c r="U99" s="515"/>
      <c r="V99" s="515"/>
      <c r="W99" s="515"/>
      <c r="X99" s="515"/>
      <c r="Y99" s="515"/>
      <c r="Z99" s="515"/>
      <c r="AA99" s="515"/>
      <c r="AB99" s="515"/>
      <c r="AC99" s="515"/>
      <c r="AD99" s="515"/>
      <c r="AE99" s="515"/>
      <c r="AF99" s="515"/>
    </row>
    <row r="100" spans="1:32" ht="15.5">
      <c r="A100" s="566"/>
      <c r="B100" s="566"/>
      <c r="C100" s="569" t="str">
        <f>IF(AND($B$2&gt;C93, $B$2&lt;=C94),"1", "0")</f>
        <v>0</v>
      </c>
      <c r="D100" s="379">
        <f t="shared" ref="D100:H102" si="19">D94</f>
        <v>1.0999999999999999E-2</v>
      </c>
      <c r="E100" s="379">
        <f t="shared" si="19"/>
        <v>1.2999999999999999E-2</v>
      </c>
      <c r="F100" s="379">
        <f t="shared" si="19"/>
        <v>1.4999999999999999E-2</v>
      </c>
      <c r="G100" s="379">
        <f t="shared" si="19"/>
        <v>1.7000000000000001E-2</v>
      </c>
      <c r="H100" s="379">
        <f t="shared" si="19"/>
        <v>1.9E-2</v>
      </c>
      <c r="I100" s="569"/>
      <c r="J100" s="566"/>
      <c r="K100" s="515"/>
      <c r="L100" s="515"/>
      <c r="M100" s="515"/>
      <c r="N100" s="515"/>
      <c r="O100" s="515"/>
      <c r="P100" s="515"/>
      <c r="Q100" s="515"/>
      <c r="R100" s="515"/>
      <c r="S100" s="515"/>
      <c r="T100" s="515"/>
      <c r="U100" s="515"/>
      <c r="V100" s="515"/>
      <c r="W100" s="515"/>
      <c r="X100" s="515"/>
      <c r="Y100" s="515"/>
      <c r="Z100" s="515"/>
      <c r="AA100" s="515"/>
      <c r="AB100" s="515"/>
      <c r="AC100" s="515"/>
      <c r="AD100" s="515"/>
      <c r="AE100" s="515"/>
      <c r="AF100" s="515"/>
    </row>
    <row r="101" spans="1:32" ht="15.5">
      <c r="A101" s="566"/>
      <c r="B101" s="566"/>
      <c r="C101" s="569" t="str">
        <f>IF(AND($B$2&gt;C94, $B$2&lt;=C95),"1", "0")</f>
        <v>0</v>
      </c>
      <c r="D101" s="379">
        <f t="shared" si="19"/>
        <v>1.2999999999999999E-2</v>
      </c>
      <c r="E101" s="379">
        <f t="shared" si="19"/>
        <v>1.4999999999999999E-2</v>
      </c>
      <c r="F101" s="379">
        <f t="shared" si="19"/>
        <v>1.7000000000000001E-2</v>
      </c>
      <c r="G101" s="379">
        <f t="shared" si="19"/>
        <v>1.9E-2</v>
      </c>
      <c r="H101" s="379">
        <f t="shared" si="19"/>
        <v>2.1000000000000001E-2</v>
      </c>
      <c r="I101" s="569"/>
      <c r="J101" s="566"/>
      <c r="K101" s="547"/>
      <c r="L101" s="515"/>
      <c r="M101" s="515"/>
      <c r="N101" s="515"/>
      <c r="O101" s="515"/>
      <c r="P101" s="515"/>
      <c r="Q101" s="515"/>
      <c r="R101" s="515"/>
      <c r="S101" s="515"/>
      <c r="T101" s="515"/>
      <c r="U101" s="515"/>
      <c r="V101" s="515"/>
      <c r="W101" s="515"/>
      <c r="X101" s="515"/>
      <c r="Y101" s="515"/>
      <c r="Z101" s="515"/>
      <c r="AA101" s="515"/>
      <c r="AB101" s="515"/>
      <c r="AC101" s="515"/>
      <c r="AD101" s="515"/>
      <c r="AE101" s="515"/>
      <c r="AF101" s="515"/>
    </row>
    <row r="102" spans="1:32" ht="15.5">
      <c r="A102" s="566"/>
      <c r="B102" s="566"/>
      <c r="C102" s="569" t="str">
        <f>IF(AND($B$2&gt;C95, $B$2&lt;=C96),"1", "0")</f>
        <v>0</v>
      </c>
      <c r="D102" s="379">
        <f t="shared" si="19"/>
        <v>1.4999999999999999E-2</v>
      </c>
      <c r="E102" s="379">
        <f t="shared" si="19"/>
        <v>1.7000000000000001E-2</v>
      </c>
      <c r="F102" s="379">
        <f t="shared" si="19"/>
        <v>1.9E-2</v>
      </c>
      <c r="G102" s="379">
        <f t="shared" si="19"/>
        <v>2.1000000000000001E-2</v>
      </c>
      <c r="H102" s="379">
        <f t="shared" si="19"/>
        <v>2.3E-2</v>
      </c>
      <c r="I102" s="569"/>
      <c r="J102" s="566"/>
      <c r="K102" s="515"/>
      <c r="L102" s="515"/>
      <c r="M102" s="515"/>
      <c r="N102" s="515"/>
      <c r="O102" s="515"/>
      <c r="P102" s="515"/>
      <c r="Q102" s="515"/>
      <c r="R102" s="515"/>
      <c r="S102" s="515"/>
      <c r="T102" s="515"/>
      <c r="U102" s="515"/>
      <c r="V102" s="515"/>
      <c r="W102" s="515"/>
      <c r="X102" s="515"/>
      <c r="Y102" s="515"/>
      <c r="Z102" s="515"/>
      <c r="AA102" s="515"/>
      <c r="AB102" s="515"/>
      <c r="AC102" s="515"/>
      <c r="AD102" s="515"/>
      <c r="AE102" s="515"/>
      <c r="AF102" s="515"/>
    </row>
    <row r="103" spans="1:32" ht="15.5">
      <c r="A103" s="566"/>
      <c r="B103" s="566"/>
      <c r="C103" s="569"/>
      <c r="D103" s="569"/>
      <c r="E103" s="569"/>
      <c r="F103" s="569"/>
      <c r="G103" s="569"/>
      <c r="H103" s="384"/>
      <c r="I103" s="569"/>
      <c r="J103" s="566"/>
      <c r="K103" s="515"/>
      <c r="L103" s="515"/>
      <c r="M103" s="515"/>
      <c r="N103" s="515"/>
      <c r="O103" s="515"/>
      <c r="P103" s="515"/>
      <c r="Q103" s="515"/>
      <c r="R103" s="515"/>
      <c r="S103" s="515"/>
      <c r="T103" s="515"/>
      <c r="U103" s="515"/>
      <c r="V103" s="515"/>
      <c r="W103" s="515"/>
      <c r="X103" s="515"/>
      <c r="Y103" s="515"/>
      <c r="Z103" s="515"/>
      <c r="AA103" s="515"/>
      <c r="AB103" s="515"/>
      <c r="AC103" s="515"/>
      <c r="AD103" s="515"/>
      <c r="AE103" s="515"/>
      <c r="AF103" s="515"/>
    </row>
    <row r="104" spans="1:32" ht="15.5">
      <c r="A104" s="566"/>
      <c r="B104" s="566" t="s">
        <v>235</v>
      </c>
      <c r="C104" s="569"/>
      <c r="D104" s="569"/>
      <c r="E104" s="569"/>
      <c r="F104" s="569"/>
      <c r="G104" s="569"/>
      <c r="H104" s="384"/>
      <c r="I104" s="569"/>
      <c r="J104" s="566"/>
      <c r="S104" s="515"/>
      <c r="T104" s="515"/>
      <c r="U104" s="515"/>
      <c r="V104" s="515"/>
      <c r="W104" s="515"/>
      <c r="X104" s="515"/>
      <c r="Y104" s="515"/>
      <c r="Z104" s="515"/>
      <c r="AA104" s="515"/>
      <c r="AB104" s="515"/>
      <c r="AC104" s="515"/>
      <c r="AD104" s="515"/>
      <c r="AE104" s="515"/>
      <c r="AF104" s="515"/>
    </row>
    <row r="105" spans="1:32" ht="15.5">
      <c r="A105" s="566"/>
      <c r="B105" s="372">
        <f>VLOOKUP("1",C99:H102,(MATCH("1",C98:H98,0)),FALSE)</f>
        <v>1.0999999999999999E-2</v>
      </c>
      <c r="C105" s="387"/>
      <c r="D105" s="387"/>
      <c r="E105" s="569"/>
      <c r="F105" s="569"/>
      <c r="G105" s="569"/>
      <c r="H105" s="384"/>
      <c r="I105" s="569"/>
      <c r="J105" s="566"/>
    </row>
    <row r="106" spans="1:32">
      <c r="A106" s="566"/>
      <c r="B106" s="372"/>
      <c r="C106" s="372"/>
      <c r="D106" s="566"/>
      <c r="E106" s="566"/>
      <c r="F106" s="566"/>
      <c r="G106" s="566"/>
      <c r="H106" s="374"/>
      <c r="I106" s="566"/>
      <c r="J106" s="566"/>
    </row>
    <row r="107" spans="1:32">
      <c r="A107" s="566"/>
      <c r="B107" s="372"/>
      <c r="C107" s="372"/>
      <c r="D107" s="566"/>
      <c r="E107" s="566"/>
      <c r="F107" s="566"/>
      <c r="G107" s="566"/>
      <c r="H107" s="566"/>
      <c r="I107" s="566"/>
      <c r="J107" s="566"/>
    </row>
    <row r="108" spans="1:32">
      <c r="A108" s="566"/>
      <c r="B108" s="372"/>
      <c r="C108" s="566"/>
      <c r="D108" s="566"/>
      <c r="E108" s="566"/>
      <c r="F108" s="566"/>
      <c r="G108" s="566"/>
      <c r="H108" s="566"/>
      <c r="I108" s="566"/>
      <c r="J108" s="566"/>
    </row>
    <row r="109" spans="1:32" ht="15" thickBot="1">
      <c r="A109" s="566"/>
      <c r="B109" s="566"/>
      <c r="C109" s="566"/>
      <c r="D109" s="566"/>
      <c r="E109" s="566"/>
      <c r="F109" s="566"/>
      <c r="G109" s="566"/>
      <c r="H109" s="566"/>
      <c r="I109" s="566"/>
      <c r="J109" s="566"/>
    </row>
    <row r="110" spans="1:32" ht="15" thickBot="1">
      <c r="A110" s="566" t="s">
        <v>434</v>
      </c>
      <c r="B110" s="566"/>
      <c r="C110" s="571"/>
      <c r="D110" s="389">
        <v>0.55000000000000004</v>
      </c>
      <c r="E110" s="390">
        <v>0.6</v>
      </c>
      <c r="F110" s="390">
        <v>0.65</v>
      </c>
      <c r="G110" s="572">
        <v>0.7</v>
      </c>
      <c r="H110" s="573">
        <v>0.75</v>
      </c>
      <c r="I110" s="566"/>
      <c r="J110" s="566"/>
    </row>
    <row r="111" spans="1:32">
      <c r="A111" s="566"/>
      <c r="B111" s="566"/>
      <c r="C111" s="562">
        <v>499999</v>
      </c>
      <c r="D111" s="379">
        <v>8.9999999999999993E-3</v>
      </c>
      <c r="E111" s="379">
        <v>1.0999999999999999E-2</v>
      </c>
      <c r="F111" s="379">
        <v>1.2999999999999999E-2</v>
      </c>
      <c r="G111" s="379">
        <v>1.4999999999999999E-2</v>
      </c>
      <c r="H111" s="393">
        <v>1.7000000000000001E-2</v>
      </c>
      <c r="I111" s="566"/>
      <c r="J111" s="566"/>
    </row>
    <row r="112" spans="1:32" ht="15" thickBot="1">
      <c r="A112" s="566"/>
      <c r="B112" s="394"/>
      <c r="C112" s="562">
        <v>749999</v>
      </c>
      <c r="D112" s="381">
        <v>1.0999999999999999E-2</v>
      </c>
      <c r="E112" s="381">
        <v>1.2999999999999999E-2</v>
      </c>
      <c r="F112" s="381">
        <v>1.4999999999999999E-2</v>
      </c>
      <c r="G112" s="381">
        <v>1.7000000000000001E-2</v>
      </c>
      <c r="H112" s="395">
        <v>1.9E-2</v>
      </c>
      <c r="I112" s="566"/>
      <c r="J112" s="566"/>
    </row>
    <row r="113" spans="1:10" ht="15.5">
      <c r="A113" s="566"/>
      <c r="B113" s="394"/>
      <c r="C113" s="387"/>
      <c r="D113" s="387"/>
      <c r="E113" s="387"/>
      <c r="F113" s="569"/>
      <c r="G113" s="569"/>
      <c r="H113" s="569"/>
      <c r="I113" s="566"/>
      <c r="J113" s="566"/>
    </row>
    <row r="114" spans="1:10" ht="15.5">
      <c r="A114" s="566"/>
      <c r="B114" s="394"/>
      <c r="C114" s="383"/>
      <c r="D114" s="387" t="str">
        <f>IF($B$3&lt;=D110, "1", "0")</f>
        <v>0</v>
      </c>
      <c r="E114" s="387" t="str">
        <f>IF(AND(D110&lt;$B$3,$B$3&lt;=E110), "1", "0")</f>
        <v>1</v>
      </c>
      <c r="F114" s="387" t="str">
        <f>IF(AND(E110&lt;$B$3,$B$3&lt;=F110), "1", "0")</f>
        <v>0</v>
      </c>
      <c r="G114" s="387" t="str">
        <f>IF(AND(F110&lt;$B$3,$B$3&lt;=G110), "1", "0")</f>
        <v>0</v>
      </c>
      <c r="H114" s="387" t="str">
        <f>IF(AND(G110&lt;$B$3,$B$3&lt;=H110), "1", "0")</f>
        <v>0</v>
      </c>
      <c r="I114" s="372"/>
      <c r="J114" s="372"/>
    </row>
    <row r="115" spans="1:10" ht="15.5">
      <c r="A115" s="394"/>
      <c r="B115" s="394"/>
      <c r="C115" s="387" t="str">
        <f>IF($B$2&lt;=C111,"1", "0")</f>
        <v>1</v>
      </c>
      <c r="D115" s="379">
        <v>8.9999999999999993E-3</v>
      </c>
      <c r="E115" s="379">
        <v>1.0999999999999999E-2</v>
      </c>
      <c r="F115" s="379">
        <v>1.2999999999999999E-2</v>
      </c>
      <c r="G115" s="379">
        <v>1.4999999999999999E-2</v>
      </c>
      <c r="H115" s="393">
        <v>1.7000000000000001E-2</v>
      </c>
      <c r="I115" s="372"/>
      <c r="J115" s="372"/>
    </row>
    <row r="116" spans="1:10" ht="16" thickBot="1">
      <c r="A116" s="394"/>
      <c r="B116" s="566"/>
      <c r="C116" s="387" t="str">
        <f>IF(AND($B$2&gt;C111, $B$2&lt;=C112),"1", "0")</f>
        <v>0</v>
      </c>
      <c r="D116" s="381">
        <v>1.0999999999999999E-2</v>
      </c>
      <c r="E116" s="381">
        <v>1.2999999999999999E-2</v>
      </c>
      <c r="F116" s="381">
        <v>1.4999999999999999E-2</v>
      </c>
      <c r="G116" s="381">
        <v>1.7000000000000001E-2</v>
      </c>
      <c r="H116" s="395">
        <v>1.9E-2</v>
      </c>
      <c r="I116" s="372"/>
      <c r="J116" s="372"/>
    </row>
    <row r="117" spans="1:10">
      <c r="A117" s="566"/>
      <c r="B117" s="566"/>
      <c r="C117" s="566"/>
      <c r="D117" s="566"/>
      <c r="E117" s="566"/>
      <c r="F117" s="566"/>
      <c r="G117" s="566"/>
      <c r="H117" s="566"/>
      <c r="I117" s="372"/>
      <c r="J117" s="372"/>
    </row>
    <row r="118" spans="1:10">
      <c r="A118" s="566" t="s">
        <v>235</v>
      </c>
      <c r="B118" s="566"/>
      <c r="C118" s="566"/>
      <c r="D118" s="566"/>
      <c r="E118" s="566"/>
      <c r="F118" s="566"/>
      <c r="G118" s="566"/>
      <c r="H118" s="566"/>
      <c r="I118" s="372"/>
      <c r="J118" s="372"/>
    </row>
    <row r="119" spans="1:10">
      <c r="A119" s="396">
        <f>VLOOKUP("1",C115:H116,(MATCH("1",C114:H114,0)),FALSE)</f>
        <v>1.0999999999999999E-2</v>
      </c>
      <c r="B119" s="566"/>
      <c r="C119" s="566"/>
      <c r="D119" s="566"/>
      <c r="E119" s="566"/>
      <c r="F119" s="566"/>
      <c r="G119" s="566"/>
      <c r="H119" s="566"/>
      <c r="I119" s="372"/>
      <c r="J119" s="372"/>
    </row>
    <row r="120" spans="1:10">
      <c r="A120" s="566"/>
      <c r="B120" s="566"/>
      <c r="C120" s="566"/>
      <c r="D120" s="566"/>
      <c r="E120" s="566"/>
      <c r="F120" s="566"/>
      <c r="G120" s="566"/>
      <c r="H120" s="566"/>
      <c r="I120" s="372"/>
      <c r="J120" s="372"/>
    </row>
    <row r="121" spans="1:10">
      <c r="A121" s="566" t="s">
        <v>422</v>
      </c>
      <c r="B121" s="566"/>
      <c r="C121" s="566"/>
      <c r="D121" s="566"/>
      <c r="E121" s="566"/>
      <c r="F121" s="566"/>
      <c r="G121" s="566"/>
      <c r="H121" s="566"/>
      <c r="I121" s="372"/>
      <c r="J121" s="372"/>
    </row>
    <row r="122" spans="1:10">
      <c r="A122" s="325">
        <v>1.0999999999999999E-2</v>
      </c>
      <c r="B122" s="566"/>
      <c r="C122" s="566"/>
      <c r="D122" s="566"/>
      <c r="E122" s="566"/>
      <c r="F122" s="566"/>
      <c r="G122" s="566"/>
      <c r="H122" s="566"/>
      <c r="I122" s="372"/>
      <c r="J122" s="372"/>
    </row>
    <row r="123" spans="1:10">
      <c r="A123" s="566"/>
      <c r="B123" s="566"/>
      <c r="C123" s="566"/>
      <c r="D123" s="566"/>
      <c r="E123" s="566"/>
      <c r="F123" s="566"/>
      <c r="G123" s="566"/>
      <c r="H123" s="566"/>
      <c r="I123" s="372"/>
      <c r="J123" s="372"/>
    </row>
    <row r="127" spans="1:10" ht="16" thickBot="1">
      <c r="A127" s="574" t="s">
        <v>338</v>
      </c>
      <c r="B127" s="575"/>
      <c r="C127" s="575"/>
      <c r="D127" s="575"/>
      <c r="E127" s="575"/>
      <c r="F127" s="575"/>
      <c r="G127" s="575"/>
      <c r="H127" s="575"/>
      <c r="I127" s="575"/>
      <c r="J127" s="575"/>
    </row>
    <row r="128" spans="1:10">
      <c r="A128" s="575"/>
      <c r="B128" s="576"/>
      <c r="C128" s="400">
        <v>0.4</v>
      </c>
      <c r="D128" s="400">
        <v>0.5</v>
      </c>
      <c r="E128" s="400">
        <v>0.55000000000000004</v>
      </c>
      <c r="F128" s="400">
        <v>0.6</v>
      </c>
      <c r="G128" s="400">
        <v>0.65</v>
      </c>
      <c r="H128" s="400">
        <v>0.7</v>
      </c>
      <c r="I128" s="401">
        <v>0.75</v>
      </c>
      <c r="J128" s="575"/>
    </row>
    <row r="129" spans="1:10">
      <c r="A129" s="575"/>
      <c r="B129" s="557">
        <v>300000</v>
      </c>
      <c r="C129" s="402">
        <v>1.5E-3</v>
      </c>
      <c r="D129" s="402">
        <v>9.4999999999999998E-3</v>
      </c>
      <c r="E129" s="402">
        <v>1.4E-2</v>
      </c>
      <c r="F129" s="402">
        <v>1.55E-2</v>
      </c>
      <c r="G129" s="402">
        <v>1.7500000000000002E-2</v>
      </c>
      <c r="H129" s="402">
        <v>1.8499999999999999E-2</v>
      </c>
      <c r="I129" s="403">
        <v>1.9900000000000001E-2</v>
      </c>
      <c r="J129" s="575"/>
    </row>
    <row r="130" spans="1:10">
      <c r="A130" s="575"/>
      <c r="B130" s="557">
        <v>500000</v>
      </c>
      <c r="C130" s="402">
        <v>5.0000000000000001E-3</v>
      </c>
      <c r="D130" s="402">
        <v>1.15E-2</v>
      </c>
      <c r="E130" s="402">
        <v>1.55E-2</v>
      </c>
      <c r="F130" s="402">
        <v>1.7000000000000001E-2</v>
      </c>
      <c r="G130" s="402">
        <v>1.8499999999999999E-2</v>
      </c>
      <c r="H130" s="402">
        <v>1.9E-2</v>
      </c>
      <c r="I130" s="403">
        <v>1.9900000000000001E-2</v>
      </c>
      <c r="J130" s="575"/>
    </row>
    <row r="131" spans="1:10">
      <c r="A131" s="575"/>
      <c r="B131" s="557">
        <v>900000</v>
      </c>
      <c r="C131" s="402">
        <v>7.4999999999999997E-3</v>
      </c>
      <c r="D131" s="402">
        <v>1.2500000000000001E-2</v>
      </c>
      <c r="E131" s="402">
        <v>1.7000000000000001E-2</v>
      </c>
      <c r="F131" s="402">
        <v>1.7999999999999999E-2</v>
      </c>
      <c r="G131" s="402">
        <v>1.9E-2</v>
      </c>
      <c r="H131" s="402">
        <v>1.95E-2</v>
      </c>
      <c r="I131" s="403">
        <v>1.9900000000000001E-2</v>
      </c>
      <c r="J131" s="575"/>
    </row>
    <row r="132" spans="1:10" ht="15" thickBot="1">
      <c r="A132" s="575"/>
      <c r="B132" s="557">
        <v>1500000</v>
      </c>
      <c r="C132" s="404">
        <v>0.01</v>
      </c>
      <c r="D132" s="404">
        <v>1.4E-2</v>
      </c>
      <c r="E132" s="404">
        <v>1.8499999999999999E-2</v>
      </c>
      <c r="F132" s="404">
        <v>1.95E-2</v>
      </c>
      <c r="G132" s="404">
        <v>1.9900000000000001E-2</v>
      </c>
      <c r="H132" s="404">
        <v>1.9900000000000001E-2</v>
      </c>
      <c r="I132" s="405">
        <v>1.9900000000000001E-2</v>
      </c>
      <c r="J132" s="575"/>
    </row>
    <row r="133" spans="1:10">
      <c r="A133" s="575"/>
      <c r="B133" s="538"/>
      <c r="C133" s="406"/>
      <c r="D133" s="406"/>
      <c r="E133" s="406"/>
      <c r="F133" s="406"/>
      <c r="G133" s="406"/>
      <c r="H133" s="406"/>
      <c r="I133" s="406"/>
      <c r="J133" s="575"/>
    </row>
    <row r="134" spans="1:10">
      <c r="A134" s="575"/>
      <c r="B134" s="575"/>
      <c r="C134" s="575"/>
      <c r="D134" s="575"/>
      <c r="E134" s="575"/>
      <c r="F134" s="575"/>
      <c r="G134" s="575"/>
      <c r="H134" s="575"/>
      <c r="I134" s="575"/>
      <c r="J134" s="575"/>
    </row>
    <row r="135" spans="1:10">
      <c r="A135" s="575"/>
      <c r="B135" s="577"/>
      <c r="C135" s="577" t="str">
        <f>IF($B$3&lt;C128, "1", "0")</f>
        <v>0</v>
      </c>
      <c r="D135" s="577" t="str">
        <f>IF(AND(C128&lt;=$B$3,$B$3&lt;D128), "1", "0")</f>
        <v>0</v>
      </c>
      <c r="E135" s="577" t="str">
        <f t="shared" ref="E135:H135" si="20">IF(AND(D128&lt;=$B$3,$B$3&lt;E128), "1", "0")</f>
        <v>0</v>
      </c>
      <c r="F135" s="577" t="str">
        <f t="shared" si="20"/>
        <v>0</v>
      </c>
      <c r="G135" s="577" t="str">
        <f t="shared" si="20"/>
        <v>1</v>
      </c>
      <c r="H135" s="577" t="str">
        <f t="shared" si="20"/>
        <v>0</v>
      </c>
      <c r="I135" s="577" t="str">
        <f>IF(AND(H128&lt;=$B$3,$B$3&lt;=I128), "1", "0")</f>
        <v>0</v>
      </c>
      <c r="J135" s="575"/>
    </row>
    <row r="136" spans="1:10">
      <c r="A136" s="575"/>
      <c r="B136" s="575" t="str">
        <f>IF(B2&lt;=B129,"1", "0")</f>
        <v>0</v>
      </c>
      <c r="C136" s="406">
        <f>C129</f>
        <v>1.5E-3</v>
      </c>
      <c r="D136" s="406">
        <f t="shared" ref="D136:I136" si="21">D129</f>
        <v>9.4999999999999998E-3</v>
      </c>
      <c r="E136" s="406">
        <f t="shared" si="21"/>
        <v>1.4E-2</v>
      </c>
      <c r="F136" s="406">
        <f t="shared" si="21"/>
        <v>1.55E-2</v>
      </c>
      <c r="G136" s="406">
        <f t="shared" si="21"/>
        <v>1.7500000000000002E-2</v>
      </c>
      <c r="H136" s="406">
        <f t="shared" si="21"/>
        <v>1.8499999999999999E-2</v>
      </c>
      <c r="I136" s="406">
        <f t="shared" si="21"/>
        <v>1.9900000000000001E-2</v>
      </c>
      <c r="J136" s="575"/>
    </row>
    <row r="137" spans="1:10">
      <c r="A137" s="575"/>
      <c r="B137" s="575" t="str">
        <f>IF(AND($B$2&gt;B129, $B$2&lt;=B130),"1", "0")</f>
        <v>1</v>
      </c>
      <c r="C137" s="406">
        <f t="shared" ref="C137:I139" si="22">C130</f>
        <v>5.0000000000000001E-3</v>
      </c>
      <c r="D137" s="406">
        <f t="shared" si="22"/>
        <v>1.15E-2</v>
      </c>
      <c r="E137" s="406">
        <f t="shared" si="22"/>
        <v>1.55E-2</v>
      </c>
      <c r="F137" s="406">
        <f t="shared" si="22"/>
        <v>1.7000000000000001E-2</v>
      </c>
      <c r="G137" s="406">
        <f t="shared" si="22"/>
        <v>1.8499999999999999E-2</v>
      </c>
      <c r="H137" s="406">
        <f t="shared" si="22"/>
        <v>1.9E-2</v>
      </c>
      <c r="I137" s="406">
        <f t="shared" si="22"/>
        <v>1.9900000000000001E-2</v>
      </c>
      <c r="J137" s="575"/>
    </row>
    <row r="138" spans="1:10">
      <c r="A138" s="575"/>
      <c r="B138" s="575" t="str">
        <f>IF(AND($B$2&gt;B130, $B$2&lt;=B131),"1", "0")</f>
        <v>0</v>
      </c>
      <c r="C138" s="406">
        <f t="shared" si="22"/>
        <v>7.4999999999999997E-3</v>
      </c>
      <c r="D138" s="406">
        <f t="shared" si="22"/>
        <v>1.2500000000000001E-2</v>
      </c>
      <c r="E138" s="406">
        <f t="shared" si="22"/>
        <v>1.7000000000000001E-2</v>
      </c>
      <c r="F138" s="406">
        <f t="shared" si="22"/>
        <v>1.7999999999999999E-2</v>
      </c>
      <c r="G138" s="406">
        <f t="shared" si="22"/>
        <v>1.9E-2</v>
      </c>
      <c r="H138" s="406">
        <f t="shared" si="22"/>
        <v>1.95E-2</v>
      </c>
      <c r="I138" s="406">
        <f t="shared" si="22"/>
        <v>1.9900000000000001E-2</v>
      </c>
      <c r="J138" s="575"/>
    </row>
    <row r="139" spans="1:10">
      <c r="A139" s="575"/>
      <c r="B139" s="575" t="str">
        <f>IF(AND($B$2&gt;B131, $B$2&lt;=B132),"1", "0")</f>
        <v>0</v>
      </c>
      <c r="C139" s="406">
        <f t="shared" si="22"/>
        <v>0.01</v>
      </c>
      <c r="D139" s="406">
        <f t="shared" si="22"/>
        <v>1.4E-2</v>
      </c>
      <c r="E139" s="406">
        <f t="shared" si="22"/>
        <v>1.8499999999999999E-2</v>
      </c>
      <c r="F139" s="406">
        <f t="shared" si="22"/>
        <v>1.95E-2</v>
      </c>
      <c r="G139" s="406">
        <f t="shared" si="22"/>
        <v>1.9900000000000001E-2</v>
      </c>
      <c r="H139" s="406">
        <f t="shared" si="22"/>
        <v>1.9900000000000001E-2</v>
      </c>
      <c r="I139" s="406">
        <f t="shared" si="22"/>
        <v>1.9900000000000001E-2</v>
      </c>
      <c r="J139" s="575"/>
    </row>
    <row r="140" spans="1:10">
      <c r="A140" s="575"/>
      <c r="B140" s="575"/>
      <c r="C140" s="575"/>
      <c r="D140" s="575"/>
      <c r="E140" s="575"/>
      <c r="F140" s="575"/>
      <c r="G140" s="575"/>
      <c r="H140" s="575"/>
      <c r="I140" s="575"/>
      <c r="J140" s="575"/>
    </row>
    <row r="141" spans="1:10">
      <c r="A141" s="575" t="s">
        <v>235</v>
      </c>
      <c r="B141" s="575"/>
      <c r="C141" s="575"/>
      <c r="D141" s="575"/>
      <c r="E141" s="575"/>
      <c r="F141" s="575"/>
      <c r="G141" s="575"/>
      <c r="H141" s="575"/>
      <c r="I141" s="575"/>
      <c r="J141" s="575"/>
    </row>
    <row r="142" spans="1:10">
      <c r="A142" s="402">
        <f>VLOOKUP("1",B136:I139,(MATCH("1",C135:I135,0)+1),FALSE)</f>
        <v>1.8499999999999999E-2</v>
      </c>
      <c r="B142" s="402"/>
      <c r="C142" s="575"/>
      <c r="D142" s="575"/>
      <c r="E142" s="575"/>
      <c r="F142" s="575"/>
      <c r="G142" s="575"/>
      <c r="H142" s="575"/>
      <c r="I142" s="575"/>
      <c r="J142" s="575"/>
    </row>
    <row r="143" spans="1:10">
      <c r="A143" s="402"/>
      <c r="B143" s="575"/>
      <c r="C143" s="575"/>
      <c r="D143" s="575"/>
      <c r="E143" s="575"/>
      <c r="F143" s="575"/>
      <c r="G143" s="575"/>
      <c r="H143" s="575"/>
      <c r="I143" s="575"/>
      <c r="J143" s="575"/>
    </row>
    <row r="144" spans="1:10">
      <c r="A144" s="575"/>
      <c r="B144" s="575"/>
      <c r="C144" s="575"/>
      <c r="D144" s="575"/>
      <c r="E144" s="575"/>
      <c r="F144" s="575"/>
      <c r="G144" s="575"/>
      <c r="H144" s="575"/>
      <c r="I144" s="575"/>
      <c r="J144" s="575"/>
    </row>
    <row r="145" spans="1:10">
      <c r="A145" s="575"/>
      <c r="B145" s="575"/>
      <c r="C145" s="575"/>
      <c r="D145" s="575"/>
      <c r="E145" s="575"/>
      <c r="F145" s="575"/>
      <c r="G145" s="575"/>
      <c r="H145" s="575"/>
      <c r="I145" s="575"/>
      <c r="J145" s="575"/>
    </row>
    <row r="146" spans="1:10">
      <c r="A146" s="408"/>
      <c r="B146" s="575"/>
      <c r="C146" s="575"/>
      <c r="D146" s="575"/>
      <c r="E146" s="575"/>
      <c r="F146" s="575"/>
      <c r="G146" s="575"/>
      <c r="H146" s="575"/>
      <c r="I146" s="575"/>
      <c r="J146" s="575"/>
    </row>
    <row r="147" spans="1:10">
      <c r="A147" s="575"/>
      <c r="B147" s="575"/>
      <c r="C147" s="575"/>
      <c r="D147" s="575"/>
      <c r="E147" s="575"/>
      <c r="F147" s="575"/>
      <c r="G147" s="575"/>
      <c r="H147" s="575"/>
      <c r="I147" s="575"/>
      <c r="J147" s="575"/>
    </row>
    <row r="152" spans="1:10" ht="16" thickBot="1">
      <c r="A152" s="574" t="s">
        <v>341</v>
      </c>
      <c r="B152" s="575"/>
      <c r="C152" s="575"/>
      <c r="D152" s="575"/>
      <c r="E152" s="575"/>
      <c r="F152" s="575"/>
      <c r="G152" s="575"/>
      <c r="H152" s="575"/>
    </row>
    <row r="153" spans="1:10" ht="15" thickBot="1">
      <c r="A153" s="575"/>
      <c r="B153" s="576"/>
      <c r="C153" s="400">
        <v>0.5</v>
      </c>
      <c r="D153" s="400">
        <v>0.55000000000000004</v>
      </c>
      <c r="E153" s="400">
        <v>0.6</v>
      </c>
      <c r="F153" s="400">
        <v>0.65</v>
      </c>
      <c r="G153" s="400">
        <v>0.7</v>
      </c>
      <c r="H153" s="575"/>
    </row>
    <row r="154" spans="1:10" ht="15.5">
      <c r="A154" s="575"/>
      <c r="B154" s="538">
        <v>250000</v>
      </c>
      <c r="C154" s="409">
        <v>0.01</v>
      </c>
      <c r="D154" s="410">
        <v>1.2E-2</v>
      </c>
      <c r="E154" s="410">
        <v>1.4E-2</v>
      </c>
      <c r="F154" s="410">
        <v>1.6E-2</v>
      </c>
      <c r="G154" s="411">
        <v>1.7999999999999999E-2</v>
      </c>
      <c r="H154" s="578"/>
    </row>
    <row r="155" spans="1:10" ht="17">
      <c r="A155" s="575"/>
      <c r="B155" s="579">
        <v>500000</v>
      </c>
      <c r="C155" s="414">
        <v>1.2E-2</v>
      </c>
      <c r="D155" s="415">
        <v>1.4E-2</v>
      </c>
      <c r="E155" s="415">
        <v>1.6E-2</v>
      </c>
      <c r="F155" s="415">
        <v>1.7999999999999999E-2</v>
      </c>
      <c r="G155" s="416">
        <v>0.02</v>
      </c>
      <c r="H155" s="578"/>
    </row>
    <row r="156" spans="1:10" ht="15.5">
      <c r="A156" s="575"/>
      <c r="B156" s="538">
        <v>750000</v>
      </c>
      <c r="C156" s="414">
        <v>1.4E-2</v>
      </c>
      <c r="D156" s="415">
        <v>1.6E-2</v>
      </c>
      <c r="E156" s="415">
        <v>1.7999999999999999E-2</v>
      </c>
      <c r="F156" s="415">
        <v>0.02</v>
      </c>
      <c r="G156" s="416">
        <v>2.1999999999999999E-2</v>
      </c>
      <c r="H156" s="578"/>
    </row>
    <row r="157" spans="1:10" ht="16" thickBot="1">
      <c r="A157" s="575"/>
      <c r="B157" s="538">
        <v>1000000</v>
      </c>
      <c r="C157" s="417">
        <v>1.6E-2</v>
      </c>
      <c r="D157" s="418">
        <v>1.7999999999999999E-2</v>
      </c>
      <c r="E157" s="418">
        <v>0.02</v>
      </c>
      <c r="F157" s="418">
        <v>2.1999999999999999E-2</v>
      </c>
      <c r="G157" s="419">
        <v>2.4E-2</v>
      </c>
      <c r="H157" s="578"/>
    </row>
    <row r="158" spans="1:10" ht="15.5">
      <c r="A158" s="575"/>
      <c r="B158" s="538"/>
      <c r="C158" s="420"/>
      <c r="D158" s="420"/>
      <c r="E158" s="420"/>
      <c r="F158" s="420"/>
      <c r="G158" s="420"/>
      <c r="H158" s="578"/>
    </row>
    <row r="159" spans="1:10" ht="15.5">
      <c r="A159" s="575"/>
      <c r="B159" s="575"/>
      <c r="C159" s="578"/>
      <c r="D159" s="578"/>
      <c r="E159" s="578"/>
      <c r="F159" s="578"/>
      <c r="G159" s="578"/>
      <c r="H159" s="578"/>
    </row>
    <row r="160" spans="1:10">
      <c r="A160" s="575"/>
      <c r="B160" s="577"/>
      <c r="C160" s="577" t="str">
        <f>IF($B$3&lt;=C153, "1", "0")</f>
        <v>0</v>
      </c>
      <c r="D160" s="577" t="str">
        <f t="shared" ref="D160:F160" si="23">IF(AND(C153&lt;=$B$3,$B$3&lt;D153), "1", "0")</f>
        <v>0</v>
      </c>
      <c r="E160" s="577" t="str">
        <f t="shared" si="23"/>
        <v>0</v>
      </c>
      <c r="F160" s="577" t="str">
        <f t="shared" si="23"/>
        <v>1</v>
      </c>
      <c r="G160" s="577" t="str">
        <f>IF(AND(F153&lt;=$B$3,$B$3&lt;G153), "1", "0")</f>
        <v>0</v>
      </c>
      <c r="H160" s="575"/>
    </row>
    <row r="161" spans="1:8">
      <c r="A161" s="575"/>
      <c r="B161" s="575" t="str">
        <f>IF(AND($B$2&gt;=B154, $B$2&lt;=B155),"1", "0")</f>
        <v>1</v>
      </c>
      <c r="C161" s="406">
        <f>C154</f>
        <v>0.01</v>
      </c>
      <c r="D161" s="406">
        <f t="shared" ref="D161:G161" si="24">D154</f>
        <v>1.2E-2</v>
      </c>
      <c r="E161" s="406">
        <f t="shared" si="24"/>
        <v>1.4E-2</v>
      </c>
      <c r="F161" s="406">
        <f t="shared" si="24"/>
        <v>1.6E-2</v>
      </c>
      <c r="G161" s="406">
        <f t="shared" si="24"/>
        <v>1.7999999999999999E-2</v>
      </c>
      <c r="H161" s="575"/>
    </row>
    <row r="162" spans="1:8">
      <c r="A162" s="575"/>
      <c r="B162" s="575" t="str">
        <f t="shared" ref="B162:B164" si="25">IF(AND($B$2&gt;B155, $B$2&lt;=B156),"1", "0")</f>
        <v>0</v>
      </c>
      <c r="C162" s="406">
        <f t="shared" ref="C162:G164" si="26">C155</f>
        <v>1.2E-2</v>
      </c>
      <c r="D162" s="406">
        <f t="shared" si="26"/>
        <v>1.4E-2</v>
      </c>
      <c r="E162" s="406">
        <f t="shared" si="26"/>
        <v>1.6E-2</v>
      </c>
      <c r="F162" s="406">
        <f t="shared" si="26"/>
        <v>1.7999999999999999E-2</v>
      </c>
      <c r="G162" s="406">
        <f t="shared" si="26"/>
        <v>0.02</v>
      </c>
      <c r="H162" s="575"/>
    </row>
    <row r="163" spans="1:8">
      <c r="A163" s="575"/>
      <c r="B163" s="575" t="str">
        <f t="shared" si="25"/>
        <v>0</v>
      </c>
      <c r="C163" s="406">
        <f t="shared" si="26"/>
        <v>1.4E-2</v>
      </c>
      <c r="D163" s="406">
        <f t="shared" si="26"/>
        <v>1.6E-2</v>
      </c>
      <c r="E163" s="406">
        <f t="shared" si="26"/>
        <v>1.7999999999999999E-2</v>
      </c>
      <c r="F163" s="406">
        <f t="shared" si="26"/>
        <v>0.02</v>
      </c>
      <c r="G163" s="406">
        <f t="shared" si="26"/>
        <v>2.1999999999999999E-2</v>
      </c>
      <c r="H163" s="575"/>
    </row>
    <row r="164" spans="1:8">
      <c r="A164" s="575"/>
      <c r="B164" s="575" t="str">
        <f t="shared" si="25"/>
        <v>0</v>
      </c>
      <c r="C164" s="406">
        <f t="shared" si="26"/>
        <v>1.6E-2</v>
      </c>
      <c r="D164" s="406">
        <f t="shared" si="26"/>
        <v>1.7999999999999999E-2</v>
      </c>
      <c r="E164" s="406">
        <f t="shared" si="26"/>
        <v>0.02</v>
      </c>
      <c r="F164" s="406">
        <f t="shared" si="26"/>
        <v>2.1999999999999999E-2</v>
      </c>
      <c r="G164" s="406">
        <f t="shared" si="26"/>
        <v>2.4E-2</v>
      </c>
      <c r="H164" s="575"/>
    </row>
    <row r="165" spans="1:8">
      <c r="A165" s="575"/>
      <c r="B165" s="575"/>
      <c r="C165" s="575"/>
      <c r="D165" s="575"/>
      <c r="E165" s="575"/>
      <c r="F165" s="575"/>
      <c r="G165" s="575"/>
      <c r="H165" s="575"/>
    </row>
    <row r="166" spans="1:8">
      <c r="A166" s="575" t="s">
        <v>235</v>
      </c>
      <c r="B166" s="575"/>
      <c r="C166" s="575"/>
      <c r="D166" s="575"/>
      <c r="E166" s="575"/>
      <c r="F166" s="575"/>
      <c r="G166" s="575"/>
      <c r="H166" s="575"/>
    </row>
    <row r="167" spans="1:8">
      <c r="A167" s="402">
        <f>VLOOKUP("1",B161:G164,(MATCH("1",C160:G160,0)+1),FALSE)</f>
        <v>1.6E-2</v>
      </c>
      <c r="B167" s="402"/>
      <c r="C167" s="575"/>
      <c r="D167" s="575"/>
      <c r="E167" s="575"/>
      <c r="F167" s="575"/>
      <c r="G167" s="575"/>
      <c r="H167" s="575"/>
    </row>
    <row r="168" spans="1:8">
      <c r="A168" s="402"/>
      <c r="B168" s="575"/>
      <c r="C168" s="575"/>
      <c r="D168" s="575"/>
      <c r="E168" s="575"/>
      <c r="F168" s="575"/>
      <c r="G168" s="575"/>
      <c r="H168" s="575"/>
    </row>
    <row r="169" spans="1:8">
      <c r="A169" s="575"/>
      <c r="B169" s="575"/>
      <c r="C169" s="575"/>
      <c r="D169" s="575"/>
      <c r="E169" s="575"/>
      <c r="F169" s="575"/>
      <c r="G169" s="575"/>
      <c r="H169" s="575"/>
    </row>
    <row r="170" spans="1:8">
      <c r="A170" s="575"/>
      <c r="B170" s="575"/>
      <c r="C170" s="575"/>
      <c r="D170" s="575"/>
      <c r="E170" s="575"/>
      <c r="F170" s="575"/>
      <c r="G170" s="575"/>
      <c r="H170" s="575"/>
    </row>
    <row r="171" spans="1:8">
      <c r="A171" s="408"/>
      <c r="B171" s="575"/>
      <c r="C171" s="575"/>
      <c r="D171" s="575"/>
      <c r="E171" s="575"/>
      <c r="F171" s="575"/>
      <c r="G171" s="575"/>
      <c r="H171" s="575"/>
    </row>
    <row r="172" spans="1:8">
      <c r="A172" s="575"/>
      <c r="B172" s="575"/>
      <c r="C172" s="575"/>
      <c r="D172" s="575"/>
      <c r="E172" s="575"/>
      <c r="F172" s="575"/>
      <c r="G172" s="575"/>
      <c r="H172" s="575"/>
    </row>
  </sheetData>
  <mergeCells count="3">
    <mergeCell ref="A5:I5"/>
    <mergeCell ref="K5:U5"/>
    <mergeCell ref="A34:I3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472FB-8091-458A-8D2F-E1A0F5B648FA}">
  <sheetPr codeName="Sheet10"/>
  <dimension ref="B2:AH35"/>
  <sheetViews>
    <sheetView workbookViewId="0"/>
  </sheetViews>
  <sheetFormatPr defaultColWidth="12.54296875" defaultRowHeight="21" customHeight="1"/>
  <cols>
    <col min="1" max="1" width="4" style="580" customWidth="1"/>
    <col min="2" max="2" width="20" style="580" customWidth="1"/>
    <col min="3" max="3" width="3.7265625" style="580" customWidth="1"/>
    <col min="4" max="4" width="15" style="580" customWidth="1"/>
    <col min="5" max="5" width="2.54296875" style="580" customWidth="1"/>
    <col min="6" max="6" width="3.1796875" style="580" customWidth="1"/>
    <col min="7" max="7" width="9.1796875" style="580" customWidth="1"/>
    <col min="8" max="8" width="18.26953125" style="580" customWidth="1"/>
    <col min="9" max="9" width="3.7265625" style="580" customWidth="1"/>
    <col min="10" max="10" width="0.1796875" style="580" customWidth="1"/>
    <col min="11" max="11" width="10.54296875" style="580" customWidth="1"/>
    <col min="12" max="12" width="3.1796875" style="580" customWidth="1"/>
    <col min="13" max="13" width="14" style="580" customWidth="1"/>
    <col min="14" max="14" width="15.7265625" style="580" customWidth="1"/>
    <col min="15" max="15" width="3.26953125" style="580" customWidth="1"/>
    <col min="16" max="17" width="0.1796875" style="580" customWidth="1"/>
    <col min="18" max="18" width="4.26953125" style="580" customWidth="1"/>
    <col min="19" max="19" width="8.26953125" style="580" customWidth="1"/>
    <col min="20" max="20" width="17.26953125" style="580" customWidth="1"/>
    <col min="21" max="22" width="3.7265625" style="580" customWidth="1"/>
    <col min="23" max="23" width="12.26953125" style="580" bestFit="1" customWidth="1"/>
    <col min="24" max="24" width="14.54296875" style="580" customWidth="1"/>
    <col min="25" max="25" width="3.54296875" style="580" customWidth="1"/>
    <col min="26" max="26" width="0.1796875" style="580" hidden="1" customWidth="1"/>
    <col min="27" max="27" width="0.26953125" style="580" customWidth="1"/>
    <col min="28" max="28" width="3.1796875" style="580" customWidth="1"/>
    <col min="29" max="29" width="9.26953125" style="580" customWidth="1"/>
    <col min="30" max="30" width="17.1796875" style="580" customWidth="1"/>
    <col min="31" max="31" width="6" style="580" customWidth="1"/>
    <col min="32" max="32" width="7.1796875" style="580" customWidth="1"/>
    <col min="33" max="33" width="12.54296875" style="580"/>
    <col min="34" max="34" width="8.26953125" style="580" customWidth="1"/>
    <col min="35" max="35" width="8.81640625" style="580" customWidth="1"/>
    <col min="36" max="36" width="10.1796875" style="580" bestFit="1" customWidth="1"/>
    <col min="37" max="16384" width="12.54296875" style="580"/>
  </cols>
  <sheetData>
    <row r="2" spans="2:34" ht="57.65" customHeight="1" thickBot="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row>
    <row r="3" spans="2:34" ht="21" customHeight="1">
      <c r="B3" s="582" t="s">
        <v>435</v>
      </c>
      <c r="C3" s="583"/>
      <c r="D3" s="583"/>
      <c r="E3" s="583"/>
      <c r="F3" s="583"/>
      <c r="G3" s="583"/>
      <c r="H3" s="584"/>
      <c r="J3" s="1292" t="s">
        <v>363</v>
      </c>
      <c r="K3" s="1292"/>
      <c r="L3" s="1292"/>
      <c r="M3" s="762"/>
      <c r="N3" s="762"/>
      <c r="O3" s="762"/>
      <c r="P3" s="1292" t="s">
        <v>364</v>
      </c>
      <c r="Q3" s="1292"/>
      <c r="R3" s="1292"/>
      <c r="S3" s="762"/>
      <c r="T3" s="762"/>
      <c r="U3" s="762"/>
      <c r="V3" s="762"/>
      <c r="W3" s="1292" t="s">
        <v>365</v>
      </c>
      <c r="X3" s="1292"/>
      <c r="Y3" s="1292"/>
      <c r="Z3" s="762"/>
      <c r="AA3" s="762"/>
      <c r="AB3" s="1292" t="s">
        <v>366</v>
      </c>
      <c r="AC3" s="1292"/>
      <c r="AD3" s="1292"/>
      <c r="AE3" s="762"/>
      <c r="AF3" s="581"/>
      <c r="AG3" s="581"/>
      <c r="AH3" s="581"/>
    </row>
    <row r="4" spans="2:34" ht="21" customHeight="1">
      <c r="B4" s="1289" t="s">
        <v>436</v>
      </c>
      <c r="C4" s="1289"/>
      <c r="D4" s="1289"/>
      <c r="E4" s="1291" t="s">
        <v>437</v>
      </c>
      <c r="F4" s="1291"/>
      <c r="G4" s="1291"/>
      <c r="H4" s="1291"/>
      <c r="I4" s="585"/>
      <c r="J4" s="763"/>
      <c r="K4" s="1293" t="s">
        <v>12</v>
      </c>
      <c r="L4" s="1293"/>
      <c r="M4" s="1293"/>
      <c r="N4" s="763"/>
      <c r="O4" s="764"/>
      <c r="P4" s="765"/>
      <c r="Q4" s="765"/>
      <c r="R4" s="765"/>
      <c r="S4" s="765"/>
      <c r="T4" s="765"/>
      <c r="U4" s="765"/>
      <c r="V4" s="765"/>
      <c r="W4" s="1293"/>
      <c r="X4" s="1293"/>
      <c r="Y4" s="1293"/>
      <c r="Z4" s="765"/>
      <c r="AA4" s="765"/>
      <c r="AB4" s="1294"/>
      <c r="AC4" s="1294"/>
      <c r="AD4" s="1294"/>
      <c r="AE4" s="766"/>
      <c r="AF4" s="581"/>
      <c r="AG4" s="581"/>
      <c r="AH4" s="581"/>
    </row>
    <row r="5" spans="2:34" ht="21" customHeight="1">
      <c r="B5" s="1289" t="s">
        <v>438</v>
      </c>
      <c r="C5" s="1289"/>
      <c r="D5" s="1289"/>
      <c r="E5" s="1290" t="str">
        <f>'Loan Fees Calculator'!F12</f>
        <v>No</v>
      </c>
      <c r="F5" s="1291"/>
      <c r="G5" s="1291"/>
      <c r="H5" s="1291"/>
      <c r="I5" s="585"/>
      <c r="J5" s="767"/>
      <c r="K5" s="768">
        <v>0.7</v>
      </c>
      <c r="L5" s="766"/>
      <c r="M5" s="768">
        <v>0.75</v>
      </c>
      <c r="N5" s="766"/>
      <c r="O5" s="767"/>
      <c r="P5" s="766"/>
      <c r="Q5" s="769">
        <v>0.65</v>
      </c>
      <c r="R5" s="766"/>
      <c r="S5" s="769">
        <v>0.75</v>
      </c>
      <c r="T5" s="766"/>
      <c r="U5" s="766"/>
      <c r="V5" s="766"/>
      <c r="W5" s="766"/>
      <c r="X5" s="769">
        <v>0.65</v>
      </c>
      <c r="Y5" s="766"/>
      <c r="Z5" s="769">
        <v>0.75</v>
      </c>
      <c r="AA5" s="765"/>
      <c r="AB5" s="766"/>
      <c r="AC5" s="766"/>
      <c r="AD5" s="769">
        <v>0.65</v>
      </c>
      <c r="AE5" s="769">
        <v>0.7</v>
      </c>
      <c r="AF5" s="581"/>
      <c r="AG5" s="581"/>
      <c r="AH5" s="581"/>
    </row>
    <row r="6" spans="2:34" ht="21" customHeight="1">
      <c r="B6" s="1289" t="s">
        <v>439</v>
      </c>
      <c r="C6" s="1289"/>
      <c r="D6" s="1289"/>
      <c r="E6" s="1290" t="str">
        <f>'Loan Fees Calculator'!F11</f>
        <v>Yes</v>
      </c>
      <c r="F6" s="1291"/>
      <c r="G6" s="1291"/>
      <c r="H6" s="1291"/>
      <c r="I6" s="586"/>
      <c r="J6" s="770">
        <v>1000000</v>
      </c>
      <c r="K6" s="768">
        <v>5.3600000000000002E-2</v>
      </c>
      <c r="L6" s="766"/>
      <c r="M6" s="768">
        <v>5.96E-2</v>
      </c>
      <c r="N6" s="766"/>
      <c r="O6" s="771"/>
      <c r="P6" s="1020">
        <v>600000</v>
      </c>
      <c r="Q6" s="772">
        <v>6.2799999999999995E-2</v>
      </c>
      <c r="R6" s="766"/>
      <c r="S6" s="772">
        <v>6.4799999999999996E-2</v>
      </c>
      <c r="T6" s="766"/>
      <c r="U6" s="766"/>
      <c r="V6" s="766"/>
      <c r="W6" s="1020">
        <v>600000</v>
      </c>
      <c r="X6" s="772">
        <v>4.48E-2</v>
      </c>
      <c r="Y6" s="766"/>
      <c r="Z6" s="772">
        <v>6.4799999999999996E-2</v>
      </c>
      <c r="AA6" s="765"/>
      <c r="AB6" s="1296">
        <v>600000</v>
      </c>
      <c r="AC6" s="1296"/>
      <c r="AD6" s="772">
        <v>4.48E-2</v>
      </c>
      <c r="AE6" s="772">
        <v>6.4799999999999996E-2</v>
      </c>
      <c r="AF6" s="581"/>
      <c r="AG6" s="581"/>
      <c r="AH6" s="581"/>
    </row>
    <row r="7" spans="2:34" ht="21" customHeight="1">
      <c r="B7" s="1289" t="s">
        <v>440</v>
      </c>
      <c r="C7" s="1289"/>
      <c r="D7" s="1289"/>
      <c r="E7" s="1290">
        <f>'Loan Fees Calculator'!D9</f>
        <v>1800000</v>
      </c>
      <c r="F7" s="1291"/>
      <c r="G7" s="1291"/>
      <c r="H7" s="1291"/>
      <c r="I7" s="586"/>
      <c r="J7" s="770">
        <v>1500000</v>
      </c>
      <c r="K7" s="768">
        <v>5.96E-2</v>
      </c>
      <c r="L7" s="766"/>
      <c r="M7" s="768">
        <v>5.96E-2</v>
      </c>
      <c r="N7" s="766"/>
      <c r="O7" s="771"/>
      <c r="P7" s="1020">
        <v>1500000</v>
      </c>
      <c r="Q7" s="772">
        <v>6.4799999999999996E-2</v>
      </c>
      <c r="R7" s="766"/>
      <c r="S7" s="772">
        <v>6.6799999999999998E-2</v>
      </c>
      <c r="T7" s="766"/>
      <c r="U7" s="766"/>
      <c r="V7" s="766"/>
      <c r="W7" s="1020">
        <v>1500000</v>
      </c>
      <c r="X7" s="772">
        <v>6.4799999999999996E-2</v>
      </c>
      <c r="Y7" s="766"/>
      <c r="Z7" s="772">
        <v>6.4799999999999996E-2</v>
      </c>
      <c r="AA7" s="765"/>
      <c r="AB7" s="1296">
        <v>2000000</v>
      </c>
      <c r="AC7" s="1296"/>
      <c r="AD7" s="772">
        <v>6.4799999999999996E-2</v>
      </c>
      <c r="AE7" s="772">
        <v>6.4799999999999996E-2</v>
      </c>
      <c r="AF7" s="581"/>
      <c r="AG7" s="581"/>
      <c r="AH7" s="581"/>
    </row>
    <row r="8" spans="2:34" ht="21" customHeight="1">
      <c r="B8" s="1289" t="s">
        <v>441</v>
      </c>
      <c r="C8" s="1289"/>
      <c r="D8" s="1289"/>
      <c r="E8" s="1290">
        <f>'Loan Fees Calculator'!D10</f>
        <v>3000000</v>
      </c>
      <c r="F8" s="1291"/>
      <c r="G8" s="1291"/>
      <c r="H8" s="1291"/>
      <c r="I8" s="587"/>
      <c r="J8" s="770">
        <v>2000000</v>
      </c>
      <c r="K8" s="768">
        <v>6.9599999999999995E-2</v>
      </c>
      <c r="L8" s="766"/>
      <c r="M8" s="768">
        <v>6.9599999999999995E-2</v>
      </c>
      <c r="N8" s="766"/>
      <c r="O8" s="771"/>
      <c r="P8" s="766"/>
      <c r="Q8" s="766"/>
      <c r="R8" s="766"/>
      <c r="S8" s="766"/>
      <c r="T8" s="766"/>
      <c r="U8" s="766"/>
      <c r="V8" s="766"/>
      <c r="W8" s="766"/>
      <c r="X8" s="766"/>
      <c r="Y8" s="766"/>
      <c r="Z8" s="766"/>
      <c r="AA8" s="765"/>
      <c r="AB8" s="766"/>
      <c r="AC8" s="766"/>
      <c r="AD8" s="766"/>
      <c r="AE8" s="766"/>
      <c r="AF8" s="581"/>
      <c r="AG8" s="581"/>
      <c r="AH8" s="581"/>
    </row>
    <row r="9" spans="2:34" ht="21" customHeight="1">
      <c r="B9" s="1289" t="s">
        <v>442</v>
      </c>
      <c r="C9" s="1289"/>
      <c r="D9" s="1289"/>
      <c r="E9" s="1297">
        <f>IFERROR(IF(($E$7/$E$8)&gt;80%, "Out of Policy", IFERROR($E$7/$E$8,0)),2)</f>
        <v>0.6</v>
      </c>
      <c r="F9" s="1297"/>
      <c r="G9" s="1297"/>
      <c r="H9" s="1297"/>
      <c r="I9" s="587"/>
      <c r="J9" s="767"/>
      <c r="K9" s="771"/>
      <c r="L9" s="768"/>
      <c r="M9" s="768"/>
      <c r="N9" s="768"/>
      <c r="O9" s="771"/>
      <c r="P9" s="1298" t="s">
        <v>372</v>
      </c>
      <c r="Q9" s="1298"/>
      <c r="R9" s="767"/>
      <c r="S9" s="766"/>
      <c r="T9" s="766"/>
      <c r="U9" s="766"/>
      <c r="V9" s="766"/>
      <c r="W9" s="1298" t="s">
        <v>372</v>
      </c>
      <c r="X9" s="1298"/>
      <c r="Y9" s="767"/>
      <c r="Z9" s="766"/>
      <c r="AA9" s="765"/>
      <c r="AB9" s="1298" t="s">
        <v>372</v>
      </c>
      <c r="AC9" s="1298"/>
      <c r="AD9" s="767"/>
      <c r="AE9" s="766"/>
      <c r="AF9" s="581"/>
      <c r="AG9" s="581"/>
      <c r="AH9" s="581"/>
    </row>
    <row r="10" spans="2:34" ht="21" customHeight="1">
      <c r="B10" s="1289" t="s">
        <v>443</v>
      </c>
      <c r="C10" s="1289"/>
      <c r="D10" s="1289"/>
      <c r="E10" s="1291" t="str">
        <f>'Loan Fees Calculator'!F7</f>
        <v>P&amp;I</v>
      </c>
      <c r="F10" s="1291"/>
      <c r="G10" s="1291"/>
      <c r="H10" s="1291"/>
      <c r="I10" s="585"/>
      <c r="J10" s="1298" t="s">
        <v>372</v>
      </c>
      <c r="K10" s="1298"/>
      <c r="L10" s="767"/>
      <c r="M10" s="1295" t="s">
        <v>374</v>
      </c>
      <c r="N10" s="1295"/>
      <c r="O10" s="771"/>
      <c r="P10" s="1294" t="s">
        <v>375</v>
      </c>
      <c r="Q10" s="1294"/>
      <c r="R10" s="1299">
        <v>3.0000000000000001E-3</v>
      </c>
      <c r="S10" s="1299"/>
      <c r="T10" s="766"/>
      <c r="U10" s="766"/>
      <c r="V10" s="766"/>
      <c r="W10" s="1294" t="s">
        <v>375</v>
      </c>
      <c r="X10" s="1294"/>
      <c r="Y10" s="1299">
        <v>3.0000000000000001E-3</v>
      </c>
      <c r="Z10" s="1299"/>
      <c r="AA10" s="765"/>
      <c r="AB10" s="1294" t="s">
        <v>375</v>
      </c>
      <c r="AC10" s="1294"/>
      <c r="AD10" s="1299">
        <v>3.0000000000000001E-3</v>
      </c>
      <c r="AE10" s="1299"/>
      <c r="AF10" s="581"/>
      <c r="AG10" s="581"/>
      <c r="AH10" s="581"/>
    </row>
    <row r="11" spans="2:34" ht="21" customHeight="1">
      <c r="B11" s="1289" t="s">
        <v>444</v>
      </c>
      <c r="C11" s="1289"/>
      <c r="D11" s="1289"/>
      <c r="E11" s="1291">
        <f>'Loan Fees Calculator'!F8</f>
        <v>5</v>
      </c>
      <c r="F11" s="1291"/>
      <c r="G11" s="1291"/>
      <c r="H11" s="1291"/>
      <c r="I11" s="585"/>
      <c r="J11" s="773" t="s">
        <v>375</v>
      </c>
      <c r="K11" s="768">
        <v>3.0000000000000001E-3</v>
      </c>
      <c r="L11" s="766"/>
      <c r="M11" s="773" t="s">
        <v>377</v>
      </c>
      <c r="N11" s="769">
        <v>0.65</v>
      </c>
      <c r="O11" s="766"/>
      <c r="P11" s="1294" t="s">
        <v>378</v>
      </c>
      <c r="Q11" s="1294"/>
      <c r="R11" s="1300">
        <v>3.0000000000000001E-3</v>
      </c>
      <c r="S11" s="1300"/>
      <c r="T11" s="766"/>
      <c r="U11" s="766"/>
      <c r="V11" s="766"/>
      <c r="W11" s="1294" t="s">
        <v>378</v>
      </c>
      <c r="X11" s="1294"/>
      <c r="Y11" s="1300">
        <v>3.0000000000000001E-3</v>
      </c>
      <c r="Z11" s="1300"/>
      <c r="AA11" s="765"/>
      <c r="AB11" s="1294" t="s">
        <v>378</v>
      </c>
      <c r="AC11" s="1294"/>
      <c r="AD11" s="1299">
        <v>3.0000000000000001E-3</v>
      </c>
      <c r="AE11" s="1299"/>
      <c r="AF11" s="581"/>
      <c r="AG11" s="581"/>
      <c r="AH11" s="581"/>
    </row>
    <row r="12" spans="2:34" ht="21" customHeight="1">
      <c r="B12" s="1289" t="s">
        <v>445</v>
      </c>
      <c r="C12" s="1289"/>
      <c r="D12" s="1289"/>
      <c r="E12" s="1291">
        <f>'Loan Fees Calculator'!D6</f>
        <v>0</v>
      </c>
      <c r="F12" s="1291"/>
      <c r="G12" s="1291"/>
      <c r="H12" s="1291"/>
      <c r="I12" s="588"/>
      <c r="J12" s="773" t="s">
        <v>378</v>
      </c>
      <c r="K12" s="772">
        <v>3.0000000000000001E-3</v>
      </c>
      <c r="L12" s="766"/>
      <c r="M12" s="774">
        <v>600000</v>
      </c>
      <c r="N12" s="768">
        <v>4.9799999999999997E-2</v>
      </c>
      <c r="O12" s="766"/>
      <c r="P12" s="1304" t="s">
        <v>380</v>
      </c>
      <c r="Q12" s="1304"/>
      <c r="R12" s="1300">
        <v>2E-3</v>
      </c>
      <c r="S12" s="1304"/>
      <c r="T12" s="766"/>
      <c r="U12" s="766"/>
      <c r="V12" s="766"/>
      <c r="W12" s="1304" t="s">
        <v>381</v>
      </c>
      <c r="X12" s="1304"/>
      <c r="Y12" s="1300">
        <v>5.0000000000000001E-3</v>
      </c>
      <c r="Z12" s="1304"/>
      <c r="AA12" s="765"/>
      <c r="AB12" s="1304"/>
      <c r="AC12" s="1304"/>
      <c r="AD12" s="768"/>
      <c r="AE12" s="768"/>
      <c r="AF12" s="581"/>
      <c r="AG12" s="581"/>
      <c r="AH12" s="581"/>
    </row>
    <row r="13" spans="2:34" ht="21" customHeight="1">
      <c r="H13" s="589"/>
      <c r="I13" s="589"/>
      <c r="J13" s="766" t="s">
        <v>380</v>
      </c>
      <c r="K13" s="772">
        <v>5.0000000000000001E-3</v>
      </c>
      <c r="L13" s="1300"/>
      <c r="M13" s="1304"/>
      <c r="N13" s="766"/>
      <c r="O13" s="766"/>
      <c r="P13" s="766"/>
      <c r="Q13" s="766"/>
      <c r="R13" s="766"/>
      <c r="S13" s="766"/>
      <c r="T13" s="766"/>
      <c r="U13" s="766"/>
      <c r="V13" s="766"/>
      <c r="W13" s="766"/>
      <c r="X13" s="766"/>
      <c r="Y13" s="766"/>
      <c r="Z13" s="766"/>
      <c r="AA13" s="765"/>
      <c r="AB13" s="1304"/>
      <c r="AC13" s="1304"/>
      <c r="AD13" s="768"/>
      <c r="AE13" s="768"/>
      <c r="AF13" s="581"/>
      <c r="AG13" s="581"/>
      <c r="AH13" s="581"/>
    </row>
    <row r="14" spans="2:34" ht="4.9000000000000004" customHeight="1"/>
    <row r="15" spans="2:34" ht="3.65" customHeight="1" thickBot="1"/>
    <row r="16" spans="2:34" ht="16.149999999999999" customHeight="1" thickBot="1">
      <c r="F16" s="1301" t="s">
        <v>446</v>
      </c>
      <c r="G16" s="1302"/>
      <c r="H16" s="1303"/>
      <c r="L16" s="1301" t="s">
        <v>447</v>
      </c>
      <c r="M16" s="1302"/>
      <c r="N16" s="1303"/>
      <c r="R16" s="1301" t="s">
        <v>448</v>
      </c>
      <c r="S16" s="1302"/>
      <c r="T16" s="1303"/>
      <c r="V16" s="1301" t="s">
        <v>449</v>
      </c>
      <c r="W16" s="1302"/>
      <c r="X16" s="1303"/>
      <c r="AB16" s="1301" t="s">
        <v>450</v>
      </c>
      <c r="AC16" s="1302"/>
      <c r="AD16" s="1303"/>
    </row>
    <row r="17" spans="2:34" ht="21" customHeight="1">
      <c r="B17" s="590" t="s">
        <v>451</v>
      </c>
      <c r="C17" s="590"/>
      <c r="D17" s="590"/>
      <c r="F17" s="1301" t="s">
        <v>384</v>
      </c>
      <c r="G17" s="1302"/>
      <c r="H17" s="1303"/>
      <c r="L17" s="1301" t="s">
        <v>452</v>
      </c>
      <c r="M17" s="1302"/>
      <c r="N17" s="1303"/>
      <c r="R17" s="1301" t="s">
        <v>78</v>
      </c>
      <c r="S17" s="1302"/>
      <c r="T17" s="1303"/>
      <c r="V17" s="1301" t="s">
        <v>453</v>
      </c>
      <c r="W17" s="1302"/>
      <c r="X17" s="1303"/>
      <c r="AB17" s="1301" t="s">
        <v>454</v>
      </c>
      <c r="AC17" s="1302"/>
      <c r="AD17" s="1303"/>
    </row>
    <row r="18" spans="2:34" ht="21" customHeight="1">
      <c r="B18" s="1289" t="s">
        <v>455</v>
      </c>
      <c r="C18" s="1289"/>
      <c r="D18" s="1289"/>
      <c r="F18" s="591"/>
      <c r="G18" s="592"/>
      <c r="H18" s="593">
        <v>660</v>
      </c>
      <c r="I18" s="587"/>
      <c r="J18" s="587"/>
      <c r="K18" s="587"/>
      <c r="L18" s="594"/>
      <c r="M18" s="595"/>
      <c r="N18" s="593">
        <v>660</v>
      </c>
      <c r="O18" s="587"/>
      <c r="P18" s="587"/>
      <c r="Q18" s="587"/>
      <c r="R18" s="596"/>
      <c r="S18" s="592"/>
      <c r="T18" s="593">
        <v>660</v>
      </c>
      <c r="U18" s="587"/>
      <c r="V18" s="596"/>
      <c r="W18" s="592"/>
      <c r="X18" s="597" t="str">
        <f>IFERROR(IF(AND(E5="no", E10="p&amp;I", E7&lt;=600000, E9&lt;=65%), T18, "Not applicable"), NA)</f>
        <v>Not applicable</v>
      </c>
      <c r="Y18" s="587"/>
      <c r="Z18" s="587"/>
      <c r="AA18" s="587"/>
      <c r="AB18" s="594"/>
      <c r="AC18" s="598"/>
      <c r="AD18" s="597">
        <v>660</v>
      </c>
      <c r="AE18" s="587"/>
      <c r="AF18" s="587"/>
      <c r="AG18" s="587"/>
      <c r="AH18" s="587"/>
    </row>
    <row r="19" spans="2:34" ht="21" customHeight="1">
      <c r="B19" s="1289" t="s">
        <v>456</v>
      </c>
      <c r="C19" s="1289"/>
      <c r="D19" s="1289"/>
      <c r="F19" s="599"/>
      <c r="G19" s="600"/>
      <c r="H19" s="601">
        <v>330</v>
      </c>
      <c r="I19" s="587"/>
      <c r="J19" s="587"/>
      <c r="K19" s="587"/>
      <c r="L19" s="602"/>
      <c r="M19" s="603"/>
      <c r="N19" s="601">
        <v>330</v>
      </c>
      <c r="O19" s="587"/>
      <c r="P19" s="587"/>
      <c r="Q19" s="587"/>
      <c r="R19" s="604"/>
      <c r="S19" s="600"/>
      <c r="T19" s="601">
        <v>330</v>
      </c>
      <c r="U19" s="587"/>
      <c r="V19" s="604"/>
      <c r="W19" s="600"/>
      <c r="X19" s="605" t="str">
        <f>IFERROR(IF(AND(E5="no", E10="p&amp;I", E7&lt;=600000, E9&lt;=65%), T19, "Not applicable"), NA)</f>
        <v>Not applicable</v>
      </c>
      <c r="Y19" s="587"/>
      <c r="Z19" s="587"/>
      <c r="AA19" s="587"/>
      <c r="AB19" s="602"/>
      <c r="AC19" s="606"/>
      <c r="AD19" s="601">
        <v>330</v>
      </c>
      <c r="AE19" s="587"/>
      <c r="AF19" s="587"/>
      <c r="AG19" s="587"/>
      <c r="AH19" s="587"/>
    </row>
    <row r="20" spans="2:34" ht="21" customHeight="1">
      <c r="B20" s="1289" t="s">
        <v>457</v>
      </c>
      <c r="C20" s="1289"/>
      <c r="D20" s="1289"/>
      <c r="F20" s="591"/>
      <c r="G20" s="592"/>
      <c r="H20" s="593">
        <v>550</v>
      </c>
      <c r="I20" s="587"/>
      <c r="J20" s="587"/>
      <c r="K20" s="587"/>
      <c r="L20" s="594"/>
      <c r="M20" s="595"/>
      <c r="N20" s="593">
        <v>300</v>
      </c>
      <c r="O20" s="587"/>
      <c r="P20" s="587"/>
      <c r="Q20" s="587"/>
      <c r="R20" s="596"/>
      <c r="S20" s="592"/>
      <c r="T20" s="593">
        <v>300</v>
      </c>
      <c r="U20" s="587"/>
      <c r="V20" s="596"/>
      <c r="W20" s="592"/>
      <c r="X20" s="597" t="str">
        <f>IFERROR(IF(AND(E5="no", E10="p&amp;I", E7&lt;=600000, E9&lt;=65%), T20, "Not applicable"), NA)</f>
        <v>Not applicable</v>
      </c>
      <c r="Y20" s="587"/>
      <c r="Z20" s="587"/>
      <c r="AA20" s="587"/>
      <c r="AB20" s="594"/>
      <c r="AC20" s="598"/>
      <c r="AD20" s="593">
        <v>300</v>
      </c>
      <c r="AE20" s="587"/>
      <c r="AF20" s="587"/>
      <c r="AG20" s="587"/>
      <c r="AH20" s="587"/>
    </row>
    <row r="21" spans="2:34" ht="21" customHeight="1">
      <c r="B21" s="1289" t="s">
        <v>458</v>
      </c>
      <c r="C21" s="1289"/>
      <c r="D21" s="1289"/>
      <c r="F21" s="599"/>
      <c r="G21" s="600"/>
      <c r="H21" s="601">
        <v>550</v>
      </c>
      <c r="I21" s="587"/>
      <c r="J21" s="587"/>
      <c r="K21" s="587"/>
      <c r="L21" s="607"/>
      <c r="M21" s="608"/>
      <c r="N21" s="601">
        <v>0</v>
      </c>
      <c r="O21" s="587"/>
      <c r="P21" s="587"/>
      <c r="Q21" s="587"/>
      <c r="R21" s="604"/>
      <c r="S21" s="600"/>
      <c r="T21" s="601">
        <v>0</v>
      </c>
      <c r="U21" s="587"/>
      <c r="V21" s="604"/>
      <c r="W21" s="600"/>
      <c r="X21" s="605" t="str">
        <f>IFERROR(IF(AND(E5="no", E10="p&amp;I", E7&lt;=600000, E9&lt;=65%), T21, "Not applicable"), NA)</f>
        <v>Not applicable</v>
      </c>
      <c r="Y21" s="587"/>
      <c r="Z21" s="587"/>
      <c r="AA21" s="587"/>
      <c r="AB21" s="602"/>
      <c r="AC21" s="606"/>
      <c r="AD21" s="601">
        <v>0</v>
      </c>
      <c r="AE21" s="587"/>
      <c r="AF21" s="587"/>
      <c r="AG21" s="587"/>
      <c r="AH21" s="587"/>
    </row>
    <row r="22" spans="2:34" ht="21" customHeight="1">
      <c r="B22" s="1305" t="s">
        <v>459</v>
      </c>
      <c r="C22" s="1305"/>
      <c r="D22" s="1305"/>
      <c r="F22" s="591" t="s">
        <v>392</v>
      </c>
      <c r="G22" s="609">
        <f>1.25%</f>
        <v>1.2500000000000001E-2</v>
      </c>
      <c r="H22" s="593">
        <f>E7*G22</f>
        <v>22500</v>
      </c>
      <c r="I22" s="587"/>
      <c r="J22" s="587"/>
      <c r="K22" s="587"/>
      <c r="L22" s="591"/>
      <c r="M22" s="595"/>
      <c r="N22" s="593">
        <v>0</v>
      </c>
      <c r="O22" s="587"/>
      <c r="P22" s="587"/>
      <c r="Q22" s="587"/>
      <c r="R22" s="591" t="s">
        <v>392</v>
      </c>
      <c r="S22" s="610">
        <v>0</v>
      </c>
      <c r="T22" s="593">
        <f>E7*S22</f>
        <v>0</v>
      </c>
      <c r="U22" s="587"/>
      <c r="V22" s="591" t="s">
        <v>392</v>
      </c>
      <c r="W22" s="610">
        <f>S22</f>
        <v>0</v>
      </c>
      <c r="X22" s="597" t="str">
        <f>IFERROR(IF(AND(E5="no", E10="p&amp;I", E7&lt;=600000, E9&lt;=65%), T22, "Not applicable"), NA)</f>
        <v>Not applicable</v>
      </c>
      <c r="Y22" s="587"/>
      <c r="Z22" s="587"/>
      <c r="AA22" s="587"/>
      <c r="AB22" s="591" t="s">
        <v>392</v>
      </c>
      <c r="AC22" s="611">
        <v>0</v>
      </c>
      <c r="AD22" s="593">
        <f>E7*AC22</f>
        <v>0</v>
      </c>
      <c r="AE22" s="587"/>
      <c r="AF22" s="587"/>
      <c r="AG22" s="587"/>
      <c r="AH22" s="587"/>
    </row>
    <row r="23" spans="2:34" s="615" customFormat="1" ht="21" customHeight="1">
      <c r="B23" s="1289" t="s">
        <v>460</v>
      </c>
      <c r="C23" s="1289"/>
      <c r="D23" s="1289"/>
      <c r="E23" s="580"/>
      <c r="F23" s="599" t="s">
        <v>392</v>
      </c>
      <c r="G23" s="612">
        <f>'Risk Fee Matrix'!A25</f>
        <v>2.4E-2</v>
      </c>
      <c r="H23" s="601">
        <f>G23*E7</f>
        <v>43200</v>
      </c>
      <c r="I23" s="587"/>
      <c r="J23" s="587"/>
      <c r="K23" s="587"/>
      <c r="L23" s="599"/>
      <c r="M23" s="613"/>
      <c r="N23" s="601">
        <f>$M$23*$E$7</f>
        <v>0</v>
      </c>
      <c r="O23" s="587"/>
      <c r="P23" s="587"/>
      <c r="Q23" s="587"/>
      <c r="R23" s="599" t="s">
        <v>392</v>
      </c>
      <c r="S23" s="612">
        <f>'Risk Fee Matrix'!A58</f>
        <v>0</v>
      </c>
      <c r="T23" s="601">
        <f>S23*E7</f>
        <v>0</v>
      </c>
      <c r="U23" s="587"/>
      <c r="V23" s="599" t="s">
        <v>392</v>
      </c>
      <c r="W23" s="612">
        <f>S23</f>
        <v>0</v>
      </c>
      <c r="X23" s="605" t="str">
        <f>IFERROR(IF(AND(E5="no", E10="p&amp;I", E7&lt;=600000, E9&lt;=65%), T23, "Not applicable"), NA)</f>
        <v>Not applicable</v>
      </c>
      <c r="Y23" s="587"/>
      <c r="Z23" s="587"/>
      <c r="AA23" s="587"/>
      <c r="AB23" s="599" t="s">
        <v>392</v>
      </c>
      <c r="AC23" s="614">
        <f>'Risk Fee Matrix'!L84</f>
        <v>0.01</v>
      </c>
      <c r="AD23" s="601">
        <f>AC23*E7</f>
        <v>18000</v>
      </c>
      <c r="AE23" s="587"/>
      <c r="AF23" s="587"/>
      <c r="AG23" s="587"/>
      <c r="AH23" s="587"/>
    </row>
    <row r="24" spans="2:34" ht="21" customHeight="1">
      <c r="B24" s="1289" t="s">
        <v>461</v>
      </c>
      <c r="C24" s="1289"/>
      <c r="D24" s="1289"/>
      <c r="F24" s="596"/>
      <c r="G24" s="616"/>
      <c r="H24" s="617">
        <v>499</v>
      </c>
      <c r="I24" s="587"/>
      <c r="J24" s="587"/>
      <c r="K24" s="587"/>
      <c r="L24" s="618"/>
      <c r="M24" s="619"/>
      <c r="N24" s="617">
        <v>499</v>
      </c>
      <c r="O24" s="587"/>
      <c r="P24" s="587"/>
      <c r="Q24" s="587"/>
      <c r="R24" s="596"/>
      <c r="S24" s="616"/>
      <c r="T24" s="617">
        <v>499</v>
      </c>
      <c r="U24" s="587"/>
      <c r="V24" s="596"/>
      <c r="W24" s="620"/>
      <c r="X24" s="617" t="str">
        <f>IFERROR(IF(AND(E5="no", E10="p&amp;I", E7&lt;=600000, E9&lt;=65%), 499, "Not applicable"), NA)</f>
        <v>Not applicable</v>
      </c>
      <c r="Y24" s="587"/>
      <c r="Z24" s="587"/>
      <c r="AA24" s="587"/>
      <c r="AB24" s="618"/>
      <c r="AC24" s="621"/>
      <c r="AD24" s="617">
        <v>499</v>
      </c>
      <c r="AE24" s="587"/>
      <c r="AF24" s="587"/>
      <c r="AG24" s="587"/>
      <c r="AH24" s="587"/>
    </row>
    <row r="25" spans="2:34" ht="21" customHeight="1">
      <c r="B25" s="1289" t="s">
        <v>215</v>
      </c>
      <c r="C25" s="1289"/>
      <c r="D25" s="1289"/>
      <c r="F25" s="604"/>
      <c r="G25" s="612"/>
      <c r="H25" s="622">
        <v>499</v>
      </c>
      <c r="I25" s="587"/>
      <c r="J25" s="587"/>
      <c r="K25" s="587"/>
      <c r="L25" s="607"/>
      <c r="M25" s="623"/>
      <c r="N25" s="622">
        <v>0</v>
      </c>
      <c r="O25" s="587"/>
      <c r="P25" s="587"/>
      <c r="Q25" s="587"/>
      <c r="R25" s="604"/>
      <c r="S25" s="612"/>
      <c r="T25" s="622">
        <v>499</v>
      </c>
      <c r="U25" s="587"/>
      <c r="V25" s="604"/>
      <c r="W25" s="624"/>
      <c r="X25" s="622" t="str">
        <f>IFERROR(IF(AND(E5="no", E10="p&amp;I", E7&lt;=600000, E9&lt;=65%), 990, "Not applicable"), NA)</f>
        <v>Not applicable</v>
      </c>
      <c r="Y25" s="587"/>
      <c r="Z25" s="587"/>
      <c r="AA25" s="587"/>
      <c r="AB25" s="607"/>
      <c r="AC25" s="613"/>
      <c r="AD25" s="622">
        <v>499</v>
      </c>
      <c r="AE25" s="587"/>
      <c r="AF25" s="587"/>
      <c r="AG25" s="587"/>
      <c r="AH25" s="587"/>
    </row>
    <row r="26" spans="2:34" ht="21" customHeight="1">
      <c r="B26" s="1289" t="s">
        <v>462</v>
      </c>
      <c r="C26" s="1289"/>
      <c r="D26" s="1289"/>
      <c r="F26" s="596"/>
      <c r="G26" s="616"/>
      <c r="H26" s="617">
        <v>0</v>
      </c>
      <c r="I26" s="587"/>
      <c r="J26" s="587"/>
      <c r="K26" s="587"/>
      <c r="L26" s="618"/>
      <c r="M26" s="619"/>
      <c r="N26" s="617">
        <v>0</v>
      </c>
      <c r="O26" s="587"/>
      <c r="P26" s="587"/>
      <c r="Q26" s="587"/>
      <c r="R26" s="596"/>
      <c r="S26" s="616"/>
      <c r="T26" s="617">
        <v>0</v>
      </c>
      <c r="U26" s="587"/>
      <c r="V26" s="596"/>
      <c r="W26" s="625"/>
      <c r="X26" s="617" t="str">
        <f>IFERROR(IF(AND(E5="no", E10="p&amp;I", E7&lt;=600000, E9&lt;=65%), 396, "Not applicable"), NA)</f>
        <v>Not applicable</v>
      </c>
      <c r="Y26" s="587"/>
      <c r="Z26" s="587"/>
      <c r="AA26" s="587"/>
      <c r="AB26" s="618"/>
      <c r="AC26" s="621"/>
      <c r="AD26" s="617"/>
      <c r="AE26" s="587"/>
      <c r="AF26" s="587"/>
      <c r="AG26" s="587"/>
      <c r="AH26" s="587"/>
    </row>
    <row r="27" spans="2:34" ht="21" customHeight="1">
      <c r="B27" s="1305" t="s">
        <v>463</v>
      </c>
      <c r="C27" s="1305"/>
      <c r="D27" s="1305"/>
      <c r="F27" s="599"/>
      <c r="G27" s="626"/>
      <c r="H27" s="605">
        <f>IFERROR(IF($E$4="construction", "not applicable", SUM(H18:H25))-H24, "NA")</f>
        <v>68289</v>
      </c>
      <c r="I27" s="587"/>
      <c r="J27" s="587"/>
      <c r="K27" s="587"/>
      <c r="L27" s="599"/>
      <c r="M27" s="626"/>
      <c r="N27" s="605">
        <f>IFERROR(IF($E$4="construction", "not applicable", SUM(N18:N25))-N24, "NA")</f>
        <v>1290</v>
      </c>
      <c r="O27" s="587"/>
      <c r="P27" s="587"/>
      <c r="Q27" s="587"/>
      <c r="R27" s="599"/>
      <c r="S27" s="626"/>
      <c r="T27" s="605">
        <f>IFERROR(IF($E$4="construction", "not applicable", SUM(T18:T25))-T24, "NA")</f>
        <v>1789</v>
      </c>
      <c r="U27" s="587"/>
      <c r="V27" s="599"/>
      <c r="W27" s="626"/>
      <c r="X27" s="605" t="str" cm="1">
        <f t="array" ref="X27">IFERROR(IF(AND(E5="no", E10="p&amp;I", E7&lt;=600000, E9&lt;=65%), SUM(X18:X26)-X24-X26+990, "Not applicable"), NA)</f>
        <v>Not applicable</v>
      </c>
      <c r="Y27" s="587"/>
      <c r="Z27" s="587"/>
      <c r="AA27" s="587"/>
      <c r="AB27" s="599"/>
      <c r="AC27" s="627"/>
      <c r="AD27" s="605" t="str">
        <f>IFERROR(IF($E$4="Apartment/Townhouse/House", "not applicable", SUM(AD18:AD25))-AD24, "NA")</f>
        <v>NA</v>
      </c>
      <c r="AE27" s="587"/>
      <c r="AF27" s="587"/>
      <c r="AG27" s="587"/>
      <c r="AH27" s="587"/>
    </row>
    <row r="28" spans="2:34" ht="21" customHeight="1">
      <c r="B28" s="590" t="s">
        <v>464</v>
      </c>
      <c r="C28" s="590"/>
      <c r="D28" s="590"/>
      <c r="F28" s="628"/>
      <c r="G28" s="629"/>
      <c r="H28" s="630"/>
      <c r="I28" s="587"/>
      <c r="J28" s="587"/>
      <c r="K28" s="587"/>
      <c r="L28" s="628"/>
      <c r="M28" s="629"/>
      <c r="N28" s="630"/>
      <c r="O28" s="587"/>
      <c r="P28" s="587"/>
      <c r="Q28" s="587"/>
      <c r="R28" s="628"/>
      <c r="S28" s="629"/>
      <c r="T28" s="630"/>
      <c r="U28" s="587"/>
      <c r="V28" s="628"/>
      <c r="W28" s="629"/>
      <c r="X28" s="630"/>
      <c r="Y28" s="587"/>
      <c r="Z28" s="587"/>
      <c r="AA28" s="587"/>
      <c r="AB28" s="628" t="s">
        <v>465</v>
      </c>
      <c r="AC28" s="629"/>
      <c r="AD28" s="630">
        <v>300</v>
      </c>
      <c r="AE28" s="587"/>
      <c r="AF28" s="587"/>
      <c r="AG28" s="587"/>
      <c r="AH28" s="587"/>
    </row>
    <row r="29" spans="2:34" ht="21" customHeight="1">
      <c r="B29" s="1305" t="s">
        <v>466</v>
      </c>
      <c r="C29" s="1305"/>
      <c r="D29" s="1305"/>
      <c r="F29" s="599" t="s">
        <v>392</v>
      </c>
      <c r="G29" s="626" t="e">
        <f>'Rates (2)'!D22</f>
        <v>#N/A</v>
      </c>
      <c r="H29" s="601">
        <v>27795.873015209538</v>
      </c>
      <c r="I29" s="587"/>
      <c r="J29" s="587"/>
      <c r="K29" s="587"/>
      <c r="L29" s="599" t="s">
        <v>392</v>
      </c>
      <c r="M29" s="626" t="e">
        <f>'Rates (2)'!M43</f>
        <v>#N/A</v>
      </c>
      <c r="N29" s="601">
        <v>33853.162310884021</v>
      </c>
      <c r="O29" s="587"/>
      <c r="P29" s="587"/>
      <c r="Q29" s="587"/>
      <c r="R29" s="599" t="s">
        <v>392</v>
      </c>
      <c r="S29" s="626">
        <f>'Rates (2)'!L65</f>
        <v>6.9599999999999995E-2</v>
      </c>
      <c r="T29" s="601">
        <v>30686.969430754587</v>
      </c>
      <c r="U29" s="587"/>
      <c r="V29" s="599" t="s">
        <v>392</v>
      </c>
      <c r="W29" s="626" t="str">
        <f>IF(X27="Not applicable", "NA", N12)</f>
        <v>NA</v>
      </c>
      <c r="X29" s="601">
        <v>29817.398565498312</v>
      </c>
      <c r="Y29" s="587"/>
      <c r="Z29" s="587"/>
      <c r="AA29" s="587"/>
      <c r="AB29" s="599" t="s">
        <v>392</v>
      </c>
      <c r="AC29" s="626">
        <f>'Rates (2)'!J85</f>
        <v>6.4799999999999996E-2</v>
      </c>
      <c r="AD29" s="601">
        <v>27795.873015209538</v>
      </c>
      <c r="AE29" s="587"/>
      <c r="AF29" s="587"/>
      <c r="AG29" s="587"/>
      <c r="AH29" s="587"/>
    </row>
    <row r="30" spans="2:34" ht="21" customHeight="1">
      <c r="B30" s="1305" t="s">
        <v>467</v>
      </c>
      <c r="C30" s="1305"/>
      <c r="D30" s="1305"/>
      <c r="F30" s="591" t="s">
        <v>392</v>
      </c>
      <c r="G30" s="631">
        <f>'Rates (2)'!D23</f>
        <v>6.4799999999999996E-2</v>
      </c>
      <c r="H30" s="593">
        <v>62184.358105148283</v>
      </c>
      <c r="I30" s="587"/>
      <c r="J30" s="587"/>
      <c r="K30" s="587"/>
      <c r="L30" s="591" t="s">
        <v>392</v>
      </c>
      <c r="M30" s="631" t="e">
        <f>'Rates (2)'!M44</f>
        <v>#N/A</v>
      </c>
      <c r="N30" s="593">
        <v>67706.324621768043</v>
      </c>
      <c r="O30" s="587"/>
      <c r="P30" s="587"/>
      <c r="Q30" s="587"/>
      <c r="R30" s="591" t="s">
        <v>392</v>
      </c>
      <c r="S30" s="631">
        <f>'Rates (2)'!L66</f>
        <v>6.9599999999999995E-2</v>
      </c>
      <c r="T30" s="593">
        <v>61373.938861509188</v>
      </c>
      <c r="U30" s="587"/>
      <c r="V30" s="591" t="s">
        <v>392</v>
      </c>
      <c r="W30" s="631" t="str">
        <f>IF(X27="Not applicable", "NA", N12)</f>
        <v>NA</v>
      </c>
      <c r="X30" s="593">
        <v>59238.797130996652</v>
      </c>
      <c r="Y30" s="587"/>
      <c r="Z30" s="587"/>
      <c r="AA30" s="587"/>
      <c r="AB30" s="591" t="s">
        <v>392</v>
      </c>
      <c r="AC30" s="631">
        <f>'Rates (2)'!J86</f>
        <v>6.4799999999999996E-2</v>
      </c>
      <c r="AD30" s="593">
        <v>62184.358105148283</v>
      </c>
      <c r="AE30" s="587"/>
      <c r="AF30" s="587"/>
      <c r="AG30" s="587"/>
      <c r="AH30" s="587"/>
    </row>
    <row r="31" spans="2:34" ht="21" customHeight="1">
      <c r="B31" s="1305" t="s">
        <v>468</v>
      </c>
      <c r="C31" s="1305"/>
      <c r="D31" s="1305"/>
      <c r="F31" s="599" t="s">
        <v>392</v>
      </c>
      <c r="G31" s="626">
        <f>'Rates (2)'!D24</f>
        <v>6.4799999999999996E-2</v>
      </c>
      <c r="H31" s="601">
        <v>96572.843195086971</v>
      </c>
      <c r="I31" s="587"/>
      <c r="J31" s="587"/>
      <c r="K31" s="587"/>
      <c r="L31" s="599" t="s">
        <v>392</v>
      </c>
      <c r="M31" s="626" t="e">
        <f>'Rates (2)'!M45</f>
        <v>#N/A</v>
      </c>
      <c r="N31" s="601">
        <v>101559.48693265213</v>
      </c>
      <c r="O31" s="587"/>
      <c r="P31" s="587"/>
      <c r="Q31" s="587"/>
      <c r="R31" s="599" t="s">
        <v>392</v>
      </c>
      <c r="S31" s="626">
        <f>'Rates (2)'!L67</f>
        <v>6.9599999999999995E-2</v>
      </c>
      <c r="T31" s="601">
        <v>92060.90829226379</v>
      </c>
      <c r="U31" s="587"/>
      <c r="V31" s="599" t="s">
        <v>392</v>
      </c>
      <c r="W31" s="626" t="str">
        <f>IF(X27="Not applicable", "NA", N12)</f>
        <v>NA</v>
      </c>
      <c r="X31" s="601">
        <v>88660.195696495008</v>
      </c>
      <c r="Y31" s="587"/>
      <c r="Z31" s="587"/>
      <c r="AA31" s="587"/>
      <c r="AB31" s="599" t="s">
        <v>392</v>
      </c>
      <c r="AC31" s="626">
        <f>'Rates (2)'!J87</f>
        <v>6.4799999999999996E-2</v>
      </c>
      <c r="AD31" s="601">
        <v>96572.843195086971</v>
      </c>
      <c r="AE31" s="587"/>
      <c r="AF31" s="587"/>
      <c r="AG31" s="587"/>
      <c r="AH31" s="587"/>
    </row>
    <row r="32" spans="2:34" ht="21" customHeight="1" thickBot="1">
      <c r="B32" s="1305" t="s">
        <v>469</v>
      </c>
      <c r="C32" s="1305"/>
      <c r="D32" s="1305"/>
      <c r="F32" s="632" t="s">
        <v>392</v>
      </c>
      <c r="G32" s="633">
        <f>'Rates (2)'!D25</f>
        <v>6.4799999999999996E-2</v>
      </c>
      <c r="H32" s="634">
        <v>130961.32828502565</v>
      </c>
      <c r="I32" s="587"/>
      <c r="J32" s="587"/>
      <c r="K32" s="587"/>
      <c r="L32" s="632" t="s">
        <v>392</v>
      </c>
      <c r="M32" s="633" t="e">
        <f>'Rates (2)'!M46</f>
        <v>#N/A</v>
      </c>
      <c r="N32" s="634">
        <v>135412.64924353623</v>
      </c>
      <c r="O32" s="587"/>
      <c r="P32" s="587"/>
      <c r="Q32" s="587"/>
      <c r="R32" s="632" t="s">
        <v>392</v>
      </c>
      <c r="S32" s="633">
        <f>'Rates (2)'!L68</f>
        <v>6.9599999999999995E-2</v>
      </c>
      <c r="T32" s="634">
        <v>122747.87772301839</v>
      </c>
      <c r="U32" s="587"/>
      <c r="V32" s="632" t="s">
        <v>392</v>
      </c>
      <c r="W32" s="633" t="str">
        <f>IF(X27="Not applicable", "NA", N12)</f>
        <v>NA</v>
      </c>
      <c r="X32" s="634">
        <v>118081.59426199336</v>
      </c>
      <c r="Y32" s="587"/>
      <c r="Z32" s="587"/>
      <c r="AA32" s="587"/>
      <c r="AB32" s="632" t="s">
        <v>392</v>
      </c>
      <c r="AC32" s="633">
        <f>'Rates (2)'!J88</f>
        <v>6.4799999999999996E-2</v>
      </c>
      <c r="AD32" s="634">
        <v>130961.32828502565</v>
      </c>
      <c r="AE32" s="587"/>
      <c r="AF32" s="587"/>
      <c r="AG32" s="587"/>
      <c r="AH32" s="587"/>
    </row>
    <row r="33" spans="2:34" ht="21" customHeight="1">
      <c r="B33" s="635"/>
      <c r="F33" s="587"/>
      <c r="G33" s="587"/>
      <c r="H33" s="636"/>
      <c r="I33" s="587"/>
      <c r="J33" s="587"/>
      <c r="K33" s="587"/>
      <c r="L33" s="587"/>
      <c r="M33" s="587"/>
      <c r="N33" s="636"/>
      <c r="O33" s="587"/>
      <c r="P33" s="587"/>
      <c r="Q33" s="587"/>
      <c r="R33" s="587"/>
      <c r="S33" s="587"/>
      <c r="T33" s="636"/>
      <c r="U33" s="587"/>
      <c r="V33" s="587"/>
      <c r="W33" s="587"/>
      <c r="X33" s="636"/>
      <c r="Y33" s="587"/>
      <c r="Z33" s="587"/>
      <c r="AA33" s="587"/>
      <c r="AB33" s="587"/>
      <c r="AC33" s="587"/>
      <c r="AD33" s="587"/>
      <c r="AE33" s="587"/>
      <c r="AF33" s="587"/>
      <c r="AG33" s="587"/>
      <c r="AH33" s="587"/>
    </row>
    <row r="34" spans="2:34" ht="21" customHeight="1">
      <c r="B34" s="635"/>
      <c r="F34" s="587"/>
      <c r="G34" s="587"/>
      <c r="H34" s="636"/>
      <c r="I34" s="587"/>
      <c r="J34" s="587"/>
      <c r="K34" s="587"/>
      <c r="L34" s="587"/>
      <c r="M34" s="587"/>
      <c r="N34" s="636"/>
      <c r="O34" s="587"/>
      <c r="P34" s="587"/>
      <c r="Q34" s="587"/>
      <c r="R34" s="587"/>
      <c r="S34" s="587"/>
      <c r="T34" s="636"/>
      <c r="U34" s="587"/>
      <c r="V34" s="587"/>
      <c r="W34" s="587"/>
      <c r="X34" s="636"/>
      <c r="Y34" s="587"/>
      <c r="Z34" s="587"/>
      <c r="AA34" s="636"/>
      <c r="AB34" s="587"/>
      <c r="AC34" s="587"/>
      <c r="AD34" s="587"/>
      <c r="AE34" s="587"/>
      <c r="AF34" s="587"/>
      <c r="AG34" s="587"/>
      <c r="AH34" s="587"/>
    </row>
    <row r="35" spans="2:34" ht="21" customHeight="1">
      <c r="F35" s="587"/>
      <c r="G35" s="587"/>
      <c r="H35" s="587"/>
      <c r="I35" s="587"/>
      <c r="J35" s="587"/>
      <c r="K35" s="587"/>
      <c r="L35" s="587"/>
      <c r="M35" s="587"/>
      <c r="N35" s="587"/>
      <c r="O35" s="587"/>
      <c r="P35" s="587"/>
      <c r="Q35" s="587"/>
      <c r="R35" s="587"/>
      <c r="S35" s="587"/>
      <c r="T35" s="587"/>
      <c r="U35" s="587"/>
      <c r="V35" s="587"/>
      <c r="W35" s="587"/>
      <c r="X35" s="587"/>
      <c r="Y35" s="587"/>
      <c r="Z35" s="587"/>
      <c r="AA35" s="587"/>
      <c r="AB35" s="587"/>
      <c r="AC35" s="587"/>
      <c r="AD35" s="587"/>
      <c r="AE35" s="587"/>
      <c r="AF35" s="587"/>
      <c r="AG35" s="587"/>
      <c r="AH35" s="587"/>
    </row>
  </sheetData>
  <sheetProtection selectLockedCells="1"/>
  <mergeCells count="75">
    <mergeCell ref="B32:D32"/>
    <mergeCell ref="B25:D25"/>
    <mergeCell ref="B26:D26"/>
    <mergeCell ref="B27:D27"/>
    <mergeCell ref="B29:D29"/>
    <mergeCell ref="B30:D30"/>
    <mergeCell ref="B31:D31"/>
    <mergeCell ref="B24:D24"/>
    <mergeCell ref="F17:H17"/>
    <mergeCell ref="L17:N17"/>
    <mergeCell ref="R17:T17"/>
    <mergeCell ref="V17:X17"/>
    <mergeCell ref="B19:D19"/>
    <mergeCell ref="B20:D20"/>
    <mergeCell ref="B21:D21"/>
    <mergeCell ref="B22:D22"/>
    <mergeCell ref="B23:D23"/>
    <mergeCell ref="AB17:AD17"/>
    <mergeCell ref="B18:D18"/>
    <mergeCell ref="AB12:AC12"/>
    <mergeCell ref="L13:M13"/>
    <mergeCell ref="AB13:AC13"/>
    <mergeCell ref="F16:H16"/>
    <mergeCell ref="L16:N16"/>
    <mergeCell ref="R16:T16"/>
    <mergeCell ref="V16:X16"/>
    <mergeCell ref="AB16:AD16"/>
    <mergeCell ref="B12:D12"/>
    <mergeCell ref="E12:H12"/>
    <mergeCell ref="P12:Q12"/>
    <mergeCell ref="R12:S12"/>
    <mergeCell ref="W12:X12"/>
    <mergeCell ref="Y12:Z12"/>
    <mergeCell ref="AD10:AE10"/>
    <mergeCell ref="B11:D11"/>
    <mergeCell ref="E11:H11"/>
    <mergeCell ref="P11:Q11"/>
    <mergeCell ref="R11:S11"/>
    <mergeCell ref="W11:X11"/>
    <mergeCell ref="Y11:Z11"/>
    <mergeCell ref="AB11:AC11"/>
    <mergeCell ref="AD11:AE11"/>
    <mergeCell ref="R10:S10"/>
    <mergeCell ref="W10:X10"/>
    <mergeCell ref="Y10:Z10"/>
    <mergeCell ref="AB10:AC10"/>
    <mergeCell ref="B10:D10"/>
    <mergeCell ref="E10:H10"/>
    <mergeCell ref="J10:K10"/>
    <mergeCell ref="M10:N10"/>
    <mergeCell ref="P10:Q10"/>
    <mergeCell ref="AB6:AC6"/>
    <mergeCell ref="B8:D8"/>
    <mergeCell ref="E8:H8"/>
    <mergeCell ref="B9:D9"/>
    <mergeCell ref="E9:H9"/>
    <mergeCell ref="P9:Q9"/>
    <mergeCell ref="AB9:AC9"/>
    <mergeCell ref="B7:D7"/>
    <mergeCell ref="E7:H7"/>
    <mergeCell ref="AB7:AC7"/>
    <mergeCell ref="W9:X9"/>
    <mergeCell ref="P3:R3"/>
    <mergeCell ref="W3:Y3"/>
    <mergeCell ref="AB3:AD3"/>
    <mergeCell ref="B4:D4"/>
    <mergeCell ref="E4:H4"/>
    <mergeCell ref="K4:M4"/>
    <mergeCell ref="W4:Y4"/>
    <mergeCell ref="AB4:AD4"/>
    <mergeCell ref="B5:D5"/>
    <mergeCell ref="E5:H5"/>
    <mergeCell ref="B6:D6"/>
    <mergeCell ref="E6:H6"/>
    <mergeCell ref="J3:L3"/>
  </mergeCells>
  <dataValidations count="7">
    <dataValidation type="list" allowBlank="1" showInputMessage="1" showErrorMessage="1" sqref="E4:H4" xr:uid="{C582166D-27D6-4C5A-A881-58D462AFC0A0}">
      <formula1>"Apartment/Townhouse/House, Construction"</formula1>
    </dataValidation>
    <dataValidation type="custom" allowBlank="1" showInputMessage="1" showErrorMessage="1" errorTitle="Credit Policy" error="Minimum Loan $150,000.00_x000a_Maximum Loan $2,000,000.00" sqref="C7:D7" xr:uid="{8558223F-D939-45B3-954D-7DF715F130F6}">
      <formula1>AND(C7&lt;=2000000, C7&gt;=150000)</formula1>
    </dataValidation>
    <dataValidation type="list" allowBlank="1" showInputMessage="1" showErrorMessage="1" sqref="E5" xr:uid="{55759AD0-45A8-43A5-AAAB-6527D380EA54}">
      <formula1>"Yes, No"</formula1>
    </dataValidation>
    <dataValidation type="list" allowBlank="1" showInputMessage="1" showErrorMessage="1" prompt="Not Applicable to Contruction Loans" sqref="E6" xr:uid="{3EFE0F0D-2073-4DC4-A69B-FEAF3A393846}">
      <formula1>"Yes, No"</formula1>
    </dataValidation>
    <dataValidation type="list" allowBlank="1" showInputMessage="1" showErrorMessage="1" sqref="E10" xr:uid="{E9E22D68-39E7-403F-A2D2-D4D880EDCB41}">
      <formula1>"P&amp;I, IO"</formula1>
    </dataValidation>
    <dataValidation type="list" allowBlank="1" showInputMessage="1" showErrorMessage="1" prompt="When P&amp;I, ensure 0" sqref="E11" xr:uid="{D454FF63-5634-4E49-8002-91CFAF22C949}">
      <formula1>"0,1,2,3,4,5"</formula1>
    </dataValidation>
    <dataValidation allowBlank="1" showInputMessage="1" showErrorMessage="1" error="Minimun Loan Amount AUD $150,000_x000a_Maximun Loan Amount AUD $2,000,000" sqref="E7:H7" xr:uid="{81A46F8A-ABF2-4A6C-9B9B-ED53D1711395}"/>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0C39A-3AE4-4544-8243-D20BD04144AA}">
  <sheetPr codeName="Sheet11"/>
  <dimension ref="A1:AG178"/>
  <sheetViews>
    <sheetView workbookViewId="0"/>
  </sheetViews>
  <sheetFormatPr defaultColWidth="12.54296875" defaultRowHeight="15.5"/>
  <cols>
    <col min="1" max="1" width="12.54296875" style="54"/>
    <col min="2" max="2" width="19.7265625" style="54" customWidth="1"/>
    <col min="3" max="3" width="21.26953125" style="54" customWidth="1"/>
    <col min="4" max="11" width="12.54296875" style="54"/>
    <col min="12" max="12" width="17.7265625" style="54" customWidth="1"/>
    <col min="13" max="13" width="21.1796875" style="54" customWidth="1"/>
    <col min="14" max="16384" width="12.54296875" style="54"/>
  </cols>
  <sheetData>
    <row r="1" spans="1:32">
      <c r="J1" s="267"/>
      <c r="V1" s="267"/>
      <c r="W1" s="267"/>
      <c r="X1" s="267"/>
      <c r="Y1" s="267"/>
      <c r="Z1" s="267"/>
      <c r="AA1" s="267"/>
      <c r="AB1" s="267"/>
      <c r="AC1" s="267"/>
      <c r="AD1" s="267"/>
      <c r="AE1" s="267"/>
      <c r="AF1" s="267"/>
    </row>
    <row r="2" spans="1:32">
      <c r="A2" s="268" t="s">
        <v>55</v>
      </c>
      <c r="B2" s="269">
        <f>'Brighten Product'!$E$7</f>
        <v>1800000</v>
      </c>
      <c r="C2" s="267"/>
      <c r="D2" s="267"/>
      <c r="E2" s="267"/>
      <c r="F2" s="267"/>
      <c r="G2" s="267"/>
      <c r="H2" s="267"/>
      <c r="I2" s="267"/>
      <c r="J2" s="267"/>
      <c r="K2" s="270" t="s">
        <v>55</v>
      </c>
      <c r="L2" s="271">
        <f>B2</f>
        <v>1800000</v>
      </c>
      <c r="M2" s="272"/>
      <c r="N2" s="272"/>
      <c r="O2" s="272"/>
      <c r="P2" s="272"/>
      <c r="Q2" s="272"/>
      <c r="R2" s="272"/>
      <c r="S2" s="272"/>
      <c r="T2" s="272"/>
      <c r="U2" s="273"/>
      <c r="V2" s="267"/>
      <c r="W2" s="267"/>
      <c r="X2" s="267"/>
      <c r="Y2" s="267"/>
      <c r="Z2" s="267"/>
      <c r="AA2" s="267"/>
      <c r="AB2" s="267"/>
      <c r="AC2" s="267"/>
      <c r="AD2" s="267"/>
      <c r="AE2" s="267"/>
      <c r="AF2" s="267"/>
    </row>
    <row r="3" spans="1:32">
      <c r="A3" s="268" t="s">
        <v>68</v>
      </c>
      <c r="B3" s="274">
        <f>'Brighten Product'!$E$9</f>
        <v>0.6</v>
      </c>
      <c r="C3" s="267"/>
      <c r="D3" s="267"/>
      <c r="E3" s="267"/>
      <c r="F3" s="267"/>
      <c r="G3" s="267"/>
      <c r="H3" s="267"/>
      <c r="I3" s="267"/>
      <c r="J3" s="267"/>
      <c r="K3" s="270" t="s">
        <v>68</v>
      </c>
      <c r="L3" s="275">
        <f>B3</f>
        <v>0.6</v>
      </c>
      <c r="M3" s="272"/>
      <c r="N3" s="272"/>
      <c r="O3" s="272"/>
      <c r="P3" s="272"/>
      <c r="Q3" s="272"/>
      <c r="R3" s="272"/>
      <c r="S3" s="272"/>
      <c r="T3" s="272"/>
      <c r="U3" s="273"/>
      <c r="V3" s="267"/>
      <c r="W3" s="267"/>
      <c r="X3" s="267"/>
      <c r="Y3" s="267"/>
      <c r="Z3" s="267"/>
      <c r="AA3" s="267"/>
      <c r="AB3" s="267"/>
      <c r="AC3" s="267"/>
      <c r="AD3" s="267"/>
      <c r="AE3" s="267"/>
      <c r="AF3" s="267"/>
    </row>
    <row r="4" spans="1:32" ht="16" thickBot="1">
      <c r="A4" s="268"/>
      <c r="B4" s="274"/>
      <c r="C4" s="267"/>
      <c r="D4" s="267"/>
      <c r="E4" s="267"/>
      <c r="F4" s="267"/>
      <c r="G4" s="267"/>
      <c r="H4" s="267"/>
      <c r="I4" s="267"/>
      <c r="J4" s="267"/>
      <c r="K4" s="270"/>
      <c r="L4" s="275"/>
      <c r="M4" s="272"/>
      <c r="N4" s="272"/>
      <c r="O4" s="272"/>
      <c r="P4" s="272"/>
      <c r="Q4" s="272"/>
      <c r="R4" s="272"/>
      <c r="S4" s="272"/>
      <c r="T4" s="272"/>
      <c r="U4" s="273"/>
      <c r="V4" s="267"/>
      <c r="W4" s="267"/>
      <c r="X4" s="267"/>
      <c r="Y4" s="267"/>
      <c r="Z4" s="267"/>
      <c r="AA4" s="267"/>
      <c r="AB4" s="267"/>
      <c r="AC4" s="267"/>
      <c r="AD4" s="267"/>
      <c r="AE4" s="267"/>
      <c r="AF4" s="267"/>
    </row>
    <row r="5" spans="1:32">
      <c r="A5" s="1306" t="s">
        <v>418</v>
      </c>
      <c r="B5" s="1307"/>
      <c r="C5" s="1307"/>
      <c r="D5" s="1307"/>
      <c r="E5" s="1307"/>
      <c r="F5" s="1307"/>
      <c r="G5" s="1307"/>
      <c r="H5" s="1307"/>
      <c r="I5" s="1307"/>
      <c r="J5" s="267"/>
      <c r="K5" s="1308" t="s">
        <v>419</v>
      </c>
      <c r="L5" s="1309"/>
      <c r="M5" s="1309"/>
      <c r="N5" s="1309"/>
      <c r="O5" s="1309"/>
      <c r="P5" s="1309"/>
      <c r="Q5" s="1309"/>
      <c r="R5" s="1309"/>
      <c r="S5" s="1309"/>
      <c r="T5" s="1309"/>
      <c r="U5" s="1310"/>
      <c r="V5" s="267"/>
      <c r="W5" s="267"/>
      <c r="X5" s="267"/>
      <c r="Y5" s="267"/>
      <c r="Z5" s="267"/>
      <c r="AA5" s="267"/>
      <c r="AB5" s="267"/>
      <c r="AC5" s="267"/>
      <c r="AD5" s="267"/>
      <c r="AE5" s="267"/>
      <c r="AF5" s="267"/>
    </row>
    <row r="6" spans="1:32">
      <c r="A6" s="276"/>
      <c r="B6" s="277"/>
      <c r="C6" s="278"/>
      <c r="D6" s="278"/>
      <c r="E6" s="278"/>
      <c r="F6" s="278"/>
      <c r="G6" s="278"/>
      <c r="H6" s="278"/>
      <c r="I6" s="278"/>
      <c r="J6" s="267"/>
      <c r="K6" s="279"/>
      <c r="L6" s="280"/>
      <c r="M6" s="281"/>
      <c r="N6" s="281"/>
      <c r="O6" s="281"/>
      <c r="P6" s="281"/>
      <c r="Q6" s="281"/>
      <c r="R6" s="281"/>
      <c r="S6" s="281"/>
      <c r="T6" s="281"/>
      <c r="U6" s="282"/>
      <c r="V6" s="267"/>
      <c r="W6" s="267"/>
      <c r="X6" s="267"/>
      <c r="Y6" s="267"/>
      <c r="Z6" s="267"/>
      <c r="AA6" s="267"/>
      <c r="AB6" s="267"/>
      <c r="AC6" s="267"/>
      <c r="AD6" s="267"/>
      <c r="AE6" s="267"/>
      <c r="AF6" s="267"/>
    </row>
    <row r="7" spans="1:32" ht="16" thickBot="1">
      <c r="A7" s="276"/>
      <c r="B7" s="277"/>
      <c r="C7" s="278"/>
      <c r="D7" s="278"/>
      <c r="E7" s="278"/>
      <c r="F7" s="278"/>
      <c r="G7" s="278"/>
      <c r="H7" s="278"/>
      <c r="I7" s="278"/>
      <c r="J7" s="267"/>
      <c r="K7" s="279"/>
      <c r="L7" s="280"/>
      <c r="M7" s="281"/>
      <c r="N7" s="281"/>
      <c r="O7" s="281"/>
      <c r="P7" s="281"/>
      <c r="Q7" s="281"/>
      <c r="R7" s="281"/>
      <c r="S7" s="281"/>
      <c r="T7" s="281"/>
      <c r="U7" s="282"/>
      <c r="V7" s="267"/>
      <c r="W7" s="267"/>
      <c r="X7" s="283"/>
      <c r="Y7" s="274"/>
      <c r="Z7" s="274"/>
      <c r="AA7" s="274"/>
      <c r="AB7" s="274"/>
      <c r="AC7" s="274"/>
      <c r="AD7" s="267"/>
      <c r="AE7" s="267"/>
    </row>
    <row r="8" spans="1:32" ht="16.5" thickTop="1" thickBot="1">
      <c r="A8" s="278"/>
      <c r="B8" s="284"/>
      <c r="C8" s="285">
        <v>0.4</v>
      </c>
      <c r="D8" s="286">
        <v>0.5</v>
      </c>
      <c r="E8" s="286">
        <v>0.6</v>
      </c>
      <c r="F8" s="286">
        <v>0.7</v>
      </c>
      <c r="G8" s="287">
        <v>0.75</v>
      </c>
      <c r="H8" s="278"/>
      <c r="I8" s="278"/>
      <c r="J8" s="267"/>
      <c r="K8" s="281"/>
      <c r="L8" s="288"/>
      <c r="M8" s="289">
        <v>0.4</v>
      </c>
      <c r="N8" s="290">
        <v>0.5</v>
      </c>
      <c r="O8" s="290">
        <v>0.55000000000000004</v>
      </c>
      <c r="P8" s="290">
        <v>0.6</v>
      </c>
      <c r="Q8" s="290">
        <v>0.65</v>
      </c>
      <c r="R8" s="290">
        <v>0.7</v>
      </c>
      <c r="S8" s="291">
        <v>0.75</v>
      </c>
      <c r="T8" s="281"/>
      <c r="U8" s="282"/>
      <c r="V8" s="267"/>
      <c r="W8" s="269"/>
      <c r="X8" s="274"/>
      <c r="Y8" s="274"/>
      <c r="Z8" s="274"/>
      <c r="AA8" s="274"/>
      <c r="AB8" s="274"/>
      <c r="AC8" s="292"/>
      <c r="AD8" s="267"/>
      <c r="AE8" s="267"/>
    </row>
    <row r="9" spans="1:32">
      <c r="A9" s="278"/>
      <c r="B9" s="293">
        <v>300000</v>
      </c>
      <c r="C9" s="294">
        <v>1.5E-3</v>
      </c>
      <c r="D9" s="295">
        <v>7.0000000000000001E-3</v>
      </c>
      <c r="E9" s="295">
        <v>1.4500000000000001E-2</v>
      </c>
      <c r="F9" s="295">
        <v>1.7000000000000001E-2</v>
      </c>
      <c r="G9" s="296">
        <v>1.9900000000000001E-2</v>
      </c>
      <c r="H9" s="278"/>
      <c r="I9" s="278"/>
      <c r="J9" s="267"/>
      <c r="K9" s="281"/>
      <c r="L9" s="271">
        <v>150000</v>
      </c>
      <c r="M9" s="297">
        <v>1.5E-3</v>
      </c>
      <c r="N9" s="297">
        <v>7.0000000000000001E-3</v>
      </c>
      <c r="O9" s="297">
        <v>1.15E-2</v>
      </c>
      <c r="P9" s="298">
        <v>1.4500000000000001E-2</v>
      </c>
      <c r="Q9" s="299">
        <v>1.6500000000000001E-2</v>
      </c>
      <c r="R9" s="299">
        <v>1.7000000000000001E-2</v>
      </c>
      <c r="S9" s="300">
        <v>1.9900000000000001E-2</v>
      </c>
      <c r="T9" s="281"/>
      <c r="U9" s="282"/>
      <c r="V9" s="267"/>
      <c r="W9" s="269"/>
      <c r="X9" s="274"/>
      <c r="Y9" s="274"/>
      <c r="Z9" s="274"/>
      <c r="AA9" s="274"/>
      <c r="AB9" s="274"/>
      <c r="AC9" s="292"/>
      <c r="AD9" s="267"/>
      <c r="AE9" s="267"/>
    </row>
    <row r="10" spans="1:32">
      <c r="A10" s="278"/>
      <c r="B10" s="293">
        <v>500000</v>
      </c>
      <c r="C10" s="301">
        <v>3.0000000000000001E-3</v>
      </c>
      <c r="D10" s="302">
        <v>8.5000000000000006E-3</v>
      </c>
      <c r="E10" s="302">
        <v>1.6E-2</v>
      </c>
      <c r="F10" s="302">
        <v>1.8499999999999999E-2</v>
      </c>
      <c r="G10" s="303">
        <v>1.9900000000000001E-2</v>
      </c>
      <c r="H10" s="278"/>
      <c r="I10" s="278"/>
      <c r="J10" s="267"/>
      <c r="K10" s="281"/>
      <c r="L10" s="271">
        <v>300000</v>
      </c>
      <c r="M10" s="297">
        <v>3.0000000000000001E-3</v>
      </c>
      <c r="N10" s="297">
        <v>8.5000000000000006E-3</v>
      </c>
      <c r="O10" s="297">
        <v>1.2999999999999999E-2</v>
      </c>
      <c r="P10" s="298">
        <v>1.6E-2</v>
      </c>
      <c r="Q10" s="299">
        <v>1.7999999999999999E-2</v>
      </c>
      <c r="R10" s="299">
        <v>1.8499999999999999E-2</v>
      </c>
      <c r="S10" s="300">
        <v>1.9900000000000001E-2</v>
      </c>
      <c r="T10" s="281"/>
      <c r="U10" s="282"/>
      <c r="V10" s="267"/>
      <c r="W10" s="269"/>
      <c r="X10" s="292"/>
      <c r="Y10" s="292"/>
      <c r="Z10" s="274"/>
      <c r="AA10" s="274"/>
      <c r="AB10" s="274"/>
      <c r="AC10" s="292"/>
      <c r="AD10" s="267"/>
      <c r="AE10" s="267"/>
    </row>
    <row r="11" spans="1:32">
      <c r="A11" s="278"/>
      <c r="B11" s="293">
        <v>900000</v>
      </c>
      <c r="C11" s="301">
        <v>8.5000000000000006E-3</v>
      </c>
      <c r="D11" s="302">
        <v>1.35E-2</v>
      </c>
      <c r="E11" s="302">
        <v>1.7000000000000001E-2</v>
      </c>
      <c r="F11" s="302">
        <v>1.9E-2</v>
      </c>
      <c r="G11" s="303">
        <v>1.9900000000000001E-2</v>
      </c>
      <c r="H11" s="278"/>
      <c r="I11" s="278"/>
      <c r="J11" s="267"/>
      <c r="K11" s="281"/>
      <c r="L11" s="271">
        <v>500000</v>
      </c>
      <c r="M11" s="297">
        <v>8.5000000000000006E-3</v>
      </c>
      <c r="N11" s="297">
        <v>1.35E-2</v>
      </c>
      <c r="O11" s="297">
        <v>1.4500000000000001E-2</v>
      </c>
      <c r="P11" s="298">
        <v>1.7000000000000001E-2</v>
      </c>
      <c r="Q11" s="299">
        <v>1.8499999999999999E-2</v>
      </c>
      <c r="R11" s="299">
        <v>1.9E-2</v>
      </c>
      <c r="S11" s="300">
        <v>1.9900000000000001E-2</v>
      </c>
      <c r="T11" s="281"/>
      <c r="U11" s="282"/>
      <c r="V11" s="267"/>
      <c r="W11" s="269"/>
      <c r="X11" s="292"/>
      <c r="Y11" s="292"/>
      <c r="Z11" s="292"/>
      <c r="AA11" s="292"/>
      <c r="AB11" s="292"/>
      <c r="AC11" s="292"/>
      <c r="AD11" s="267"/>
      <c r="AE11" s="267"/>
    </row>
    <row r="12" spans="1:32" ht="16" thickBot="1">
      <c r="A12" s="278"/>
      <c r="B12" s="293">
        <v>900000</v>
      </c>
      <c r="C12" s="304">
        <v>1.0999999999999999E-2</v>
      </c>
      <c r="D12" s="305">
        <v>1.55E-2</v>
      </c>
      <c r="E12" s="305">
        <v>1.9E-2</v>
      </c>
      <c r="F12" s="305">
        <v>1.9900000000000001E-2</v>
      </c>
      <c r="G12" s="306">
        <v>1.9900000000000001E-2</v>
      </c>
      <c r="H12" s="278"/>
      <c r="I12" s="278"/>
      <c r="J12" s="267"/>
      <c r="K12" s="281"/>
      <c r="L12" s="307">
        <v>900000</v>
      </c>
      <c r="M12" s="308">
        <v>1.0999999999999999E-2</v>
      </c>
      <c r="N12" s="308">
        <v>1.55E-2</v>
      </c>
      <c r="O12" s="308">
        <v>1.8499999999999999E-2</v>
      </c>
      <c r="P12" s="309">
        <v>1.9E-2</v>
      </c>
      <c r="Q12" s="308">
        <v>1.9900000000000001E-2</v>
      </c>
      <c r="R12" s="308">
        <v>1.9900000000000001E-2</v>
      </c>
      <c r="S12" s="310">
        <v>1.9900000000000001E-2</v>
      </c>
      <c r="T12" s="281"/>
      <c r="U12" s="282"/>
      <c r="V12" s="267"/>
      <c r="W12" s="269"/>
      <c r="X12" s="311"/>
      <c r="Y12" s="311"/>
      <c r="Z12" s="311"/>
      <c r="AA12" s="311"/>
      <c r="AB12" s="311"/>
      <c r="AC12" s="311"/>
      <c r="AD12" s="267"/>
      <c r="AE12" s="267"/>
    </row>
    <row r="13" spans="1:32" ht="16" thickBot="1">
      <c r="A13" s="278"/>
      <c r="B13" s="312"/>
      <c r="C13" s="277"/>
      <c r="D13" s="277"/>
      <c r="E13" s="277"/>
      <c r="F13" s="277"/>
      <c r="G13" s="277"/>
      <c r="H13" s="278"/>
      <c r="I13" s="278"/>
      <c r="J13" s="267"/>
      <c r="K13" s="281"/>
      <c r="L13" s="313"/>
      <c r="M13" s="308"/>
      <c r="N13" s="308"/>
      <c r="O13" s="308"/>
      <c r="P13" s="308"/>
      <c r="Q13" s="308"/>
      <c r="R13" s="308"/>
      <c r="S13" s="308"/>
      <c r="T13" s="281"/>
      <c r="U13" s="282"/>
      <c r="V13" s="267"/>
      <c r="W13" s="269"/>
      <c r="X13" s="269"/>
      <c r="Y13" s="267"/>
      <c r="Z13" s="267"/>
      <c r="AA13" s="267"/>
      <c r="AB13" s="267"/>
      <c r="AC13" s="267"/>
      <c r="AD13" s="274"/>
      <c r="AE13" s="274"/>
    </row>
    <row r="14" spans="1:32" ht="16" thickTop="1">
      <c r="A14" s="278"/>
      <c r="B14" s="314"/>
      <c r="C14" s="315" t="str">
        <f>IF($B$3&lt;=C8, "1", "0")</f>
        <v>0</v>
      </c>
      <c r="D14" s="315" t="str">
        <f>IF(AND(C8&lt;$B$3,$B$3&lt;=D8),"1","0")</f>
        <v>0</v>
      </c>
      <c r="E14" s="315" t="str">
        <f>IF(AND(D8&lt;$B$3,$B$3&lt;=E8),"1","0")</f>
        <v>1</v>
      </c>
      <c r="F14" s="315" t="str">
        <f>IF(AND(E8&lt;$B$3,$B$3&lt;=F8),"1","0")</f>
        <v>0</v>
      </c>
      <c r="G14" s="315" t="str">
        <f>IF(AND(F8&lt;$B$3,$B$3&lt;=G8),"1","0")</f>
        <v>0</v>
      </c>
      <c r="H14" s="277"/>
      <c r="I14" s="277"/>
      <c r="J14" s="267"/>
      <c r="K14" s="281"/>
      <c r="L14" s="313"/>
      <c r="M14" s="316"/>
      <c r="N14" s="281"/>
      <c r="O14" s="281"/>
      <c r="P14" s="281"/>
      <c r="Q14" s="281"/>
      <c r="R14" s="281"/>
      <c r="S14" s="281"/>
      <c r="T14" s="297"/>
      <c r="U14" s="317"/>
      <c r="V14" s="267"/>
      <c r="W14" s="318"/>
      <c r="X14" s="319"/>
      <c r="Y14" s="319"/>
      <c r="Z14" s="319"/>
      <c r="AA14" s="319"/>
      <c r="AB14" s="319"/>
      <c r="AC14" s="319"/>
      <c r="AD14" s="274"/>
      <c r="AE14" s="267"/>
    </row>
    <row r="15" spans="1:32">
      <c r="A15" s="278"/>
      <c r="B15" s="278" t="str">
        <f>IF($B$2&lt;=B9,"1", "0")</f>
        <v>0</v>
      </c>
      <c r="C15" s="277">
        <f t="shared" ref="C15:G18" si="0">C9</f>
        <v>1.5E-3</v>
      </c>
      <c r="D15" s="277">
        <f t="shared" si="0"/>
        <v>7.0000000000000001E-3</v>
      </c>
      <c r="E15" s="277">
        <f t="shared" si="0"/>
        <v>1.4500000000000001E-2</v>
      </c>
      <c r="F15" s="277">
        <f t="shared" si="0"/>
        <v>1.7000000000000001E-2</v>
      </c>
      <c r="G15" s="277">
        <f t="shared" si="0"/>
        <v>1.9900000000000001E-2</v>
      </c>
      <c r="H15" s="277"/>
      <c r="I15" s="278"/>
      <c r="J15" s="267"/>
      <c r="K15" s="281"/>
      <c r="L15" s="320"/>
      <c r="M15" s="321" t="str">
        <f>IF($B$3&lt;M8, "1", "0")</f>
        <v>0</v>
      </c>
      <c r="N15" s="321" t="str">
        <f>IF(AND(M8&lt;=$B$3,$B$3&lt;N8), "1", "0")</f>
        <v>0</v>
      </c>
      <c r="O15" s="321" t="str">
        <f>IF(AND(N8&lt;=$B$3,$B$3&lt;O8), "1", "0")</f>
        <v>0</v>
      </c>
      <c r="P15" s="321" t="str">
        <f t="shared" ref="P15:R15" si="1">IF(AND(O8&lt;=$B$3,$B$3&lt;P8), "1", "0")</f>
        <v>0</v>
      </c>
      <c r="Q15" s="321" t="str">
        <f t="shared" si="1"/>
        <v>1</v>
      </c>
      <c r="R15" s="321" t="str">
        <f t="shared" si="1"/>
        <v>0</v>
      </c>
      <c r="S15" s="321" t="str">
        <f>IF(AND(R8&lt;=$B$3,$B$3&lt;=S8),"1","0")</f>
        <v>0</v>
      </c>
      <c r="T15" s="297"/>
      <c r="U15" s="282"/>
      <c r="V15" s="267"/>
      <c r="W15" s="267"/>
      <c r="X15" s="274"/>
      <c r="Y15" s="274"/>
      <c r="Z15" s="274"/>
      <c r="AA15" s="274"/>
      <c r="AB15" s="274"/>
      <c r="AC15" s="292"/>
      <c r="AD15" s="274"/>
      <c r="AE15" s="267"/>
    </row>
    <row r="16" spans="1:32">
      <c r="A16" s="278"/>
      <c r="B16" s="278" t="str">
        <f>IF(AND($B$2&gt;B9, $B$2&lt;=B10),"1", "0")</f>
        <v>0</v>
      </c>
      <c r="C16" s="277">
        <f t="shared" si="0"/>
        <v>3.0000000000000001E-3</v>
      </c>
      <c r="D16" s="277">
        <f t="shared" si="0"/>
        <v>8.5000000000000006E-3</v>
      </c>
      <c r="E16" s="277">
        <f t="shared" si="0"/>
        <v>1.6E-2</v>
      </c>
      <c r="F16" s="277">
        <f t="shared" si="0"/>
        <v>1.8499999999999999E-2</v>
      </c>
      <c r="G16" s="277">
        <f t="shared" si="0"/>
        <v>1.9900000000000001E-2</v>
      </c>
      <c r="H16" s="277"/>
      <c r="I16" s="278"/>
      <c r="J16" s="267"/>
      <c r="K16" s="281"/>
      <c r="L16" s="281" t="str">
        <f>IF(L2&lt;L9,"1", "0")</f>
        <v>0</v>
      </c>
      <c r="M16" s="297">
        <f>M9</f>
        <v>1.5E-3</v>
      </c>
      <c r="N16" s="297">
        <f t="shared" ref="N16:S16" si="2">N9</f>
        <v>7.0000000000000001E-3</v>
      </c>
      <c r="O16" s="297">
        <f t="shared" si="2"/>
        <v>1.15E-2</v>
      </c>
      <c r="P16" s="297">
        <f t="shared" si="2"/>
        <v>1.4500000000000001E-2</v>
      </c>
      <c r="Q16" s="297">
        <f t="shared" si="2"/>
        <v>1.6500000000000001E-2</v>
      </c>
      <c r="R16" s="297">
        <f t="shared" si="2"/>
        <v>1.7000000000000001E-2</v>
      </c>
      <c r="S16" s="297">
        <f t="shared" si="2"/>
        <v>1.9900000000000001E-2</v>
      </c>
      <c r="T16" s="297"/>
      <c r="U16" s="282"/>
      <c r="V16" s="267"/>
      <c r="W16" s="267"/>
      <c r="X16" s="274"/>
      <c r="Y16" s="274"/>
      <c r="Z16" s="274"/>
      <c r="AA16" s="274"/>
      <c r="AB16" s="274"/>
      <c r="AC16" s="292"/>
      <c r="AD16" s="274"/>
      <c r="AE16" s="267"/>
    </row>
    <row r="17" spans="1:33">
      <c r="A17" s="278"/>
      <c r="B17" s="278" t="str">
        <f>IF(AND($B$2&gt;B10, $B$2&lt;=B11),"1", "0")</f>
        <v>0</v>
      </c>
      <c r="C17" s="277">
        <f t="shared" si="0"/>
        <v>8.5000000000000006E-3</v>
      </c>
      <c r="D17" s="277">
        <f t="shared" si="0"/>
        <v>1.35E-2</v>
      </c>
      <c r="E17" s="277">
        <f t="shared" si="0"/>
        <v>1.7000000000000001E-2</v>
      </c>
      <c r="F17" s="277">
        <f t="shared" si="0"/>
        <v>1.9E-2</v>
      </c>
      <c r="G17" s="277">
        <f t="shared" si="0"/>
        <v>1.9900000000000001E-2</v>
      </c>
      <c r="H17" s="277"/>
      <c r="I17" s="278"/>
      <c r="J17" s="267"/>
      <c r="K17" s="281"/>
      <c r="L17" s="281" t="str">
        <f>IF(AND($B$2&gt;=L9, $B$2&lt;L10),"1", "0")</f>
        <v>0</v>
      </c>
      <c r="M17" s="297">
        <f t="shared" ref="M17:S19" si="3">M10</f>
        <v>3.0000000000000001E-3</v>
      </c>
      <c r="N17" s="297">
        <f t="shared" si="3"/>
        <v>8.5000000000000006E-3</v>
      </c>
      <c r="O17" s="297">
        <f t="shared" si="3"/>
        <v>1.2999999999999999E-2</v>
      </c>
      <c r="P17" s="297">
        <f t="shared" si="3"/>
        <v>1.6E-2</v>
      </c>
      <c r="Q17" s="297">
        <f>Q10</f>
        <v>1.7999999999999999E-2</v>
      </c>
      <c r="R17" s="297">
        <f t="shared" si="3"/>
        <v>1.8499999999999999E-2</v>
      </c>
      <c r="S17" s="297">
        <f t="shared" si="3"/>
        <v>1.9900000000000001E-2</v>
      </c>
      <c r="T17" s="297"/>
      <c r="U17" s="282"/>
      <c r="V17" s="267"/>
      <c r="W17" s="267"/>
      <c r="X17" s="292"/>
      <c r="Y17" s="292"/>
      <c r="Z17" s="274"/>
      <c r="AA17" s="274"/>
      <c r="AB17" s="274"/>
      <c r="AC17" s="292"/>
      <c r="AD17" s="267"/>
      <c r="AE17" s="267"/>
    </row>
    <row r="18" spans="1:33">
      <c r="A18" s="278"/>
      <c r="B18" s="278" t="str">
        <f>IF($B$2&gt;B11,"1", "0")</f>
        <v>1</v>
      </c>
      <c r="C18" s="277">
        <f t="shared" si="0"/>
        <v>1.0999999999999999E-2</v>
      </c>
      <c r="D18" s="277">
        <f t="shared" si="0"/>
        <v>1.55E-2</v>
      </c>
      <c r="E18" s="277">
        <f t="shared" si="0"/>
        <v>1.9E-2</v>
      </c>
      <c r="F18" s="277">
        <f t="shared" si="0"/>
        <v>1.9900000000000001E-2</v>
      </c>
      <c r="G18" s="277">
        <f t="shared" si="0"/>
        <v>1.9900000000000001E-2</v>
      </c>
      <c r="H18" s="278"/>
      <c r="I18" s="278"/>
      <c r="J18" s="267"/>
      <c r="K18" s="281"/>
      <c r="L18" s="281" t="str">
        <f>IF(AND($B$2&gt;=L10, $B$2&lt;L11),"1", "0")</f>
        <v>0</v>
      </c>
      <c r="M18" s="297">
        <f t="shared" si="3"/>
        <v>8.5000000000000006E-3</v>
      </c>
      <c r="N18" s="297">
        <f t="shared" si="3"/>
        <v>1.35E-2</v>
      </c>
      <c r="O18" s="297">
        <f t="shared" si="3"/>
        <v>1.4500000000000001E-2</v>
      </c>
      <c r="P18" s="297">
        <f t="shared" si="3"/>
        <v>1.7000000000000001E-2</v>
      </c>
      <c r="Q18" s="297">
        <f t="shared" si="3"/>
        <v>1.8499999999999999E-2</v>
      </c>
      <c r="R18" s="297">
        <f t="shared" si="3"/>
        <v>1.9E-2</v>
      </c>
      <c r="S18" s="297">
        <f t="shared" si="3"/>
        <v>1.9900000000000001E-2</v>
      </c>
      <c r="T18" s="281"/>
      <c r="U18" s="282"/>
      <c r="V18" s="267"/>
      <c r="W18" s="267"/>
      <c r="X18" s="292"/>
      <c r="Y18" s="292"/>
      <c r="Z18" s="292"/>
      <c r="AA18" s="292"/>
      <c r="AB18" s="292"/>
      <c r="AC18" s="292"/>
      <c r="AD18" s="267"/>
      <c r="AE18" s="267"/>
    </row>
    <row r="19" spans="1:33">
      <c r="A19" s="278"/>
      <c r="B19" s="278"/>
      <c r="C19" s="277"/>
      <c r="D19" s="277"/>
      <c r="E19" s="277"/>
      <c r="F19" s="277"/>
      <c r="G19" s="277"/>
      <c r="H19" s="278"/>
      <c r="I19" s="278"/>
      <c r="J19" s="267"/>
      <c r="K19" s="281"/>
      <c r="L19" s="281" t="str">
        <f>IF(AND($B$2&gt;=L11, $B$2&lt;L12),"1", "0")</f>
        <v>0</v>
      </c>
      <c r="M19" s="297">
        <f t="shared" si="3"/>
        <v>1.0999999999999999E-2</v>
      </c>
      <c r="N19" s="297">
        <f t="shared" si="3"/>
        <v>1.55E-2</v>
      </c>
      <c r="O19" s="297">
        <f t="shared" si="3"/>
        <v>1.8499999999999999E-2</v>
      </c>
      <c r="P19" s="297">
        <f t="shared" si="3"/>
        <v>1.9E-2</v>
      </c>
      <c r="Q19" s="297">
        <f t="shared" si="3"/>
        <v>1.9900000000000001E-2</v>
      </c>
      <c r="R19" s="297">
        <f t="shared" si="3"/>
        <v>1.9900000000000001E-2</v>
      </c>
      <c r="S19" s="297">
        <f t="shared" si="3"/>
        <v>1.9900000000000001E-2</v>
      </c>
      <c r="T19" s="281"/>
      <c r="U19" s="282"/>
      <c r="V19" s="267"/>
      <c r="W19" s="267"/>
      <c r="X19" s="311"/>
      <c r="Y19" s="311"/>
      <c r="Z19" s="311"/>
      <c r="AA19" s="311"/>
      <c r="AB19" s="311"/>
      <c r="AC19" s="311"/>
      <c r="AD19" s="267"/>
      <c r="AE19" s="267"/>
    </row>
    <row r="20" spans="1:33" ht="16" thickBot="1">
      <c r="A20" s="278" t="s">
        <v>420</v>
      </c>
      <c r="B20" s="54" t="s">
        <v>372</v>
      </c>
      <c r="C20" s="54" t="s">
        <v>378</v>
      </c>
      <c r="D20" s="54" t="s">
        <v>380</v>
      </c>
      <c r="H20" s="278"/>
      <c r="I20" s="278"/>
      <c r="J20" s="267"/>
      <c r="K20" s="281"/>
      <c r="L20" s="281"/>
      <c r="M20" s="308"/>
      <c r="N20" s="308"/>
      <c r="O20" s="308"/>
      <c r="P20" s="308"/>
      <c r="Q20" s="308"/>
      <c r="R20" s="308"/>
      <c r="S20" s="308"/>
      <c r="T20" s="281"/>
      <c r="U20" s="282"/>
      <c r="V20" s="267"/>
      <c r="W20" s="267"/>
      <c r="X20" s="267"/>
      <c r="Y20" s="267"/>
      <c r="Z20" s="267"/>
      <c r="AA20" s="267"/>
      <c r="AB20" s="267"/>
      <c r="AC20" s="267"/>
      <c r="AD20" s="267"/>
      <c r="AE20" s="267"/>
    </row>
    <row r="21" spans="1:33" ht="16" thickTop="1">
      <c r="A21" s="278"/>
      <c r="B21" s="278"/>
      <c r="C21" s="277">
        <v>0</v>
      </c>
      <c r="D21" s="277">
        <f>'Brighten Product'!$Y$12</f>
        <v>5.0000000000000001E-3</v>
      </c>
      <c r="E21" s="278"/>
      <c r="F21" s="277"/>
      <c r="H21" s="278"/>
      <c r="I21" s="278"/>
      <c r="J21" s="267"/>
      <c r="K21" s="281" t="s">
        <v>235</v>
      </c>
      <c r="L21" s="281"/>
      <c r="M21" s="281" t="s">
        <v>421</v>
      </c>
      <c r="N21" s="281"/>
      <c r="O21" s="281"/>
      <c r="P21" s="281"/>
      <c r="Q21" s="281"/>
      <c r="R21" s="281"/>
      <c r="S21" s="297"/>
      <c r="T21" s="281"/>
      <c r="U21" s="282"/>
      <c r="V21" s="274"/>
      <c r="W21" s="274"/>
      <c r="X21" s="274"/>
      <c r="Y21" s="267"/>
      <c r="Z21" s="267"/>
      <c r="AA21" s="267"/>
      <c r="AB21" s="267"/>
      <c r="AC21" s="267"/>
      <c r="AD21" s="267"/>
      <c r="AE21" s="267"/>
    </row>
    <row r="22" spans="1:33">
      <c r="A22" s="277">
        <f>VLOOKUP("1",B15:G18,(MATCH("1",B14:G14,0)),FALSE)</f>
        <v>1.9E-2</v>
      </c>
      <c r="B22" s="277"/>
      <c r="C22" s="277">
        <f>IF('Brighten Product'!E5="yes",'Risk Fee Matrix'!A22+'Risk Fee Matrix'!C21,'Risk Fee Matrix'!A22)</f>
        <v>1.9E-2</v>
      </c>
      <c r="D22" s="277">
        <f>IF('Brighten Product'!E6="yes",'Risk Fee Matrix'!C22+'Risk Fee Matrix'!D21,'Risk Fee Matrix'!C22)</f>
        <v>2.4E-2</v>
      </c>
      <c r="E22" s="278"/>
      <c r="F22" s="278"/>
      <c r="G22" s="277"/>
      <c r="H22" s="278"/>
      <c r="I22" s="278"/>
      <c r="J22" s="267"/>
      <c r="K22" s="322" t="str">
        <f>IF(L2&gt;1500000," 2.49%", VLOOKUP("1",L16:S20,(MATCH("1",L15:S15,0)),FALSE))</f>
        <v xml:space="preserve"> 2.49%</v>
      </c>
      <c r="L22" s="322"/>
      <c r="M22" s="322">
        <f>IF('Brighten Product'!E6="yes",'Risk Fee Matrix'!K22+0.5%, K22)</f>
        <v>2.9899999999999999E-2</v>
      </c>
      <c r="N22" s="281"/>
      <c r="O22" s="281"/>
      <c r="P22" s="281"/>
      <c r="Q22" s="281"/>
      <c r="R22" s="281"/>
      <c r="S22" s="297"/>
      <c r="T22" s="281"/>
      <c r="U22" s="282"/>
      <c r="V22" s="274"/>
      <c r="W22" s="274"/>
      <c r="X22" s="267"/>
      <c r="Y22" s="267"/>
      <c r="Z22" s="267"/>
      <c r="AA22" s="267"/>
      <c r="AB22" s="267"/>
      <c r="AC22" s="267"/>
      <c r="AD22" s="267"/>
      <c r="AE22" s="267"/>
    </row>
    <row r="23" spans="1:33">
      <c r="A23" s="277"/>
      <c r="B23" s="277"/>
      <c r="C23" s="278"/>
      <c r="D23" s="278"/>
      <c r="E23" s="278"/>
      <c r="F23" s="278"/>
      <c r="G23" s="277"/>
      <c r="H23" s="278"/>
      <c r="I23" s="278"/>
      <c r="J23" s="267"/>
      <c r="K23" s="322"/>
      <c r="L23" s="322"/>
      <c r="M23" s="281"/>
      <c r="N23" s="281"/>
      <c r="O23" s="281"/>
      <c r="P23" s="281"/>
      <c r="Q23" s="281"/>
      <c r="R23" s="281"/>
      <c r="S23" s="297"/>
      <c r="T23" s="281"/>
      <c r="U23" s="282"/>
      <c r="V23" s="274"/>
      <c r="W23" s="274"/>
      <c r="X23" s="267"/>
      <c r="Y23" s="267"/>
      <c r="Z23" s="267"/>
      <c r="AA23" s="267"/>
      <c r="AB23" s="267"/>
      <c r="AC23" s="267"/>
      <c r="AD23" s="267"/>
      <c r="AE23" s="267"/>
    </row>
    <row r="24" spans="1:33">
      <c r="A24" s="277" t="s">
        <v>422</v>
      </c>
      <c r="B24" s="277"/>
      <c r="C24" s="278"/>
      <c r="D24" s="278"/>
      <c r="E24" s="278"/>
      <c r="F24" s="278"/>
      <c r="G24" s="277"/>
      <c r="H24" s="278"/>
      <c r="I24" s="278"/>
      <c r="J24" s="267"/>
      <c r="K24" s="322" t="s">
        <v>422</v>
      </c>
      <c r="L24" s="322"/>
      <c r="M24" s="281"/>
      <c r="N24" s="281"/>
      <c r="O24" s="281"/>
      <c r="P24" s="281"/>
      <c r="Q24" s="281"/>
      <c r="R24" s="281"/>
      <c r="S24" s="297"/>
      <c r="T24" s="281"/>
      <c r="U24" s="282"/>
      <c r="V24" s="323"/>
      <c r="W24" s="267"/>
      <c r="X24" s="267"/>
      <c r="Y24" s="267"/>
      <c r="Z24" s="267"/>
      <c r="AA24" s="267"/>
      <c r="AB24" s="267"/>
      <c r="AC24" s="267"/>
      <c r="AD24" s="267"/>
      <c r="AE24" s="267"/>
    </row>
    <row r="25" spans="1:33">
      <c r="A25" s="324">
        <f>D22</f>
        <v>2.4E-2</v>
      </c>
      <c r="B25" s="278"/>
      <c r="C25" s="278"/>
      <c r="D25" s="278"/>
      <c r="E25" s="278"/>
      <c r="F25" s="278"/>
      <c r="G25" s="278"/>
      <c r="H25" s="278"/>
      <c r="I25" s="278"/>
      <c r="J25" s="267"/>
      <c r="K25" s="325">
        <f>IF('Brighten Product'!E5="Yes",M22+0.75%, M22)</f>
        <v>2.9899999999999999E-2</v>
      </c>
      <c r="L25" s="281"/>
      <c r="M25" s="281"/>
      <c r="N25" s="281"/>
      <c r="O25" s="281"/>
      <c r="P25" s="281"/>
      <c r="Q25" s="281"/>
      <c r="R25" s="281"/>
      <c r="S25" s="281"/>
      <c r="T25" s="281"/>
      <c r="U25" s="282"/>
      <c r="V25" s="274"/>
      <c r="W25" s="267"/>
      <c r="X25" s="267"/>
      <c r="Y25" s="267"/>
      <c r="Z25" s="267"/>
      <c r="AA25" s="267"/>
      <c r="AB25" s="267"/>
      <c r="AC25" s="267"/>
      <c r="AD25" s="267"/>
      <c r="AE25" s="267"/>
    </row>
    <row r="26" spans="1:33">
      <c r="A26" s="326"/>
      <c r="B26" s="278"/>
      <c r="C26" s="278"/>
      <c r="D26" s="278"/>
      <c r="E26" s="278"/>
      <c r="F26" s="278"/>
      <c r="G26" s="278"/>
      <c r="H26" s="278"/>
      <c r="I26" s="278"/>
      <c r="J26" s="267"/>
      <c r="K26" s="327"/>
      <c r="L26" s="281"/>
      <c r="M26" s="281"/>
      <c r="N26" s="281"/>
      <c r="O26" s="281"/>
      <c r="P26" s="281"/>
      <c r="Q26" s="281"/>
      <c r="R26" s="281"/>
      <c r="S26" s="281"/>
      <c r="T26" s="281"/>
      <c r="U26" s="282"/>
      <c r="V26" s="274"/>
      <c r="W26" s="267"/>
      <c r="X26" s="267"/>
      <c r="Y26" s="267"/>
      <c r="Z26" s="267"/>
      <c r="AA26" s="267"/>
      <c r="AB26" s="267"/>
      <c r="AC26" s="267"/>
      <c r="AD26" s="267"/>
      <c r="AE26" s="267"/>
    </row>
    <row r="27" spans="1:33">
      <c r="A27" s="326"/>
      <c r="B27" s="278"/>
      <c r="C27" s="278"/>
      <c r="D27" s="278"/>
      <c r="E27" s="278"/>
      <c r="F27" s="278"/>
      <c r="G27" s="278"/>
      <c r="H27" s="278"/>
      <c r="I27" s="278"/>
      <c r="J27" s="267"/>
      <c r="K27" s="327"/>
      <c r="L27" s="281"/>
      <c r="M27" s="281"/>
      <c r="N27" s="281"/>
      <c r="O27" s="281"/>
      <c r="P27" s="281"/>
      <c r="Q27" s="281"/>
      <c r="R27" s="281"/>
      <c r="S27" s="281"/>
      <c r="T27" s="281"/>
      <c r="U27" s="282"/>
      <c r="V27" s="274"/>
      <c r="W27" s="267"/>
      <c r="X27" s="267"/>
      <c r="Y27" s="267"/>
      <c r="Z27" s="267"/>
      <c r="AA27" s="267"/>
      <c r="AB27" s="267"/>
      <c r="AC27" s="267"/>
      <c r="AD27" s="267"/>
      <c r="AE27" s="267"/>
    </row>
    <row r="28" spans="1:33">
      <c r="A28" s="326"/>
      <c r="B28" s="278"/>
      <c r="C28" s="278"/>
      <c r="D28" s="278"/>
      <c r="E28" s="278"/>
      <c r="F28" s="278"/>
      <c r="G28" s="278"/>
      <c r="H28" s="278"/>
      <c r="I28" s="278"/>
      <c r="J28" s="267"/>
      <c r="K28" s="327"/>
      <c r="L28" s="281"/>
      <c r="M28" s="281"/>
      <c r="N28" s="281"/>
      <c r="O28" s="281"/>
      <c r="P28" s="281"/>
      <c r="Q28" s="281"/>
      <c r="R28" s="281"/>
      <c r="S28" s="281"/>
      <c r="T28" s="281"/>
      <c r="U28" s="282"/>
      <c r="V28" s="274"/>
      <c r="W28" s="267"/>
      <c r="X28" s="267"/>
      <c r="Y28" s="267"/>
      <c r="Z28" s="267"/>
      <c r="AA28" s="267"/>
      <c r="AB28" s="267"/>
      <c r="AC28" s="267"/>
      <c r="AD28" s="267"/>
      <c r="AE28" s="267"/>
    </row>
    <row r="29" spans="1:33" ht="16" thickBot="1">
      <c r="A29" s="328"/>
      <c r="B29" s="329"/>
      <c r="C29" s="329"/>
      <c r="D29" s="329"/>
      <c r="E29" s="329"/>
      <c r="F29" s="329"/>
      <c r="G29" s="329"/>
      <c r="H29" s="329"/>
      <c r="I29" s="329"/>
      <c r="J29" s="267"/>
      <c r="K29" s="330"/>
      <c r="L29" s="331"/>
      <c r="M29" s="331"/>
      <c r="N29" s="331"/>
      <c r="O29" s="331"/>
      <c r="P29" s="331"/>
      <c r="Q29" s="331"/>
      <c r="R29" s="331"/>
      <c r="S29" s="331"/>
      <c r="T29" s="331"/>
      <c r="U29" s="332"/>
      <c r="V29" s="267"/>
      <c r="W29" s="267"/>
      <c r="X29" s="267"/>
      <c r="Y29" s="267"/>
      <c r="Z29" s="267"/>
      <c r="AA29" s="267"/>
      <c r="AB29" s="267"/>
      <c r="AC29" s="267"/>
      <c r="AD29" s="267"/>
      <c r="AE29" s="267"/>
    </row>
    <row r="30" spans="1:33">
      <c r="A30" s="274"/>
      <c r="B30" s="267"/>
      <c r="C30" s="267"/>
      <c r="D30" s="267"/>
      <c r="E30" s="267"/>
      <c r="F30" s="267"/>
      <c r="G30" s="267"/>
      <c r="H30" s="267"/>
      <c r="I30" s="267"/>
      <c r="J30" s="267"/>
      <c r="K30" s="267"/>
      <c r="L30" s="267"/>
      <c r="M30" s="267"/>
      <c r="N30" s="267"/>
      <c r="O30" s="267"/>
      <c r="P30" s="267"/>
      <c r="Q30" s="267"/>
      <c r="R30" s="267"/>
      <c r="S30" s="267"/>
      <c r="T30" s="267"/>
      <c r="U30" s="267"/>
      <c r="V30" s="267"/>
      <c r="W30" s="267"/>
      <c r="X30" s="267"/>
      <c r="Y30" s="267"/>
      <c r="Z30" s="267"/>
      <c r="AA30" s="267"/>
      <c r="AB30" s="267"/>
      <c r="AC30" s="267"/>
      <c r="AD30" s="267"/>
      <c r="AE30" s="267"/>
      <c r="AF30" s="267"/>
      <c r="AG30" s="267"/>
    </row>
    <row r="31" spans="1:33">
      <c r="A31" s="267"/>
      <c r="B31" s="267"/>
      <c r="C31" s="267"/>
      <c r="D31" s="267"/>
      <c r="E31" s="267"/>
      <c r="F31" s="267"/>
      <c r="G31" s="267"/>
      <c r="H31" s="267"/>
      <c r="I31" s="267"/>
      <c r="J31" s="267"/>
      <c r="K31" s="267"/>
      <c r="L31" s="267"/>
      <c r="M31" s="267"/>
      <c r="N31" s="274"/>
      <c r="O31" s="267"/>
      <c r="P31" s="267"/>
      <c r="Q31" s="267"/>
      <c r="R31" s="267"/>
      <c r="S31" s="267"/>
      <c r="T31" s="267"/>
      <c r="U31" s="267"/>
      <c r="V31" s="267"/>
      <c r="W31" s="267"/>
      <c r="X31" s="267"/>
      <c r="Y31" s="267"/>
      <c r="Z31" s="267"/>
      <c r="AA31" s="267"/>
      <c r="AB31" s="267"/>
      <c r="AC31" s="267"/>
      <c r="AD31" s="267"/>
      <c r="AE31" s="267"/>
      <c r="AF31" s="267"/>
      <c r="AG31" s="267"/>
    </row>
    <row r="32" spans="1:33">
      <c r="A32" s="272"/>
      <c r="B32" s="272"/>
      <c r="C32" s="272"/>
      <c r="D32" s="272"/>
      <c r="E32" s="272"/>
      <c r="F32" s="272"/>
      <c r="G32" s="272"/>
      <c r="H32" s="272"/>
      <c r="I32" s="272"/>
      <c r="J32" s="272"/>
      <c r="K32" s="267"/>
      <c r="L32" s="267"/>
      <c r="M32" s="267"/>
      <c r="N32" s="267"/>
      <c r="O32" s="274"/>
      <c r="P32" s="274"/>
      <c r="Q32" s="274"/>
      <c r="R32" s="267"/>
      <c r="S32" s="267"/>
      <c r="T32" s="267"/>
      <c r="U32" s="267"/>
      <c r="V32" s="267"/>
      <c r="W32" s="267"/>
      <c r="X32" s="267"/>
      <c r="Y32" s="267"/>
      <c r="Z32" s="267"/>
      <c r="AA32" s="267"/>
      <c r="AB32" s="267"/>
      <c r="AC32" s="267"/>
      <c r="AD32" s="267"/>
      <c r="AE32" s="267"/>
      <c r="AF32" s="267"/>
      <c r="AG32" s="267"/>
    </row>
    <row r="33" spans="1:33" ht="16" thickBot="1">
      <c r="A33" s="272"/>
      <c r="B33" s="272"/>
      <c r="C33" s="272"/>
      <c r="D33" s="272"/>
      <c r="E33" s="272"/>
      <c r="F33" s="272"/>
      <c r="G33" s="272"/>
      <c r="H33" s="272"/>
      <c r="I33" s="272"/>
      <c r="J33" s="272"/>
      <c r="K33" s="267"/>
      <c r="L33" s="267"/>
      <c r="M33" s="267"/>
      <c r="N33" s="269"/>
      <c r="O33" s="274"/>
      <c r="P33" s="274"/>
      <c r="Q33" s="274"/>
      <c r="R33" s="267"/>
      <c r="S33" s="267"/>
      <c r="T33" s="267"/>
      <c r="U33" s="267"/>
      <c r="V33" s="267"/>
      <c r="W33" s="267"/>
      <c r="X33" s="267"/>
      <c r="Y33" s="267"/>
      <c r="Z33" s="267"/>
      <c r="AA33" s="267"/>
      <c r="AB33" s="267"/>
      <c r="AC33" s="267"/>
      <c r="AD33" s="267"/>
      <c r="AE33" s="267"/>
      <c r="AF33" s="267"/>
      <c r="AG33" s="267"/>
    </row>
    <row r="34" spans="1:33" ht="16" thickBot="1">
      <c r="A34" s="1306" t="s">
        <v>423</v>
      </c>
      <c r="B34" s="1307"/>
      <c r="C34" s="1307"/>
      <c r="D34" s="1307"/>
      <c r="E34" s="1307"/>
      <c r="F34" s="1307"/>
      <c r="G34" s="1307"/>
      <c r="H34" s="1307"/>
      <c r="I34" s="1307"/>
      <c r="K34" s="333" t="s">
        <v>424</v>
      </c>
      <c r="L34" s="334"/>
      <c r="M34" s="333"/>
      <c r="N34" s="333"/>
      <c r="O34" s="333"/>
      <c r="P34" s="333"/>
      <c r="Q34" s="333"/>
      <c r="R34" s="333"/>
      <c r="S34" s="333"/>
      <c r="T34" s="333"/>
      <c r="U34" s="267"/>
      <c r="V34" s="267"/>
      <c r="W34" s="267"/>
      <c r="X34" s="267"/>
      <c r="Y34" s="267"/>
      <c r="Z34" s="267"/>
      <c r="AA34" s="267"/>
      <c r="AB34" s="267"/>
      <c r="AC34" s="267"/>
      <c r="AD34" s="267"/>
      <c r="AE34" s="267"/>
      <c r="AF34" s="267"/>
      <c r="AG34" s="267"/>
    </row>
    <row r="35" spans="1:33" ht="16" thickTop="1">
      <c r="A35" s="276"/>
      <c r="B35" s="277"/>
      <c r="C35" s="278"/>
      <c r="D35" s="278"/>
      <c r="E35" s="278"/>
      <c r="F35" s="278"/>
      <c r="G35" s="278"/>
      <c r="H35" s="278"/>
      <c r="I35" s="278"/>
      <c r="K35" s="333"/>
      <c r="L35" s="335"/>
      <c r="M35" s="336">
        <v>0.4</v>
      </c>
      <c r="N35" s="336">
        <v>0.5</v>
      </c>
      <c r="O35" s="336">
        <v>0.55000000000000004</v>
      </c>
      <c r="P35" s="336">
        <v>0.6</v>
      </c>
      <c r="Q35" s="336">
        <v>0.65</v>
      </c>
      <c r="R35" s="336">
        <v>0.7</v>
      </c>
      <c r="S35" s="337">
        <v>0.75</v>
      </c>
      <c r="T35" s="338"/>
      <c r="U35" s="267"/>
      <c r="V35" s="267"/>
      <c r="W35" s="267"/>
      <c r="X35" s="267"/>
      <c r="Y35" s="267"/>
      <c r="Z35" s="267"/>
      <c r="AA35" s="267"/>
      <c r="AB35" s="267"/>
      <c r="AC35" s="267"/>
      <c r="AD35" s="267"/>
      <c r="AE35" s="267"/>
      <c r="AF35" s="267"/>
      <c r="AG35" s="267"/>
    </row>
    <row r="36" spans="1:33" ht="16" thickBot="1">
      <c r="A36" s="276"/>
      <c r="B36" s="277"/>
      <c r="C36" s="278"/>
      <c r="D36" s="278"/>
      <c r="E36" s="278"/>
      <c r="F36" s="278"/>
      <c r="G36" s="278"/>
      <c r="H36" s="278"/>
      <c r="I36" s="278"/>
      <c r="K36" s="333"/>
      <c r="L36" s="339"/>
      <c r="M36" s="340">
        <v>1.2500000000000001E-2</v>
      </c>
      <c r="N36" s="340">
        <v>1.2500000000000001E-2</v>
      </c>
      <c r="O36" s="340">
        <v>1.4999999999999999E-2</v>
      </c>
      <c r="P36" s="340">
        <v>1.4999999999999999E-2</v>
      </c>
      <c r="Q36" s="340">
        <v>1.4999999999999999E-2</v>
      </c>
      <c r="R36" s="341">
        <v>1.7500000000000002E-2</v>
      </c>
      <c r="S36" s="340">
        <v>1.7500000000000002E-2</v>
      </c>
      <c r="T36" s="333"/>
      <c r="U36" s="267"/>
      <c r="V36" s="267"/>
      <c r="W36" s="267"/>
      <c r="X36" s="267"/>
      <c r="Y36" s="267"/>
      <c r="Z36" s="267"/>
      <c r="AA36" s="267"/>
      <c r="AB36" s="267"/>
      <c r="AC36" s="267"/>
      <c r="AD36" s="267"/>
      <c r="AE36" s="267"/>
      <c r="AF36" s="267"/>
      <c r="AG36" s="267"/>
    </row>
    <row r="37" spans="1:33" ht="16" thickTop="1">
      <c r="A37" s="278"/>
      <c r="B37" s="284"/>
      <c r="C37" s="286">
        <v>0.5</v>
      </c>
      <c r="D37" s="286">
        <v>0.65</v>
      </c>
      <c r="E37" s="286">
        <v>0.7</v>
      </c>
      <c r="F37" s="286">
        <v>0.75</v>
      </c>
      <c r="G37" s="278"/>
      <c r="H37" s="278"/>
      <c r="I37" s="278"/>
      <c r="K37" s="333"/>
      <c r="L37" s="339" t="s">
        <v>425</v>
      </c>
      <c r="M37" s="342"/>
      <c r="N37" s="341"/>
      <c r="O37" s="341"/>
      <c r="P37" s="341"/>
      <c r="Q37" s="341"/>
      <c r="R37" s="341"/>
      <c r="S37" s="343"/>
      <c r="T37" s="333"/>
      <c r="U37" s="267"/>
      <c r="V37" s="267"/>
      <c r="W37" s="267"/>
      <c r="X37" s="267"/>
      <c r="Y37" s="267"/>
      <c r="Z37" s="267"/>
      <c r="AA37" s="267"/>
      <c r="AB37" s="267"/>
      <c r="AC37" s="267"/>
      <c r="AD37" s="267"/>
      <c r="AE37" s="267"/>
      <c r="AF37" s="267"/>
      <c r="AG37" s="267"/>
    </row>
    <row r="38" spans="1:33" ht="16" thickBot="1">
      <c r="A38" s="278"/>
      <c r="B38" s="1013">
        <v>500000</v>
      </c>
      <c r="C38" s="302">
        <v>0</v>
      </c>
      <c r="D38" s="302">
        <v>0</v>
      </c>
      <c r="E38" s="302">
        <v>0</v>
      </c>
      <c r="F38" s="302">
        <v>0</v>
      </c>
      <c r="G38" s="278"/>
      <c r="H38" s="278"/>
      <c r="I38" s="278"/>
      <c r="K38" s="333"/>
      <c r="L38" s="345" t="s">
        <v>426</v>
      </c>
      <c r="M38" s="346" t="s">
        <v>427</v>
      </c>
      <c r="N38" s="347"/>
      <c r="O38" s="347"/>
      <c r="P38" s="347"/>
      <c r="Q38" s="347"/>
      <c r="R38" s="347"/>
      <c r="S38" s="348"/>
      <c r="T38" s="333"/>
      <c r="U38" s="267"/>
      <c r="V38" s="267"/>
      <c r="W38" s="267"/>
      <c r="X38" s="267"/>
      <c r="Y38" s="267"/>
      <c r="Z38" s="267"/>
      <c r="AA38" s="267"/>
      <c r="AB38" s="267"/>
      <c r="AC38" s="267"/>
      <c r="AD38" s="267"/>
      <c r="AE38" s="267"/>
      <c r="AF38" s="267"/>
      <c r="AG38" s="267"/>
    </row>
    <row r="39" spans="1:33" ht="16" thickTop="1">
      <c r="A39" s="278"/>
      <c r="B39" s="344">
        <v>600000</v>
      </c>
      <c r="C39" s="302">
        <v>0</v>
      </c>
      <c r="D39" s="302">
        <v>0</v>
      </c>
      <c r="E39" s="302">
        <v>0</v>
      </c>
      <c r="F39" s="302">
        <v>0</v>
      </c>
      <c r="G39" s="278"/>
      <c r="H39" s="278"/>
      <c r="I39" s="278"/>
      <c r="K39" s="333"/>
      <c r="L39" s="349"/>
      <c r="M39" s="333"/>
      <c r="N39" s="333"/>
      <c r="O39" s="333"/>
      <c r="P39" s="333"/>
      <c r="Q39" s="333"/>
      <c r="R39" s="333"/>
      <c r="S39" s="333"/>
      <c r="T39" s="333"/>
      <c r="U39" s="267"/>
      <c r="V39" s="267"/>
      <c r="W39" s="267"/>
      <c r="X39" s="267"/>
      <c r="Y39" s="267"/>
      <c r="Z39" s="267"/>
      <c r="AA39" s="267"/>
      <c r="AB39" s="267"/>
      <c r="AC39" s="267"/>
      <c r="AD39" s="267"/>
      <c r="AE39" s="267"/>
      <c r="AF39" s="267"/>
      <c r="AG39" s="267"/>
    </row>
    <row r="40" spans="1:33">
      <c r="A40" s="278"/>
      <c r="B40" s="344">
        <v>750000</v>
      </c>
      <c r="C40" s="302">
        <v>0</v>
      </c>
      <c r="D40" s="302">
        <v>0</v>
      </c>
      <c r="E40" s="302">
        <v>0</v>
      </c>
      <c r="F40" s="302">
        <v>0</v>
      </c>
      <c r="G40" s="278"/>
      <c r="H40" s="278"/>
      <c r="I40" s="278"/>
      <c r="K40" s="333"/>
      <c r="L40" s="349"/>
      <c r="M40" s="333"/>
      <c r="N40" s="333"/>
      <c r="O40" s="333"/>
      <c r="P40" s="333"/>
      <c r="Q40" s="333"/>
      <c r="R40" s="333"/>
      <c r="S40" s="333"/>
      <c r="T40" s="333"/>
      <c r="U40" s="267"/>
      <c r="V40" s="267"/>
      <c r="W40" s="267"/>
      <c r="X40" s="267"/>
      <c r="Y40" s="267"/>
      <c r="Z40" s="267"/>
      <c r="AA40" s="267"/>
      <c r="AB40" s="267"/>
      <c r="AC40" s="267"/>
      <c r="AD40" s="267"/>
      <c r="AE40" s="267"/>
      <c r="AF40" s="267"/>
      <c r="AG40" s="267"/>
    </row>
    <row r="41" spans="1:33">
      <c r="A41" s="278"/>
      <c r="B41" s="344">
        <v>900000</v>
      </c>
      <c r="C41" s="302">
        <v>0</v>
      </c>
      <c r="D41" s="302">
        <v>0</v>
      </c>
      <c r="E41" s="302">
        <v>0</v>
      </c>
      <c r="F41" s="302">
        <v>0</v>
      </c>
      <c r="G41" s="278"/>
      <c r="H41" s="278"/>
      <c r="I41" s="278"/>
      <c r="K41" s="333"/>
      <c r="L41" s="349"/>
      <c r="M41" s="333"/>
      <c r="N41" s="333"/>
      <c r="O41" s="333"/>
      <c r="P41" s="333"/>
      <c r="Q41" s="333"/>
      <c r="R41" s="333"/>
      <c r="S41" s="333"/>
      <c r="T41" s="333"/>
      <c r="U41" s="267"/>
      <c r="V41" s="267"/>
      <c r="W41" s="267"/>
      <c r="X41" s="267"/>
      <c r="Y41" s="267"/>
      <c r="Z41" s="267"/>
      <c r="AA41" s="267"/>
      <c r="AB41" s="267"/>
      <c r="AC41" s="267"/>
      <c r="AD41" s="267"/>
      <c r="AE41" s="267"/>
      <c r="AF41" s="267"/>
      <c r="AG41" s="267"/>
    </row>
    <row r="42" spans="1:33">
      <c r="A42" s="278"/>
      <c r="B42" s="344">
        <v>1000000</v>
      </c>
      <c r="C42" s="302">
        <v>0</v>
      </c>
      <c r="D42" s="302">
        <v>0</v>
      </c>
      <c r="E42" s="302">
        <v>0</v>
      </c>
      <c r="F42" s="302">
        <v>0</v>
      </c>
      <c r="G42" s="278"/>
      <c r="H42" s="278"/>
      <c r="I42" s="278"/>
      <c r="K42" s="333"/>
      <c r="L42" s="349"/>
      <c r="M42" s="333"/>
      <c r="N42" s="333"/>
      <c r="O42" s="333"/>
      <c r="P42" s="333"/>
      <c r="Q42" s="333"/>
      <c r="R42" s="333"/>
      <c r="S42" s="333"/>
      <c r="T42" s="333"/>
      <c r="U42" s="267"/>
      <c r="V42" s="267"/>
      <c r="W42" s="267"/>
      <c r="X42" s="267"/>
      <c r="Y42" s="267"/>
      <c r="Z42" s="267"/>
      <c r="AA42" s="267"/>
      <c r="AB42" s="267"/>
      <c r="AC42" s="267"/>
      <c r="AD42" s="267"/>
      <c r="AE42" s="267"/>
      <c r="AF42" s="267"/>
      <c r="AG42" s="267"/>
    </row>
    <row r="43" spans="1:33">
      <c r="A43" s="278"/>
      <c r="B43" s="293">
        <v>1500000</v>
      </c>
      <c r="C43" s="302">
        <v>0</v>
      </c>
      <c r="D43" s="302">
        <v>0</v>
      </c>
      <c r="E43" s="302">
        <v>0</v>
      </c>
      <c r="F43" s="302"/>
      <c r="G43" s="278"/>
      <c r="H43" s="278"/>
      <c r="I43" s="278"/>
      <c r="K43" s="333"/>
      <c r="L43" s="349"/>
      <c r="M43" s="333"/>
      <c r="N43" s="333"/>
      <c r="O43" s="333"/>
      <c r="P43" s="333"/>
      <c r="Q43" s="333"/>
      <c r="R43" s="333"/>
      <c r="S43" s="333"/>
      <c r="T43" s="333"/>
      <c r="U43" s="267"/>
      <c r="V43" s="267"/>
      <c r="W43" s="267"/>
      <c r="X43" s="267"/>
      <c r="Y43" s="267"/>
      <c r="Z43" s="267"/>
      <c r="AA43" s="267"/>
      <c r="AB43" s="267"/>
      <c r="AC43" s="267"/>
      <c r="AD43" s="267"/>
      <c r="AE43" s="267"/>
      <c r="AF43" s="267"/>
      <c r="AG43" s="267"/>
    </row>
    <row r="44" spans="1:33">
      <c r="A44" s="278"/>
      <c r="B44" s="293">
        <v>2000000</v>
      </c>
      <c r="C44" s="302">
        <v>0.01</v>
      </c>
      <c r="D44" s="302"/>
      <c r="E44" s="302"/>
      <c r="F44" s="278"/>
      <c r="G44" s="278"/>
      <c r="H44" s="278"/>
      <c r="I44" s="278"/>
      <c r="K44" s="333"/>
      <c r="L44" s="350"/>
      <c r="M44" s="351" t="str">
        <f>IF($B$3&lt;M35, "1", "0")</f>
        <v>0</v>
      </c>
      <c r="N44" s="351" t="str">
        <f>IF(AND(M35&lt;=$B$3,$B$3&lt;N35), "1", "0")</f>
        <v>0</v>
      </c>
      <c r="O44" s="351" t="str">
        <f>IF(AND(N35&lt;=$B$3,$B$3&lt;O35), "1", "0")</f>
        <v>0</v>
      </c>
      <c r="P44" s="351" t="str">
        <f>IF(AND(O35&lt;=$B$3,$B$3&lt;P35), "1", "0")</f>
        <v>0</v>
      </c>
      <c r="Q44" s="351" t="str">
        <f>IF(AND(P35&lt;=$B$3,$B$3&lt;Q35), "1", "0")</f>
        <v>1</v>
      </c>
      <c r="R44" s="351" t="str">
        <f>IF(AND(Q35&lt;=$B$3,$B$3&lt;R35), "1", "0")</f>
        <v>0</v>
      </c>
      <c r="S44" s="351" t="str">
        <f>IF(AND(R35&lt;=$B$3,$B$3&lt;=S35), "1", "0")</f>
        <v>0</v>
      </c>
      <c r="T44" s="333"/>
      <c r="U44" s="267"/>
      <c r="V44" s="267"/>
      <c r="W44" s="267"/>
      <c r="X44" s="267"/>
      <c r="Y44" s="267"/>
      <c r="Z44" s="267"/>
      <c r="AA44" s="267"/>
      <c r="AB44" s="267"/>
      <c r="AC44" s="267"/>
      <c r="AD44" s="267"/>
      <c r="AE44" s="267"/>
      <c r="AF44" s="267"/>
      <c r="AG44" s="267"/>
    </row>
    <row r="45" spans="1:33">
      <c r="A45" s="278"/>
      <c r="B45" s="312"/>
      <c r="C45" s="277"/>
      <c r="D45" s="277"/>
      <c r="E45" s="278"/>
      <c r="F45" s="278"/>
      <c r="G45" s="278"/>
      <c r="H45" s="277"/>
      <c r="I45" s="277"/>
      <c r="K45" s="333"/>
      <c r="L45" s="333"/>
      <c r="M45" s="352">
        <f>M36</f>
        <v>1.2500000000000001E-2</v>
      </c>
      <c r="N45" s="352">
        <f>N36</f>
        <v>1.2500000000000001E-2</v>
      </c>
      <c r="O45" s="352">
        <f>O36</f>
        <v>1.4999999999999999E-2</v>
      </c>
      <c r="P45" s="352">
        <f t="shared" ref="P45:S45" si="4">P36</f>
        <v>1.4999999999999999E-2</v>
      </c>
      <c r="Q45" s="352">
        <f t="shared" si="4"/>
        <v>1.4999999999999999E-2</v>
      </c>
      <c r="R45" s="342">
        <f t="shared" si="4"/>
        <v>1.7500000000000002E-2</v>
      </c>
      <c r="S45" s="342">
        <f t="shared" si="4"/>
        <v>1.7500000000000002E-2</v>
      </c>
      <c r="T45" s="333"/>
      <c r="U45" s="267"/>
      <c r="V45" s="267"/>
      <c r="W45" s="267"/>
      <c r="X45" s="267"/>
      <c r="Y45" s="267"/>
      <c r="Z45" s="267"/>
      <c r="AA45" s="267"/>
      <c r="AB45" s="267"/>
      <c r="AC45" s="267"/>
      <c r="AD45" s="267"/>
      <c r="AE45" s="267"/>
      <c r="AF45" s="267"/>
      <c r="AG45" s="267"/>
    </row>
    <row r="46" spans="1:33">
      <c r="A46" s="278"/>
      <c r="B46" s="314"/>
      <c r="C46" s="315" t="str">
        <f>IF($B$3&lt;=C37,"1","0")</f>
        <v>0</v>
      </c>
      <c r="D46" s="315" t="str">
        <f>IF(AND($B$3&lt;=D37,$B$3&gt;=C37),"1","0")</f>
        <v>1</v>
      </c>
      <c r="E46" s="315" t="str">
        <f>IF(AND($B$3&lt;=E37,$B$3&gt;=D37),"1","0")</f>
        <v>0</v>
      </c>
      <c r="F46" s="315" t="str">
        <f t="shared" ref="F46" si="5">IF(AND($B$3&lt;=F37,$B$3&gt;=E37),"1","0")</f>
        <v>0</v>
      </c>
      <c r="G46" s="278"/>
      <c r="H46" s="277"/>
      <c r="I46" s="278"/>
      <c r="K46" s="333"/>
      <c r="L46" s="333"/>
      <c r="M46" s="333"/>
      <c r="N46" s="341"/>
      <c r="O46" s="341"/>
      <c r="P46" s="341"/>
      <c r="Q46" s="341"/>
      <c r="R46" s="341"/>
      <c r="S46" s="341"/>
      <c r="T46" s="333"/>
      <c r="U46" s="267"/>
      <c r="V46" s="267"/>
      <c r="W46" s="267"/>
      <c r="X46" s="267"/>
      <c r="Y46" s="267"/>
      <c r="Z46" s="267"/>
      <c r="AA46" s="267"/>
      <c r="AB46" s="267"/>
      <c r="AC46" s="267"/>
      <c r="AD46" s="267"/>
      <c r="AE46" s="267"/>
      <c r="AF46" s="267"/>
      <c r="AG46" s="267"/>
    </row>
    <row r="47" spans="1:33">
      <c r="A47" s="278"/>
      <c r="B47" s="278" t="str">
        <f>IF($B$2&lt;=B38,"1", "0")</f>
        <v>0</v>
      </c>
      <c r="C47" s="302">
        <v>0</v>
      </c>
      <c r="D47" s="302">
        <v>0</v>
      </c>
      <c r="E47" s="302">
        <v>0</v>
      </c>
      <c r="F47" s="302">
        <v>0</v>
      </c>
      <c r="G47" s="278"/>
      <c r="H47" s="277"/>
      <c r="I47" s="278"/>
      <c r="K47" s="353" t="s">
        <v>235</v>
      </c>
      <c r="L47" s="333"/>
      <c r="M47" s="333" t="s">
        <v>428</v>
      </c>
      <c r="N47" s="341"/>
      <c r="O47" s="341"/>
      <c r="P47" s="341" t="s">
        <v>429</v>
      </c>
      <c r="Q47" s="341"/>
      <c r="R47" s="341"/>
      <c r="S47" s="341"/>
      <c r="T47" s="333"/>
      <c r="U47" s="267"/>
      <c r="V47" s="267"/>
      <c r="W47" s="267"/>
      <c r="X47" s="267"/>
      <c r="Y47" s="267"/>
      <c r="Z47" s="267"/>
      <c r="AA47" s="267"/>
      <c r="AB47" s="267"/>
      <c r="AC47" s="267"/>
      <c r="AD47" s="267"/>
      <c r="AE47" s="267"/>
      <c r="AF47" s="267"/>
      <c r="AG47" s="267"/>
    </row>
    <row r="48" spans="1:33">
      <c r="A48" s="278"/>
      <c r="B48" s="278" t="str">
        <f>IF(AND($B$2&gt;B38, $B$2&lt;=B39),"1", "0")</f>
        <v>0</v>
      </c>
      <c r="C48" s="302">
        <v>0</v>
      </c>
      <c r="D48" s="302">
        <v>0</v>
      </c>
      <c r="E48" s="302">
        <v>0</v>
      </c>
      <c r="F48" s="302">
        <v>0</v>
      </c>
      <c r="G48" s="278"/>
      <c r="H48" s="277"/>
      <c r="I48" s="278"/>
      <c r="K48" s="353"/>
      <c r="L48" s="333"/>
      <c r="M48" s="333"/>
      <c r="N48" s="341"/>
      <c r="O48" s="341"/>
      <c r="P48" s="341"/>
      <c r="Q48" s="341"/>
      <c r="R48" s="341"/>
      <c r="S48" s="341"/>
      <c r="T48" s="333"/>
      <c r="U48" s="267"/>
      <c r="V48" s="267"/>
      <c r="W48" s="267"/>
      <c r="X48" s="267"/>
      <c r="Y48" s="267"/>
      <c r="Z48" s="267"/>
      <c r="AA48" s="267"/>
      <c r="AB48" s="267"/>
      <c r="AC48" s="267"/>
      <c r="AD48" s="267"/>
      <c r="AE48" s="267"/>
      <c r="AF48" s="267"/>
      <c r="AG48" s="267"/>
    </row>
    <row r="49" spans="1:33">
      <c r="A49" s="278"/>
      <c r="B49" s="278" t="str">
        <f t="shared" ref="B49:B53" si="6">IF(AND($B$2&gt;B39, $B$2&lt;=B40),"1", "0")</f>
        <v>0</v>
      </c>
      <c r="C49" s="302">
        <v>0</v>
      </c>
      <c r="D49" s="302">
        <v>0</v>
      </c>
      <c r="E49" s="302">
        <v>0</v>
      </c>
      <c r="F49" s="302">
        <v>0</v>
      </c>
      <c r="G49" s="278"/>
      <c r="H49" s="277"/>
      <c r="I49" s="278"/>
      <c r="K49" s="353"/>
      <c r="L49" s="333"/>
      <c r="M49" s="333"/>
      <c r="N49" s="341"/>
      <c r="O49" s="341"/>
      <c r="P49" s="341"/>
      <c r="Q49" s="341"/>
      <c r="R49" s="341"/>
      <c r="S49" s="341"/>
      <c r="T49" s="333"/>
      <c r="U49" s="267"/>
      <c r="V49" s="267"/>
      <c r="W49" s="267"/>
      <c r="X49" s="267"/>
      <c r="Y49" s="267"/>
      <c r="Z49" s="267"/>
      <c r="AA49" s="267"/>
      <c r="AB49" s="267"/>
      <c r="AC49" s="267"/>
      <c r="AD49" s="267"/>
      <c r="AE49" s="267"/>
      <c r="AF49" s="267"/>
      <c r="AG49" s="267"/>
    </row>
    <row r="50" spans="1:33">
      <c r="A50" s="278"/>
      <c r="B50" s="278" t="str">
        <f t="shared" si="6"/>
        <v>0</v>
      </c>
      <c r="C50" s="302">
        <v>0</v>
      </c>
      <c r="D50" s="302">
        <v>0</v>
      </c>
      <c r="E50" s="302">
        <v>0</v>
      </c>
      <c r="F50" s="302">
        <v>0</v>
      </c>
      <c r="G50" s="278"/>
      <c r="H50" s="277"/>
      <c r="I50" s="278"/>
      <c r="K50" s="353"/>
      <c r="L50" s="333"/>
      <c r="M50" s="333"/>
      <c r="N50" s="341"/>
      <c r="O50" s="341"/>
      <c r="P50" s="341"/>
      <c r="Q50" s="341"/>
      <c r="R50" s="341"/>
      <c r="S50" s="341"/>
      <c r="T50" s="333"/>
      <c r="U50" s="267"/>
      <c r="V50" s="267"/>
      <c r="W50" s="267"/>
      <c r="X50" s="267"/>
      <c r="Y50" s="267"/>
      <c r="Z50" s="267"/>
      <c r="AA50" s="267"/>
      <c r="AB50" s="267"/>
      <c r="AC50" s="267"/>
      <c r="AD50" s="267"/>
      <c r="AE50" s="267"/>
      <c r="AF50" s="267"/>
      <c r="AG50" s="267"/>
    </row>
    <row r="51" spans="1:33">
      <c r="A51" s="278"/>
      <c r="B51" s="278" t="str">
        <f t="shared" si="6"/>
        <v>0</v>
      </c>
      <c r="C51" s="302">
        <v>0</v>
      </c>
      <c r="D51" s="302">
        <v>0</v>
      </c>
      <c r="E51" s="302">
        <v>0</v>
      </c>
      <c r="F51" s="302">
        <v>0</v>
      </c>
      <c r="G51" s="278"/>
      <c r="H51" s="278"/>
      <c r="I51" s="278"/>
      <c r="K51" s="352">
        <f>IF($B$2&gt;250000, HLOOKUP("1",M44:S45,2,FALSE)+0.5%, HLOOKUP("1",M44:S45,2,FALSE))</f>
        <v>0.02</v>
      </c>
      <c r="L51" s="333"/>
      <c r="M51" s="342">
        <f>IF('Brighten Product'!$E$6="yes",K51+0.5%, K51)</f>
        <v>2.5000000000000001E-2</v>
      </c>
      <c r="N51" s="341"/>
      <c r="O51" s="341"/>
      <c r="P51" s="341">
        <f>IF($B$2&gt;1500000, 2.49%, M51)</f>
        <v>2.4900000000000002E-2</v>
      </c>
      <c r="Q51" s="341"/>
      <c r="R51" s="341"/>
      <c r="S51" s="341"/>
      <c r="T51" s="333"/>
      <c r="U51" s="274"/>
      <c r="V51" s="267"/>
      <c r="W51" s="267"/>
      <c r="X51" s="267"/>
      <c r="Y51" s="267"/>
      <c r="Z51" s="267"/>
      <c r="AA51" s="267"/>
      <c r="AB51" s="267"/>
      <c r="AC51" s="267"/>
      <c r="AD51" s="267"/>
      <c r="AE51" s="267"/>
      <c r="AF51" s="267"/>
      <c r="AG51" s="267"/>
    </row>
    <row r="52" spans="1:33">
      <c r="A52" s="278"/>
      <c r="B52" s="278" t="str">
        <f t="shared" si="6"/>
        <v>0</v>
      </c>
      <c r="C52" s="302">
        <v>0</v>
      </c>
      <c r="D52" s="302">
        <v>0</v>
      </c>
      <c r="E52" s="302">
        <v>0</v>
      </c>
      <c r="F52" s="278"/>
      <c r="G52" s="278"/>
      <c r="H52" s="278"/>
      <c r="I52" s="278"/>
      <c r="K52" s="338"/>
      <c r="L52" s="333"/>
      <c r="M52" s="333"/>
      <c r="N52" s="333"/>
      <c r="O52" s="333"/>
      <c r="P52" s="333"/>
      <c r="Q52" s="333"/>
      <c r="R52" s="333"/>
      <c r="S52" s="333"/>
      <c r="T52" s="333"/>
      <c r="U52" s="274"/>
      <c r="V52" s="267"/>
      <c r="W52" s="267"/>
      <c r="X52" s="267"/>
      <c r="Y52" s="267"/>
      <c r="Z52" s="267"/>
      <c r="AA52" s="267"/>
      <c r="AB52" s="267"/>
      <c r="AC52" s="267"/>
      <c r="AD52" s="267"/>
      <c r="AE52" s="267"/>
      <c r="AF52" s="267"/>
      <c r="AG52" s="267"/>
    </row>
    <row r="53" spans="1:33">
      <c r="A53" s="278" t="s">
        <v>420</v>
      </c>
      <c r="B53" s="278" t="str">
        <f t="shared" si="6"/>
        <v>1</v>
      </c>
      <c r="C53" s="302">
        <v>0.01</v>
      </c>
      <c r="D53" s="302"/>
      <c r="E53" s="302"/>
      <c r="F53" s="278"/>
      <c r="G53" s="278"/>
      <c r="H53" s="278"/>
      <c r="I53" s="278"/>
      <c r="K53" s="338" t="s">
        <v>422</v>
      </c>
      <c r="L53" s="333"/>
      <c r="M53" s="333"/>
      <c r="N53" s="333"/>
      <c r="O53" s="333"/>
      <c r="P53" s="333"/>
      <c r="Q53" s="333"/>
      <c r="R53" s="333"/>
      <c r="S53" s="333"/>
      <c r="T53" s="333"/>
      <c r="U53" s="274"/>
      <c r="V53" s="267"/>
      <c r="W53" s="267"/>
      <c r="X53" s="267"/>
      <c r="Y53" s="267"/>
      <c r="Z53" s="267"/>
      <c r="AA53" s="267"/>
      <c r="AB53" s="267"/>
      <c r="AC53" s="267"/>
      <c r="AD53" s="267"/>
      <c r="AE53" s="267"/>
      <c r="AF53" s="267"/>
      <c r="AG53" s="267"/>
    </row>
    <row r="54" spans="1:33">
      <c r="A54" s="278"/>
      <c r="B54" s="54" t="s">
        <v>372</v>
      </c>
      <c r="C54" s="54" t="s">
        <v>378</v>
      </c>
      <c r="D54" s="54" t="s">
        <v>380</v>
      </c>
      <c r="E54" s="278"/>
      <c r="F54" s="278"/>
      <c r="G54" s="278"/>
      <c r="H54" s="278"/>
      <c r="I54" s="278"/>
      <c r="K54" s="354">
        <f>IF('Brighten Product'!$E$5="Yes", P51+0.75%, P51)</f>
        <v>2.4900000000000002E-2</v>
      </c>
      <c r="L54" s="333"/>
      <c r="M54" s="333"/>
      <c r="N54" s="333"/>
      <c r="O54" s="333"/>
      <c r="P54" s="333"/>
      <c r="Q54" s="333"/>
      <c r="R54" s="333"/>
      <c r="S54" s="333"/>
      <c r="T54" s="333"/>
      <c r="U54" s="274"/>
      <c r="V54" s="267"/>
      <c r="W54" s="267"/>
      <c r="X54" s="267"/>
      <c r="Y54" s="267"/>
      <c r="Z54" s="267"/>
      <c r="AA54" s="267"/>
      <c r="AB54" s="267"/>
      <c r="AC54" s="267"/>
      <c r="AD54" s="267"/>
      <c r="AE54" s="267"/>
      <c r="AF54" s="267"/>
      <c r="AG54" s="267"/>
    </row>
    <row r="55" spans="1:33">
      <c r="A55" s="277">
        <f>VLOOKUP("1",B46:F53,(MATCH("1",B46:F46,0)),FALSE)</f>
        <v>0</v>
      </c>
      <c r="B55" s="278"/>
      <c r="C55" s="277">
        <v>0</v>
      </c>
      <c r="D55" s="277">
        <v>0</v>
      </c>
      <c r="E55" s="278"/>
      <c r="F55" s="278"/>
      <c r="G55" s="277"/>
      <c r="H55" s="278"/>
      <c r="I55" s="278"/>
      <c r="K55" s="333"/>
      <c r="L55" s="333"/>
      <c r="M55" s="333"/>
      <c r="N55" s="333"/>
      <c r="O55" s="333"/>
      <c r="P55" s="333"/>
      <c r="Q55" s="333"/>
      <c r="R55" s="333"/>
      <c r="S55" s="333"/>
      <c r="T55" s="333"/>
      <c r="U55" s="267"/>
      <c r="V55" s="267"/>
      <c r="W55" s="267"/>
      <c r="X55" s="267"/>
      <c r="Y55" s="267"/>
      <c r="Z55" s="267"/>
      <c r="AA55" s="267"/>
      <c r="AB55" s="267"/>
      <c r="AC55" s="267"/>
      <c r="AD55" s="267"/>
      <c r="AE55" s="267"/>
      <c r="AF55" s="267"/>
      <c r="AG55" s="267"/>
    </row>
    <row r="56" spans="1:33">
      <c r="A56" s="277"/>
      <c r="B56" s="277"/>
      <c r="C56" s="277">
        <f>IF('Brighten Product'!E30="yes",'Risk Fee Matrix'!A55+'Risk Fee Matrix'!C55,'Risk Fee Matrix'!A55)</f>
        <v>0</v>
      </c>
      <c r="D56" s="277">
        <f>IF('Brighten Product'!$E$6="yes",'Risk Fee Matrix'!C56+'Risk Fee Matrix'!D55,'Risk Fee Matrix'!C56)</f>
        <v>0</v>
      </c>
      <c r="E56" s="278"/>
      <c r="F56" s="278"/>
      <c r="G56" s="277"/>
      <c r="H56" s="278"/>
      <c r="I56" s="278"/>
      <c r="K56" s="267"/>
      <c r="L56" s="267"/>
      <c r="M56" s="274"/>
      <c r="N56" s="267"/>
      <c r="O56" s="267"/>
      <c r="P56" s="267"/>
      <c r="Q56" s="267"/>
      <c r="R56" s="267"/>
      <c r="S56" s="267"/>
      <c r="T56" s="267"/>
      <c r="U56" s="267"/>
      <c r="V56" s="267"/>
      <c r="W56" s="267"/>
      <c r="X56" s="267"/>
      <c r="Y56" s="267"/>
      <c r="Z56" s="267"/>
      <c r="AA56" s="267"/>
      <c r="AB56" s="267"/>
      <c r="AC56" s="267"/>
      <c r="AD56" s="267"/>
      <c r="AE56" s="267"/>
      <c r="AF56" s="267"/>
      <c r="AG56" s="267"/>
    </row>
    <row r="57" spans="1:33">
      <c r="A57" s="277" t="s">
        <v>422</v>
      </c>
      <c r="B57" s="277"/>
      <c r="C57" s="278"/>
      <c r="D57" s="278"/>
      <c r="E57" s="278"/>
      <c r="F57" s="278"/>
      <c r="G57" s="277"/>
      <c r="H57" s="278"/>
      <c r="I57" s="278"/>
      <c r="J57" s="267"/>
      <c r="K57" s="267"/>
      <c r="L57" s="267"/>
      <c r="M57" s="274"/>
      <c r="N57" s="267"/>
      <c r="O57" s="267"/>
      <c r="P57" s="267"/>
      <c r="Q57" s="267"/>
      <c r="R57" s="267"/>
      <c r="S57" s="267"/>
      <c r="T57" s="267"/>
      <c r="U57" s="267"/>
      <c r="V57" s="267"/>
      <c r="W57" s="267"/>
      <c r="X57" s="267"/>
      <c r="Y57" s="267"/>
      <c r="Z57" s="267"/>
      <c r="AA57" s="267"/>
      <c r="AB57" s="267"/>
      <c r="AC57" s="267"/>
      <c r="AD57" s="267"/>
      <c r="AE57" s="267"/>
      <c r="AF57" s="267"/>
      <c r="AG57" s="267"/>
    </row>
    <row r="58" spans="1:33">
      <c r="A58" s="324">
        <f>D56</f>
        <v>0</v>
      </c>
      <c r="B58" s="277"/>
      <c r="C58" s="278"/>
      <c r="D58" s="278"/>
      <c r="E58" s="278"/>
      <c r="F58" s="278"/>
      <c r="G58" s="278"/>
      <c r="H58" s="278"/>
      <c r="I58" s="278"/>
      <c r="J58" s="267"/>
      <c r="K58" s="267"/>
      <c r="L58" s="267"/>
      <c r="M58" s="274"/>
      <c r="N58" s="267"/>
      <c r="O58" s="267"/>
      <c r="P58" s="267"/>
      <c r="Q58" s="267"/>
      <c r="R58" s="267"/>
      <c r="S58" s="267"/>
      <c r="T58" s="267"/>
      <c r="U58" s="267"/>
      <c r="V58" s="267"/>
      <c r="W58" s="267"/>
      <c r="X58" s="267"/>
      <c r="Y58" s="267"/>
      <c r="Z58" s="267"/>
      <c r="AA58" s="267"/>
      <c r="AB58" s="267"/>
      <c r="AC58" s="267"/>
      <c r="AD58" s="267"/>
      <c r="AE58" s="267"/>
      <c r="AF58" s="267"/>
      <c r="AG58" s="267"/>
    </row>
    <row r="59" spans="1:33">
      <c r="A59" s="326"/>
      <c r="B59" s="278"/>
      <c r="C59" s="278"/>
      <c r="D59" s="278"/>
      <c r="E59" s="278"/>
      <c r="F59" s="278"/>
      <c r="G59" s="278"/>
      <c r="H59" s="278"/>
      <c r="I59" s="278"/>
      <c r="J59" s="267"/>
      <c r="K59" s="267"/>
      <c r="L59" s="267"/>
      <c r="M59" s="267"/>
      <c r="N59" s="267"/>
      <c r="O59" s="267"/>
      <c r="P59" s="267"/>
      <c r="Q59" s="267"/>
      <c r="R59" s="267"/>
      <c r="S59" s="267"/>
      <c r="T59" s="267"/>
      <c r="U59" s="267"/>
      <c r="V59" s="267"/>
      <c r="W59" s="267"/>
      <c r="X59" s="267"/>
      <c r="Y59" s="267"/>
      <c r="Z59" s="267"/>
      <c r="AA59" s="267"/>
      <c r="AB59" s="267"/>
      <c r="AC59" s="267"/>
      <c r="AD59" s="267"/>
      <c r="AE59" s="267"/>
      <c r="AF59" s="267"/>
      <c r="AG59" s="267"/>
    </row>
    <row r="60" spans="1:33">
      <c r="A60" s="326"/>
      <c r="B60" s="278"/>
      <c r="C60" s="278"/>
      <c r="D60" s="278"/>
      <c r="E60" s="278"/>
      <c r="F60" s="278"/>
      <c r="G60" s="278"/>
      <c r="H60" s="278"/>
      <c r="I60" s="278"/>
      <c r="J60" s="267"/>
      <c r="K60" s="267"/>
      <c r="L60" s="267"/>
      <c r="M60" s="267"/>
      <c r="N60" s="267"/>
      <c r="O60" s="267"/>
      <c r="P60" s="267"/>
      <c r="Q60" s="267"/>
      <c r="R60" s="267"/>
      <c r="S60" s="267"/>
      <c r="T60" s="267"/>
      <c r="U60" s="267"/>
      <c r="V60" s="267"/>
      <c r="W60" s="267"/>
      <c r="X60" s="267"/>
      <c r="Y60" s="267"/>
      <c r="Z60" s="267"/>
      <c r="AA60" s="267"/>
      <c r="AB60" s="267"/>
      <c r="AC60" s="267"/>
      <c r="AD60" s="267"/>
      <c r="AE60" s="267"/>
      <c r="AF60" s="267"/>
      <c r="AG60" s="267"/>
    </row>
    <row r="61" spans="1:33">
      <c r="A61" s="326"/>
      <c r="B61" s="278"/>
      <c r="C61" s="278"/>
      <c r="D61" s="278"/>
      <c r="E61" s="278"/>
      <c r="F61" s="278"/>
      <c r="G61" s="278"/>
      <c r="H61" s="278"/>
      <c r="I61" s="278"/>
      <c r="J61" s="267"/>
      <c r="K61" s="267"/>
      <c r="L61" s="267"/>
      <c r="M61" s="267"/>
      <c r="N61" s="267"/>
      <c r="O61" s="267"/>
      <c r="P61" s="267"/>
      <c r="Q61" s="267"/>
      <c r="R61" s="267"/>
      <c r="S61" s="267"/>
      <c r="T61" s="267"/>
      <c r="U61" s="267"/>
      <c r="V61" s="267"/>
      <c r="W61" s="267"/>
      <c r="X61" s="267"/>
      <c r="Y61" s="267"/>
      <c r="Z61" s="267"/>
      <c r="AA61" s="267"/>
      <c r="AB61" s="267"/>
      <c r="AC61" s="267"/>
      <c r="AD61" s="267"/>
      <c r="AE61" s="267"/>
      <c r="AF61" s="267"/>
      <c r="AG61" s="267"/>
    </row>
    <row r="62" spans="1:33" ht="16" thickBot="1">
      <c r="A62" s="329"/>
      <c r="B62" s="329"/>
      <c r="C62" s="329"/>
      <c r="D62" s="329"/>
      <c r="E62" s="329"/>
      <c r="F62" s="329"/>
      <c r="G62" s="329"/>
      <c r="H62" s="329"/>
      <c r="I62" s="329"/>
      <c r="J62" s="274"/>
      <c r="K62" s="274"/>
      <c r="L62" s="267"/>
      <c r="M62" s="267"/>
      <c r="N62" s="267"/>
      <c r="O62" s="267"/>
      <c r="P62" s="267"/>
      <c r="Q62" s="267"/>
      <c r="R62" s="267"/>
      <c r="S62" s="267"/>
      <c r="T62" s="267"/>
      <c r="U62" s="267"/>
      <c r="V62" s="267"/>
      <c r="W62" s="267"/>
      <c r="X62" s="267"/>
      <c r="Y62" s="267"/>
      <c r="Z62" s="267"/>
      <c r="AA62" s="267"/>
      <c r="AB62" s="267"/>
      <c r="AC62" s="267"/>
      <c r="AD62" s="267"/>
      <c r="AE62" s="267"/>
      <c r="AF62" s="267"/>
      <c r="AG62" s="267"/>
    </row>
    <row r="63" spans="1:33">
      <c r="A63" s="267"/>
      <c r="B63" s="267"/>
      <c r="C63" s="267"/>
      <c r="D63" s="267"/>
      <c r="E63" s="267"/>
      <c r="F63" s="267"/>
      <c r="G63" s="267"/>
      <c r="H63" s="267"/>
      <c r="I63" s="267"/>
      <c r="J63" s="274"/>
      <c r="K63" s="274"/>
      <c r="L63" s="267"/>
      <c r="M63" s="267"/>
      <c r="N63" s="267"/>
      <c r="O63" s="267"/>
      <c r="P63" s="267"/>
      <c r="Q63" s="267"/>
      <c r="R63" s="267"/>
      <c r="S63" s="267"/>
      <c r="T63" s="267"/>
      <c r="U63" s="267"/>
      <c r="V63" s="267"/>
      <c r="W63" s="267"/>
      <c r="X63" s="267"/>
      <c r="Y63" s="267"/>
      <c r="Z63" s="267"/>
      <c r="AA63" s="267"/>
      <c r="AB63" s="267"/>
      <c r="AC63" s="267"/>
      <c r="AD63" s="267"/>
      <c r="AE63" s="267"/>
      <c r="AF63" s="267"/>
      <c r="AG63" s="267"/>
    </row>
    <row r="64" spans="1:33">
      <c r="A64" s="267"/>
      <c r="B64" s="267"/>
      <c r="C64" s="267"/>
      <c r="D64" s="267"/>
      <c r="E64" s="267"/>
      <c r="F64" s="267"/>
      <c r="G64" s="267"/>
      <c r="H64" s="267"/>
      <c r="I64" s="267"/>
      <c r="J64" s="274"/>
      <c r="K64" s="274"/>
      <c r="L64" s="267"/>
      <c r="M64" s="267"/>
      <c r="N64" s="267"/>
      <c r="O64" s="267"/>
      <c r="P64" s="267"/>
      <c r="Q64" s="267"/>
      <c r="R64" s="267"/>
      <c r="S64" s="267"/>
      <c r="T64" s="267"/>
      <c r="U64" s="267"/>
      <c r="V64" s="267"/>
      <c r="W64" s="267"/>
      <c r="X64" s="267"/>
      <c r="Y64" s="267"/>
      <c r="Z64" s="267"/>
      <c r="AA64" s="267"/>
      <c r="AB64" s="267"/>
      <c r="AC64" s="267"/>
      <c r="AD64" s="267"/>
      <c r="AE64" s="267"/>
      <c r="AF64" s="267"/>
      <c r="AG64" s="267"/>
    </row>
    <row r="65" spans="1:33">
      <c r="A65" s="274"/>
      <c r="B65" s="267"/>
      <c r="C65" s="267"/>
      <c r="D65" s="267"/>
      <c r="E65" s="267"/>
      <c r="F65" s="267"/>
      <c r="G65" s="267"/>
      <c r="H65" s="267"/>
      <c r="I65" s="267"/>
      <c r="J65" s="274"/>
      <c r="K65" s="274"/>
      <c r="L65" s="267"/>
      <c r="M65" s="267"/>
      <c r="N65" s="267"/>
      <c r="O65" s="267"/>
      <c r="P65" s="267"/>
      <c r="Q65" s="267"/>
      <c r="R65" s="267"/>
      <c r="S65" s="267"/>
      <c r="T65" s="267"/>
      <c r="U65" s="267"/>
      <c r="V65" s="267"/>
      <c r="W65" s="267"/>
      <c r="X65" s="267"/>
      <c r="Y65" s="267"/>
      <c r="Z65" s="267"/>
      <c r="AA65" s="267"/>
      <c r="AB65" s="267"/>
      <c r="AC65" s="267"/>
      <c r="AD65" s="267"/>
      <c r="AE65" s="267"/>
      <c r="AF65" s="267"/>
      <c r="AG65" s="267"/>
    </row>
    <row r="66" spans="1:33">
      <c r="A66" s="267"/>
      <c r="B66" s="267"/>
      <c r="C66" s="267"/>
      <c r="D66" s="267"/>
      <c r="E66" s="267"/>
      <c r="F66" s="267"/>
      <c r="G66" s="267"/>
      <c r="H66" s="267"/>
      <c r="I66" s="267"/>
      <c r="J66" s="274"/>
      <c r="K66" s="274"/>
      <c r="L66" s="267"/>
      <c r="M66" s="267"/>
      <c r="N66" s="267"/>
      <c r="O66" s="267"/>
      <c r="P66" s="267"/>
      <c r="Q66" s="267"/>
      <c r="R66" s="267"/>
      <c r="S66" s="267"/>
      <c r="T66" s="267"/>
      <c r="U66" s="267"/>
      <c r="V66" s="267"/>
      <c r="W66" s="267"/>
      <c r="X66" s="267"/>
      <c r="Y66" s="267"/>
      <c r="Z66" s="267"/>
      <c r="AA66" s="267"/>
      <c r="AB66" s="267"/>
      <c r="AC66" s="267"/>
      <c r="AD66" s="267"/>
      <c r="AE66" s="267"/>
      <c r="AF66" s="267"/>
      <c r="AG66" s="267"/>
    </row>
    <row r="67" spans="1:33" ht="16" thickBot="1">
      <c r="A67" s="279" t="s">
        <v>430</v>
      </c>
      <c r="B67" s="280"/>
      <c r="C67" s="281"/>
      <c r="D67" s="281"/>
      <c r="E67" s="281"/>
      <c r="F67" s="281"/>
      <c r="G67" s="281"/>
      <c r="H67" s="281"/>
      <c r="I67" s="281"/>
      <c r="J67" s="282"/>
      <c r="K67" s="274"/>
      <c r="L67" s="279" t="s">
        <v>431</v>
      </c>
      <c r="M67" s="280"/>
      <c r="N67" s="281"/>
      <c r="O67" s="281"/>
      <c r="P67" s="281"/>
      <c r="Q67" s="281"/>
      <c r="R67" s="281"/>
      <c r="S67" s="282"/>
      <c r="T67" s="267"/>
      <c r="U67" s="267"/>
      <c r="V67" s="267"/>
      <c r="W67" s="267"/>
      <c r="X67" s="267"/>
      <c r="Y67" s="267"/>
      <c r="Z67" s="267"/>
      <c r="AA67" s="267"/>
      <c r="AB67" s="267"/>
      <c r="AC67" s="267"/>
      <c r="AD67" s="267"/>
      <c r="AE67" s="267"/>
    </row>
    <row r="68" spans="1:33" ht="16.5" thickTop="1" thickBot="1">
      <c r="A68" s="281"/>
      <c r="B68" s="355"/>
      <c r="C68" s="356">
        <v>0.4</v>
      </c>
      <c r="D68" s="357">
        <v>0.5</v>
      </c>
      <c r="E68" s="357">
        <v>0.55000000000000004</v>
      </c>
      <c r="F68" s="357">
        <v>0.6</v>
      </c>
      <c r="G68" s="357">
        <v>0.65</v>
      </c>
      <c r="H68" s="358">
        <v>0.7</v>
      </c>
      <c r="I68" s="281"/>
      <c r="J68" s="282"/>
      <c r="K68" s="274"/>
      <c r="L68" s="281"/>
      <c r="M68" s="288"/>
      <c r="N68" s="289">
        <v>0.7</v>
      </c>
      <c r="O68" s="281"/>
      <c r="P68" s="281"/>
      <c r="Q68" s="281"/>
      <c r="R68" s="281"/>
      <c r="S68" s="282"/>
      <c r="T68" s="267"/>
      <c r="U68" s="267"/>
      <c r="V68" s="267"/>
      <c r="W68" s="267"/>
      <c r="X68" s="267"/>
      <c r="Y68" s="267"/>
      <c r="Z68" s="267"/>
      <c r="AA68" s="267"/>
      <c r="AB68" s="267"/>
      <c r="AC68" s="267"/>
      <c r="AD68" s="267"/>
      <c r="AE68" s="267"/>
    </row>
    <row r="69" spans="1:33">
      <c r="A69" s="281"/>
      <c r="B69" s="359">
        <v>150000</v>
      </c>
      <c r="C69" s="360">
        <v>1.5E-3</v>
      </c>
      <c r="D69" s="360">
        <v>7.0000000000000001E-3</v>
      </c>
      <c r="E69" s="360">
        <v>1.15E-2</v>
      </c>
      <c r="F69" s="360">
        <v>1.4500000000000001E-2</v>
      </c>
      <c r="G69" s="360">
        <v>1.6500000000000001E-2</v>
      </c>
      <c r="H69" s="361">
        <v>3.2000000000000001E-2</v>
      </c>
      <c r="I69" s="281"/>
      <c r="J69" s="282"/>
      <c r="K69" s="274"/>
      <c r="L69" s="281"/>
      <c r="M69" s="344">
        <v>750000</v>
      </c>
      <c r="N69" s="294">
        <v>0</v>
      </c>
      <c r="O69" s="281"/>
      <c r="P69" s="281"/>
      <c r="Q69" s="281"/>
      <c r="R69" s="281"/>
      <c r="S69" s="282"/>
      <c r="T69" s="267"/>
      <c r="U69" s="267"/>
      <c r="V69" s="267"/>
      <c r="W69" s="267"/>
      <c r="X69" s="267"/>
      <c r="Y69" s="267"/>
      <c r="Z69" s="267"/>
      <c r="AA69" s="267"/>
      <c r="AB69" s="267"/>
      <c r="AC69" s="267"/>
      <c r="AD69" s="267"/>
      <c r="AE69" s="267"/>
    </row>
    <row r="70" spans="1:33">
      <c r="A70" s="281"/>
      <c r="B70" s="359">
        <v>300000</v>
      </c>
      <c r="C70" s="360">
        <v>3.0000000000000001E-3</v>
      </c>
      <c r="D70" s="360">
        <v>8.5000000000000006E-3</v>
      </c>
      <c r="E70" s="360">
        <v>1.2999999999999999E-2</v>
      </c>
      <c r="F70" s="360">
        <v>1.6E-2</v>
      </c>
      <c r="G70" s="360">
        <v>1.7999999999999999E-2</v>
      </c>
      <c r="H70" s="361">
        <v>3.3500000000000002E-2</v>
      </c>
      <c r="I70" s="281"/>
      <c r="J70" s="282"/>
      <c r="K70" s="274"/>
      <c r="L70" s="281"/>
      <c r="M70" s="293">
        <v>900000</v>
      </c>
      <c r="N70" s="301">
        <v>5.0000000000000001E-3</v>
      </c>
      <c r="O70" s="281"/>
      <c r="P70" s="281"/>
      <c r="Q70" s="281"/>
      <c r="R70" s="281"/>
      <c r="S70" s="282"/>
      <c r="T70" s="267"/>
      <c r="U70" s="267"/>
      <c r="V70" s="267"/>
      <c r="W70" s="267"/>
      <c r="X70" s="267"/>
      <c r="Y70" s="267"/>
      <c r="Z70" s="267"/>
      <c r="AA70" s="267"/>
      <c r="AB70" s="267"/>
      <c r="AC70" s="267"/>
      <c r="AD70" s="267"/>
      <c r="AE70" s="267"/>
    </row>
    <row r="71" spans="1:33">
      <c r="A71" s="281"/>
      <c r="B71" s="359">
        <v>500000</v>
      </c>
      <c r="C71" s="361">
        <v>8.5000000000000006E-3</v>
      </c>
      <c r="D71" s="361">
        <v>1.35E-2</v>
      </c>
      <c r="E71" s="360">
        <v>1.4500000000000001E-2</v>
      </c>
      <c r="F71" s="360">
        <v>1.7000000000000001E-2</v>
      </c>
      <c r="G71" s="360">
        <v>1.8499999999999999E-2</v>
      </c>
      <c r="H71" s="361">
        <v>3.4000000000000002E-2</v>
      </c>
      <c r="I71" s="281"/>
      <c r="J71" s="282"/>
      <c r="K71" s="274"/>
      <c r="L71" s="281"/>
      <c r="M71" s="293">
        <v>900000</v>
      </c>
      <c r="N71" s="301">
        <v>0.01</v>
      </c>
      <c r="O71" s="281"/>
      <c r="P71" s="281"/>
      <c r="Q71" s="281"/>
      <c r="R71" s="281"/>
      <c r="S71" s="282"/>
      <c r="T71" s="267"/>
      <c r="U71" s="267"/>
      <c r="V71" s="267"/>
      <c r="W71" s="267"/>
      <c r="X71" s="267"/>
      <c r="Y71" s="267"/>
      <c r="Z71" s="267"/>
      <c r="AA71" s="267"/>
      <c r="AB71" s="267"/>
      <c r="AC71" s="267"/>
      <c r="AD71" s="267"/>
      <c r="AE71" s="267"/>
    </row>
    <row r="72" spans="1:33" ht="16" thickBot="1">
      <c r="A72" s="281"/>
      <c r="B72" s="359">
        <v>750000</v>
      </c>
      <c r="C72" s="362">
        <f t="shared" ref="C72:D72" si="7">C71+1.5%</f>
        <v>2.35E-2</v>
      </c>
      <c r="D72" s="362">
        <f t="shared" si="7"/>
        <v>2.8499999999999998E-2</v>
      </c>
      <c r="E72" s="362">
        <f t="shared" ref="E72:H72" si="8">E71+1.5%</f>
        <v>2.9499999999999998E-2</v>
      </c>
      <c r="F72" s="362">
        <f t="shared" si="8"/>
        <v>3.2000000000000001E-2</v>
      </c>
      <c r="G72" s="362">
        <f t="shared" si="8"/>
        <v>3.3500000000000002E-2</v>
      </c>
      <c r="H72" s="362">
        <f t="shared" si="8"/>
        <v>4.9000000000000002E-2</v>
      </c>
      <c r="I72" s="281"/>
      <c r="J72" s="282"/>
      <c r="K72" s="274"/>
      <c r="L72" s="281"/>
      <c r="M72" s="281"/>
      <c r="N72" s="281"/>
      <c r="O72" s="281"/>
      <c r="P72" s="281"/>
      <c r="Q72" s="281"/>
      <c r="R72" s="281"/>
      <c r="S72" s="282"/>
      <c r="T72" s="267"/>
      <c r="U72" s="267"/>
      <c r="V72" s="267"/>
      <c r="W72" s="267"/>
      <c r="X72" s="267"/>
      <c r="Y72" s="267"/>
      <c r="Z72" s="267"/>
      <c r="AA72" s="267"/>
      <c r="AB72" s="267"/>
      <c r="AC72" s="267"/>
      <c r="AD72" s="267"/>
      <c r="AE72" s="267"/>
    </row>
    <row r="73" spans="1:33" ht="16" thickTop="1">
      <c r="A73" s="281"/>
      <c r="B73" s="359">
        <v>900000</v>
      </c>
      <c r="C73" s="363">
        <f>C71+2.49%</f>
        <v>3.3399999999999999E-2</v>
      </c>
      <c r="D73" s="363">
        <f t="shared" ref="D73" si="9">D71+2.49%</f>
        <v>3.8400000000000004E-2</v>
      </c>
      <c r="E73" s="363">
        <f t="shared" ref="E73:H73" si="10">E71+2.49%</f>
        <v>3.9400000000000004E-2</v>
      </c>
      <c r="F73" s="363">
        <f t="shared" si="10"/>
        <v>4.1900000000000007E-2</v>
      </c>
      <c r="G73" s="363">
        <f t="shared" si="10"/>
        <v>4.3400000000000001E-2</v>
      </c>
      <c r="H73" s="363">
        <f t="shared" si="10"/>
        <v>5.8900000000000008E-2</v>
      </c>
      <c r="I73" s="281"/>
      <c r="J73" s="282"/>
      <c r="K73" s="274"/>
      <c r="L73" s="281"/>
      <c r="M73" s="316"/>
      <c r="N73" s="316"/>
      <c r="O73" s="281"/>
      <c r="P73" s="281"/>
      <c r="Q73" s="281"/>
      <c r="R73" s="297"/>
      <c r="S73" s="317"/>
      <c r="T73" s="267"/>
      <c r="U73" s="267"/>
      <c r="V73" s="267"/>
      <c r="W73" s="267"/>
      <c r="X73" s="267"/>
      <c r="Y73" s="267"/>
      <c r="Z73" s="267"/>
      <c r="AA73" s="267"/>
      <c r="AB73" s="267"/>
      <c r="AC73" s="267"/>
      <c r="AD73" s="267"/>
      <c r="AE73" s="267"/>
    </row>
    <row r="74" spans="1:33">
      <c r="A74" s="281"/>
      <c r="B74" s="364"/>
      <c r="C74" s="364"/>
      <c r="D74" s="365"/>
      <c r="E74" s="365"/>
      <c r="F74" s="365"/>
      <c r="G74" s="365"/>
      <c r="H74" s="365"/>
      <c r="I74" s="297"/>
      <c r="J74" s="317"/>
      <c r="K74" s="274"/>
      <c r="L74" s="281"/>
      <c r="M74" s="320"/>
      <c r="N74" s="321" t="str">
        <f>IF($B$3&lt;=N68, "1", "0")</f>
        <v>1</v>
      </c>
      <c r="O74" s="281"/>
      <c r="P74" s="281"/>
      <c r="Q74" s="281"/>
      <c r="R74" s="297"/>
      <c r="S74" s="282"/>
      <c r="T74" s="267"/>
      <c r="U74" s="267"/>
      <c r="V74" s="267"/>
      <c r="W74" s="267"/>
      <c r="X74" s="267"/>
      <c r="Y74" s="267"/>
      <c r="Z74" s="267"/>
      <c r="AA74" s="267"/>
      <c r="AB74" s="267"/>
      <c r="AC74" s="267"/>
      <c r="AD74" s="267"/>
      <c r="AE74" s="267"/>
    </row>
    <row r="75" spans="1:33">
      <c r="A75" s="281"/>
      <c r="B75" s="366"/>
      <c r="C75" s="367" t="str">
        <f>IF($B$3&lt;C68, "1", "0")</f>
        <v>0</v>
      </c>
      <c r="D75" s="367" t="str">
        <f>IF(AND(C68&lt;=$B$3,$B$3&lt;D68), "1", "0")</f>
        <v>0</v>
      </c>
      <c r="E75" s="367" t="str">
        <f>IF(AND(D69&lt;=$B$3,$B$3&lt;E68), "1", "0")</f>
        <v>0</v>
      </c>
      <c r="F75" s="367" t="str">
        <f t="shared" ref="F75:G75" si="11">IF(AND(E68&lt;=$B$3,$B$3&lt;F68), "1", "0")</f>
        <v>0</v>
      </c>
      <c r="G75" s="367" t="str">
        <f t="shared" si="11"/>
        <v>1</v>
      </c>
      <c r="H75" s="367" t="str">
        <f>IF(AND(G68&lt;=$B$3,$B$3&lt;=H68),"1","0")</f>
        <v>0</v>
      </c>
      <c r="I75" s="297"/>
      <c r="J75" s="282"/>
      <c r="K75" s="274"/>
      <c r="L75" s="281"/>
      <c r="M75" s="281" t="str">
        <f>IF( $B$2&lt;=M69,"1", "0")</f>
        <v>0</v>
      </c>
      <c r="N75" s="297">
        <f>N69</f>
        <v>0</v>
      </c>
      <c r="O75" s="281"/>
      <c r="P75" s="281"/>
      <c r="Q75" s="281"/>
      <c r="R75" s="297"/>
      <c r="S75" s="282"/>
      <c r="T75" s="267"/>
      <c r="U75" s="267"/>
      <c r="V75" s="267"/>
      <c r="W75" s="267"/>
      <c r="X75" s="267"/>
      <c r="Y75" s="267"/>
      <c r="Z75" s="267"/>
      <c r="AA75" s="267"/>
      <c r="AB75" s="267"/>
      <c r="AC75" s="267"/>
      <c r="AD75" s="267"/>
      <c r="AE75" s="267"/>
    </row>
    <row r="76" spans="1:33">
      <c r="A76" s="281"/>
      <c r="B76" s="365" t="str">
        <f>IF(AND($B$2&gt;=B69, $B$2&lt;B70),"1", "0")</f>
        <v>0</v>
      </c>
      <c r="C76" s="360">
        <v>1.5E-3</v>
      </c>
      <c r="D76" s="360">
        <v>7.0000000000000001E-3</v>
      </c>
      <c r="E76" s="360">
        <v>1.15E-2</v>
      </c>
      <c r="F76" s="360">
        <v>1.4500000000000001E-2</v>
      </c>
      <c r="G76" s="360">
        <v>1.6500000000000001E-2</v>
      </c>
      <c r="H76" s="361">
        <v>3.2000000000000001E-2</v>
      </c>
      <c r="I76" s="297"/>
      <c r="J76" s="282"/>
      <c r="K76" s="267"/>
      <c r="L76" s="281"/>
      <c r="M76" s="281" t="str">
        <f>IF(AND($B$2&gt;M69, $B$2&lt;=M70),"1", "0")</f>
        <v>0</v>
      </c>
      <c r="N76" s="297">
        <f t="shared" ref="N76:N77" si="12">N70</f>
        <v>5.0000000000000001E-3</v>
      </c>
      <c r="O76" s="281"/>
      <c r="P76" s="281"/>
      <c r="Q76" s="281"/>
      <c r="R76" s="297"/>
      <c r="S76" s="282"/>
      <c r="T76" s="267"/>
      <c r="U76" s="267"/>
      <c r="V76" s="267"/>
      <c r="W76" s="267"/>
      <c r="X76" s="267"/>
      <c r="Y76" s="267"/>
      <c r="Z76" s="267"/>
      <c r="AA76" s="267"/>
      <c r="AB76" s="267"/>
      <c r="AC76" s="267"/>
      <c r="AD76" s="267"/>
      <c r="AE76" s="267"/>
    </row>
    <row r="77" spans="1:33">
      <c r="A77" s="281"/>
      <c r="B77" s="365" t="str">
        <f t="shared" ref="B77:B78" si="13">IF(AND($B$2&gt;=B70, $B$2&lt;B71),"1", "0")</f>
        <v>0</v>
      </c>
      <c r="C77" s="360">
        <v>3.0000000000000001E-3</v>
      </c>
      <c r="D77" s="360">
        <v>8.5000000000000006E-3</v>
      </c>
      <c r="E77" s="360">
        <v>1.2999999999999999E-2</v>
      </c>
      <c r="F77" s="360">
        <v>1.6E-2</v>
      </c>
      <c r="G77" s="360">
        <v>1.7999999999999999E-2</v>
      </c>
      <c r="H77" s="361">
        <v>3.3500000000000002E-2</v>
      </c>
      <c r="I77" s="297"/>
      <c r="J77" s="282"/>
      <c r="K77" s="267"/>
      <c r="L77" s="281"/>
      <c r="M77" s="281" t="str">
        <f>IF($B$2&gt;M71,"1", "0")</f>
        <v>1</v>
      </c>
      <c r="N77" s="297">
        <f t="shared" si="12"/>
        <v>0.01</v>
      </c>
      <c r="O77" s="281"/>
      <c r="P77" s="281"/>
      <c r="Q77" s="281"/>
      <c r="R77" s="281"/>
      <c r="S77" s="282"/>
      <c r="T77" s="267"/>
      <c r="U77" s="267"/>
      <c r="V77" s="267"/>
      <c r="W77" s="267"/>
      <c r="X77" s="267"/>
      <c r="Y77" s="267"/>
      <c r="Z77" s="267"/>
      <c r="AA77" s="267"/>
      <c r="AB77" s="267"/>
      <c r="AC77" s="267"/>
      <c r="AD77" s="267"/>
      <c r="AE77" s="267"/>
    </row>
    <row r="78" spans="1:33">
      <c r="A78" s="281"/>
      <c r="B78" s="365" t="str">
        <f t="shared" si="13"/>
        <v>0</v>
      </c>
      <c r="C78" s="361">
        <v>8.5000000000000006E-3</v>
      </c>
      <c r="D78" s="361">
        <v>1.35E-2</v>
      </c>
      <c r="E78" s="360">
        <v>1.4500000000000001E-2</v>
      </c>
      <c r="F78" s="360">
        <v>1.7000000000000001E-2</v>
      </c>
      <c r="G78" s="360">
        <v>1.8499999999999999E-2</v>
      </c>
      <c r="H78" s="361">
        <v>3.4000000000000002E-2</v>
      </c>
      <c r="I78" s="281"/>
      <c r="J78" s="282"/>
      <c r="K78" s="267"/>
      <c r="L78" s="281"/>
      <c r="M78" s="281"/>
      <c r="N78" s="281"/>
      <c r="O78" s="281"/>
      <c r="P78" s="281"/>
      <c r="Q78" s="281"/>
      <c r="R78" s="281"/>
      <c r="S78" s="282"/>
      <c r="T78" s="267"/>
      <c r="U78" s="267"/>
      <c r="V78" s="267"/>
      <c r="W78" s="267"/>
      <c r="X78" s="267"/>
      <c r="Y78" s="267"/>
      <c r="Z78" s="267"/>
      <c r="AA78" s="267"/>
      <c r="AB78" s="267"/>
      <c r="AC78" s="267"/>
      <c r="AD78" s="267"/>
      <c r="AE78" s="267"/>
    </row>
    <row r="79" spans="1:33">
      <c r="A79" s="281"/>
      <c r="B79" s="365" t="str">
        <f>IF(AND($B$2&gt;=B72, $B$2&lt;B73),"1", "0")</f>
        <v>0</v>
      </c>
      <c r="C79" s="361">
        <f t="shared" ref="C79:D79" si="14">C78+1.5%</f>
        <v>2.35E-2</v>
      </c>
      <c r="D79" s="361">
        <f t="shared" si="14"/>
        <v>2.8499999999999998E-2</v>
      </c>
      <c r="E79" s="361">
        <f t="shared" ref="E79:H79" si="15">E78+1.5%</f>
        <v>2.9499999999999998E-2</v>
      </c>
      <c r="F79" s="361">
        <f t="shared" si="15"/>
        <v>3.2000000000000001E-2</v>
      </c>
      <c r="G79" s="361">
        <f t="shared" si="15"/>
        <v>3.3500000000000002E-2</v>
      </c>
      <c r="H79" s="361">
        <f t="shared" si="15"/>
        <v>4.9000000000000002E-2</v>
      </c>
      <c r="I79" s="281"/>
      <c r="J79" s="282"/>
      <c r="K79" s="267"/>
      <c r="L79" s="281"/>
      <c r="M79" s="281"/>
      <c r="N79" s="297"/>
      <c r="O79" s="297"/>
      <c r="P79" s="297"/>
      <c r="Q79" s="297"/>
      <c r="R79" s="281"/>
      <c r="S79" s="282"/>
      <c r="T79" s="267"/>
      <c r="U79" s="267"/>
      <c r="V79" s="267"/>
      <c r="W79" s="267"/>
      <c r="X79" s="267"/>
      <c r="Y79" s="267"/>
      <c r="Z79" s="267"/>
      <c r="AA79" s="267"/>
      <c r="AB79" s="267"/>
      <c r="AC79" s="267"/>
      <c r="AD79" s="267"/>
      <c r="AE79" s="267"/>
    </row>
    <row r="80" spans="1:33" ht="16" thickBot="1">
      <c r="A80" s="281"/>
      <c r="B80" s="368" t="str">
        <f>IF(AND($B$2&gt;=B73, $B$2&lt;B74),"1", "0")</f>
        <v>0</v>
      </c>
      <c r="C80" s="369">
        <f>C78+2.49%</f>
        <v>3.3399999999999999E-2</v>
      </c>
      <c r="D80" s="369">
        <f t="shared" ref="D80" si="16">D78+2.49%</f>
        <v>3.8400000000000004E-2</v>
      </c>
      <c r="E80" s="369">
        <f t="shared" ref="E80:H80" si="17">E78+2.49%</f>
        <v>3.9400000000000004E-2</v>
      </c>
      <c r="F80" s="369">
        <f t="shared" si="17"/>
        <v>4.1900000000000007E-2</v>
      </c>
      <c r="G80" s="369">
        <f t="shared" si="17"/>
        <v>4.3400000000000001E-2</v>
      </c>
      <c r="H80" s="369">
        <f t="shared" si="17"/>
        <v>5.8900000000000008E-2</v>
      </c>
      <c r="I80" s="281"/>
      <c r="J80" s="282"/>
      <c r="K80" s="267"/>
      <c r="L80" s="281" t="s">
        <v>235</v>
      </c>
      <c r="M80" s="281"/>
      <c r="N80" s="281" t="s">
        <v>432</v>
      </c>
      <c r="O80" s="281"/>
      <c r="P80" s="281"/>
      <c r="Q80" s="281" t="s">
        <v>380</v>
      </c>
      <c r="R80" s="281"/>
      <c r="S80" s="282"/>
      <c r="T80" s="267"/>
      <c r="U80" s="267"/>
      <c r="V80" s="267"/>
      <c r="W80" s="267"/>
      <c r="X80" s="267"/>
      <c r="Y80" s="267"/>
      <c r="Z80" s="267"/>
      <c r="AA80" s="267"/>
      <c r="AB80" s="267"/>
      <c r="AC80" s="267"/>
      <c r="AD80" s="267"/>
      <c r="AE80" s="267"/>
    </row>
    <row r="81" spans="1:33" ht="16" thickTop="1">
      <c r="A81" s="281" t="s">
        <v>235</v>
      </c>
      <c r="B81" s="281"/>
      <c r="C81" s="281" t="s">
        <v>432</v>
      </c>
      <c r="D81" s="281"/>
      <c r="E81" s="281"/>
      <c r="F81" s="281"/>
      <c r="G81" s="281"/>
      <c r="H81" s="281"/>
      <c r="I81" s="281"/>
      <c r="J81" s="282"/>
      <c r="K81" s="267"/>
      <c r="L81" s="370">
        <f>VLOOKUP("1",M75:Q78,(MATCH("1",M74:Q74,0)),FALSE)</f>
        <v>0.01</v>
      </c>
      <c r="M81" s="322"/>
      <c r="N81" s="322">
        <v>0</v>
      </c>
      <c r="O81" s="281"/>
      <c r="P81" s="281"/>
      <c r="Q81" s="280">
        <v>0</v>
      </c>
      <c r="R81" s="281"/>
      <c r="S81" s="282"/>
      <c r="T81" s="267"/>
      <c r="U81" s="267"/>
      <c r="V81" s="267"/>
      <c r="W81" s="267"/>
      <c r="X81" s="267"/>
      <c r="Y81" s="267"/>
      <c r="Z81" s="267"/>
      <c r="AA81" s="267"/>
      <c r="AB81" s="267"/>
      <c r="AC81" s="267"/>
      <c r="AD81" s="267"/>
      <c r="AE81" s="267"/>
    </row>
    <row r="82" spans="1:33">
      <c r="A82" s="322" t="e">
        <f>VLOOKUP("1",B76:H80,(MATCH("1",B75:H75,0)),FALSE)</f>
        <v>#N/A</v>
      </c>
      <c r="B82" s="322"/>
      <c r="C82" s="322">
        <v>0</v>
      </c>
      <c r="D82" s="281"/>
      <c r="E82" s="281"/>
      <c r="F82" s="281"/>
      <c r="G82" s="281"/>
      <c r="H82" s="281"/>
      <c r="I82" s="281"/>
      <c r="J82" s="282"/>
      <c r="K82" s="267"/>
      <c r="L82" s="322"/>
      <c r="M82" s="322"/>
      <c r="N82" s="322">
        <f>IF('Brighten Product'!E5="yes",'Risk Fee Matrix'!L81+'Risk Fee Matrix'!N81,'Risk Fee Matrix'!L81)</f>
        <v>0.01</v>
      </c>
      <c r="O82" s="281"/>
      <c r="P82" s="281"/>
      <c r="Q82" s="280">
        <f>IF('Brighten Product'!E6="yes", 'Risk Fee Matrix'!N82+'Risk Fee Matrix'!Q81, 'Risk Fee Matrix'!N82)</f>
        <v>0.01</v>
      </c>
      <c r="R82" s="281"/>
      <c r="S82" s="282"/>
      <c r="T82" s="267"/>
      <c r="U82" s="267"/>
      <c r="V82" s="267"/>
      <c r="W82" s="267"/>
      <c r="X82" s="267"/>
      <c r="Y82" s="267"/>
      <c r="Z82" s="267"/>
      <c r="AA82" s="267"/>
      <c r="AB82" s="267"/>
      <c r="AC82" s="267"/>
      <c r="AD82" s="267"/>
      <c r="AE82" s="267"/>
    </row>
    <row r="83" spans="1:33">
      <c r="A83" s="322"/>
      <c r="B83" s="322"/>
      <c r="C83" s="281"/>
      <c r="D83" s="281"/>
      <c r="E83" s="281"/>
      <c r="F83" s="281"/>
      <c r="G83" s="281"/>
      <c r="H83" s="281"/>
      <c r="I83" s="281"/>
      <c r="J83" s="282"/>
      <c r="K83" s="267"/>
      <c r="L83" s="322" t="s">
        <v>422</v>
      </c>
      <c r="M83" s="322"/>
      <c r="N83" s="281"/>
      <c r="O83" s="281"/>
      <c r="P83" s="281"/>
      <c r="Q83" s="281"/>
      <c r="R83" s="281"/>
      <c r="S83" s="282"/>
      <c r="T83" s="267"/>
      <c r="U83" s="267"/>
      <c r="V83" s="267"/>
      <c r="W83" s="267"/>
      <c r="X83" s="267"/>
      <c r="Y83" s="267"/>
      <c r="Z83" s="267"/>
      <c r="AA83" s="267"/>
      <c r="AB83" s="267"/>
      <c r="AC83" s="267"/>
      <c r="AD83" s="267"/>
      <c r="AE83" s="267"/>
    </row>
    <row r="84" spans="1:33">
      <c r="A84" s="322" t="s">
        <v>422</v>
      </c>
      <c r="B84" s="322"/>
      <c r="C84" s="281"/>
      <c r="D84" s="281"/>
      <c r="E84" s="281"/>
      <c r="F84" s="281"/>
      <c r="G84" s="281"/>
      <c r="H84" s="281"/>
      <c r="I84" s="281"/>
      <c r="J84" s="282"/>
      <c r="K84" s="267"/>
      <c r="L84" s="325">
        <f>Q82</f>
        <v>0.01</v>
      </c>
      <c r="M84" s="281"/>
      <c r="N84" s="281"/>
      <c r="O84" s="281"/>
      <c r="P84" s="281"/>
      <c r="Q84" s="281"/>
      <c r="R84" s="281"/>
      <c r="S84" s="282"/>
      <c r="T84" s="267"/>
      <c r="U84" s="267"/>
      <c r="V84" s="267"/>
      <c r="W84" s="267"/>
      <c r="X84" s="267"/>
      <c r="Y84" s="267"/>
      <c r="Z84" s="267"/>
      <c r="AA84" s="267"/>
      <c r="AB84" s="267"/>
      <c r="AC84" s="267"/>
      <c r="AD84" s="267"/>
      <c r="AE84" s="267"/>
    </row>
    <row r="85" spans="1:33">
      <c r="A85" s="325" t="e">
        <f>IF('Brighten Product'!E5="Yes", 'Risk Fee Matrix'!A82+'Risk Fee Matrix'!C83, 'Risk Fee Matrix'!A82)</f>
        <v>#N/A</v>
      </c>
      <c r="B85" s="281"/>
      <c r="C85" s="281"/>
      <c r="D85" s="281"/>
      <c r="E85" s="281"/>
      <c r="F85" s="281"/>
      <c r="G85" s="281"/>
      <c r="H85" s="281"/>
      <c r="I85" s="281"/>
      <c r="J85" s="282"/>
      <c r="K85" s="267"/>
      <c r="L85" s="327"/>
      <c r="M85" s="281"/>
      <c r="N85" s="281"/>
      <c r="O85" s="281"/>
      <c r="P85" s="281"/>
      <c r="Q85" s="281"/>
      <c r="R85" s="281"/>
      <c r="S85" s="282"/>
      <c r="T85" s="267"/>
      <c r="U85" s="267"/>
      <c r="V85" s="267"/>
      <c r="W85" s="267"/>
      <c r="X85" s="267"/>
      <c r="Y85" s="267"/>
      <c r="Z85" s="267"/>
      <c r="AA85" s="267"/>
      <c r="AB85" s="267"/>
      <c r="AC85" s="267"/>
      <c r="AD85" s="267"/>
      <c r="AE85" s="267"/>
    </row>
    <row r="86" spans="1:33">
      <c r="A86" s="327"/>
      <c r="B86" s="281"/>
      <c r="C86" s="281"/>
      <c r="D86" s="281"/>
      <c r="E86" s="281"/>
      <c r="F86" s="281"/>
      <c r="G86" s="281"/>
      <c r="H86" s="281"/>
      <c r="I86" s="281"/>
      <c r="J86" s="282"/>
      <c r="K86" s="267"/>
      <c r="L86" s="327"/>
      <c r="M86" s="281"/>
      <c r="N86" s="281"/>
      <c r="O86" s="281"/>
      <c r="P86" s="281"/>
      <c r="Q86" s="281"/>
      <c r="R86" s="281"/>
      <c r="S86" s="282"/>
      <c r="T86" s="267"/>
      <c r="U86" s="267"/>
      <c r="V86" s="267"/>
      <c r="W86" s="267"/>
      <c r="X86" s="267"/>
      <c r="Y86" s="267"/>
      <c r="Z86" s="267"/>
      <c r="AA86" s="267"/>
      <c r="AB86" s="267"/>
      <c r="AC86" s="267"/>
      <c r="AD86" s="267"/>
      <c r="AE86" s="267"/>
    </row>
    <row r="87" spans="1:33">
      <c r="A87" s="327"/>
      <c r="B87" s="281"/>
      <c r="C87" s="281"/>
      <c r="D87" s="281"/>
      <c r="E87" s="281"/>
      <c r="F87" s="281"/>
      <c r="G87" s="281"/>
      <c r="H87" s="281"/>
      <c r="I87" s="281"/>
      <c r="J87" s="282"/>
      <c r="K87" s="267"/>
      <c r="L87" s="327"/>
      <c r="M87" s="281"/>
      <c r="N87" s="281"/>
      <c r="O87" s="281"/>
      <c r="P87" s="281"/>
      <c r="Q87" s="281"/>
      <c r="R87" s="281"/>
      <c r="S87" s="282"/>
      <c r="T87" s="267"/>
      <c r="U87" s="267"/>
      <c r="V87" s="267"/>
      <c r="W87" s="267"/>
      <c r="X87" s="267"/>
      <c r="Y87" s="267"/>
      <c r="Z87" s="267"/>
      <c r="AA87" s="267"/>
      <c r="AB87" s="267"/>
      <c r="AC87" s="267"/>
      <c r="AD87" s="267"/>
      <c r="AE87" s="267"/>
    </row>
    <row r="88" spans="1:33" ht="16" thickBot="1">
      <c r="A88" s="327"/>
      <c r="B88" s="281"/>
      <c r="C88" s="281"/>
      <c r="D88" s="281"/>
      <c r="E88" s="281"/>
      <c r="F88" s="281"/>
      <c r="G88" s="281"/>
      <c r="H88" s="281"/>
      <c r="I88" s="281"/>
      <c r="J88" s="282"/>
      <c r="K88" s="267"/>
      <c r="L88" s="330"/>
      <c r="M88" s="331"/>
      <c r="N88" s="331"/>
      <c r="O88" s="331"/>
      <c r="P88" s="331"/>
      <c r="Q88" s="331"/>
      <c r="R88" s="331"/>
      <c r="S88" s="332"/>
      <c r="T88" s="267"/>
      <c r="U88" s="267"/>
      <c r="V88" s="267"/>
      <c r="W88" s="267"/>
      <c r="X88" s="267"/>
      <c r="Y88" s="267"/>
      <c r="Z88" s="267"/>
      <c r="AA88" s="267"/>
      <c r="AB88" s="267"/>
      <c r="AC88" s="267"/>
      <c r="AD88" s="267"/>
      <c r="AE88" s="267"/>
    </row>
    <row r="89" spans="1:33" ht="16" thickBot="1">
      <c r="A89" s="330"/>
      <c r="B89" s="331"/>
      <c r="C89" s="331"/>
      <c r="D89" s="331"/>
      <c r="E89" s="331"/>
      <c r="F89" s="331"/>
      <c r="G89" s="331"/>
      <c r="H89" s="331"/>
      <c r="I89" s="331"/>
      <c r="J89" s="332"/>
      <c r="K89" s="267"/>
      <c r="L89" s="267"/>
      <c r="M89" s="267"/>
      <c r="N89" s="267"/>
      <c r="O89" s="267"/>
      <c r="P89" s="267"/>
      <c r="Q89" s="267"/>
      <c r="R89" s="267"/>
      <c r="S89" s="267"/>
      <c r="T89" s="267"/>
      <c r="U89" s="267"/>
      <c r="V89" s="267"/>
      <c r="W89" s="267"/>
      <c r="X89" s="267"/>
      <c r="Y89" s="267"/>
      <c r="Z89" s="267"/>
      <c r="AA89" s="267"/>
      <c r="AB89" s="267"/>
      <c r="AC89" s="267"/>
      <c r="AD89" s="267"/>
      <c r="AE89" s="267"/>
    </row>
    <row r="90" spans="1:33">
      <c r="A90" s="267"/>
      <c r="B90" s="267"/>
      <c r="C90" s="267"/>
      <c r="D90" s="267"/>
      <c r="E90" s="274"/>
      <c r="F90" s="274"/>
      <c r="G90" s="274"/>
      <c r="H90" s="274"/>
      <c r="I90" s="274"/>
      <c r="J90" s="267"/>
      <c r="K90" s="267"/>
      <c r="L90" s="267"/>
      <c r="M90" s="267"/>
      <c r="N90" s="274"/>
      <c r="O90" s="274"/>
      <c r="P90" s="274"/>
      <c r="Q90" s="274"/>
      <c r="R90" s="274"/>
      <c r="S90" s="274"/>
      <c r="T90" s="267"/>
      <c r="U90" s="267"/>
      <c r="V90" s="267"/>
      <c r="W90" s="267"/>
      <c r="X90" s="267"/>
      <c r="Y90" s="267"/>
      <c r="Z90" s="267"/>
      <c r="AA90" s="267"/>
      <c r="AB90" s="267"/>
      <c r="AC90" s="267"/>
      <c r="AD90" s="267"/>
      <c r="AE90" s="267"/>
    </row>
    <row r="91" spans="1:33">
      <c r="A91" s="267"/>
      <c r="B91" s="269"/>
      <c r="C91" s="274"/>
      <c r="D91" s="274"/>
      <c r="E91" s="274"/>
      <c r="F91" s="274"/>
      <c r="G91" s="274"/>
      <c r="H91" s="274"/>
      <c r="I91" s="274"/>
      <c r="J91" s="267"/>
      <c r="K91" s="267"/>
      <c r="L91" s="267"/>
      <c r="M91" s="269"/>
      <c r="N91" s="274"/>
      <c r="O91" s="274"/>
      <c r="P91" s="274"/>
      <c r="Q91" s="274"/>
      <c r="R91" s="274"/>
      <c r="S91" s="274"/>
      <c r="T91" s="274"/>
      <c r="U91" s="267"/>
      <c r="V91" s="267"/>
      <c r="W91" s="267"/>
      <c r="X91" s="267"/>
      <c r="Y91" s="267"/>
      <c r="Z91" s="267"/>
      <c r="AA91" s="267"/>
      <c r="AB91" s="267"/>
      <c r="AC91" s="267"/>
      <c r="AD91" s="267"/>
      <c r="AE91" s="267"/>
      <c r="AF91" s="267"/>
      <c r="AG91" s="267"/>
    </row>
    <row r="92" spans="1:33">
      <c r="A92" s="267"/>
      <c r="B92" s="269"/>
      <c r="C92" s="274"/>
      <c r="D92" s="274"/>
      <c r="E92" s="274"/>
      <c r="F92" s="274"/>
      <c r="G92" s="274"/>
      <c r="H92" s="274"/>
      <c r="I92" s="274"/>
      <c r="J92" s="267"/>
      <c r="K92" s="267"/>
      <c r="L92" s="267"/>
      <c r="M92" s="269"/>
      <c r="N92" s="274"/>
      <c r="O92" s="274"/>
      <c r="P92" s="274"/>
      <c r="Q92" s="274"/>
      <c r="R92" s="274"/>
      <c r="S92" s="274"/>
      <c r="T92" s="274"/>
      <c r="U92" s="267"/>
      <c r="V92" s="267"/>
      <c r="W92" s="267"/>
      <c r="X92" s="267"/>
      <c r="Y92" s="267"/>
      <c r="Z92" s="267"/>
      <c r="AA92" s="267"/>
      <c r="AB92" s="267"/>
      <c r="AC92" s="267"/>
      <c r="AD92" s="267"/>
      <c r="AE92" s="267"/>
      <c r="AF92" s="267"/>
      <c r="AG92" s="267"/>
    </row>
    <row r="93" spans="1:33">
      <c r="A93" s="267"/>
      <c r="B93" s="269"/>
      <c r="C93" s="274"/>
      <c r="D93" s="274"/>
      <c r="E93" s="274"/>
      <c r="F93" s="274"/>
      <c r="G93" s="274"/>
      <c r="H93" s="274"/>
      <c r="I93" s="274"/>
      <c r="J93" s="267"/>
      <c r="K93" s="267"/>
      <c r="L93" s="267"/>
      <c r="M93" s="269"/>
      <c r="N93" s="274"/>
      <c r="O93" s="274"/>
      <c r="P93" s="274"/>
      <c r="Q93" s="274"/>
      <c r="R93" s="274"/>
      <c r="S93" s="274"/>
      <c r="T93" s="274"/>
      <c r="U93" s="267"/>
      <c r="V93" s="267"/>
      <c r="W93" s="267"/>
      <c r="X93" s="267"/>
      <c r="Y93" s="267"/>
      <c r="Z93" s="267"/>
      <c r="AA93" s="267"/>
      <c r="AB93" s="267"/>
      <c r="AC93" s="267"/>
      <c r="AD93" s="267"/>
      <c r="AE93" s="267"/>
      <c r="AF93" s="267"/>
      <c r="AG93" s="267"/>
    </row>
    <row r="94" spans="1:33">
      <c r="A94" s="267"/>
      <c r="B94" s="269"/>
      <c r="C94" s="274"/>
      <c r="D94" s="274"/>
      <c r="E94" s="274"/>
      <c r="F94" s="274"/>
      <c r="G94" s="274"/>
      <c r="H94" s="274"/>
      <c r="I94" s="274"/>
      <c r="J94" s="267"/>
      <c r="K94" s="267"/>
      <c r="L94" s="267"/>
      <c r="M94" s="269"/>
      <c r="N94" s="274"/>
      <c r="O94" s="274"/>
      <c r="P94" s="274"/>
      <c r="Q94" s="274"/>
      <c r="R94" s="274"/>
      <c r="S94" s="274"/>
      <c r="T94" s="274"/>
      <c r="U94" s="267"/>
      <c r="V94" s="267"/>
      <c r="W94" s="267"/>
      <c r="X94" s="267"/>
      <c r="Y94" s="267"/>
      <c r="Z94" s="267"/>
      <c r="AA94" s="267"/>
      <c r="AB94" s="267"/>
      <c r="AC94" s="267"/>
      <c r="AD94" s="267"/>
      <c r="AE94" s="267"/>
      <c r="AF94" s="267"/>
      <c r="AG94" s="267"/>
    </row>
    <row r="95" spans="1:33">
      <c r="A95" s="371" t="s">
        <v>433</v>
      </c>
      <c r="B95" s="371"/>
      <c r="C95" s="371"/>
      <c r="D95" s="371"/>
      <c r="E95" s="371"/>
      <c r="F95" s="371"/>
      <c r="G95" s="371"/>
      <c r="H95" s="371"/>
      <c r="I95" s="371"/>
      <c r="J95" s="371"/>
      <c r="K95" s="267"/>
      <c r="L95" s="267"/>
      <c r="M95" s="267"/>
      <c r="N95" s="267"/>
      <c r="O95" s="267"/>
      <c r="P95" s="267"/>
      <c r="Q95" s="267"/>
      <c r="R95" s="267"/>
      <c r="S95" s="274"/>
      <c r="T95" s="267"/>
      <c r="U95" s="267"/>
      <c r="V95" s="267"/>
      <c r="W95" s="267"/>
      <c r="X95" s="267"/>
      <c r="Y95" s="267"/>
      <c r="Z95" s="267"/>
      <c r="AA95" s="267"/>
      <c r="AB95" s="267"/>
      <c r="AC95" s="267"/>
      <c r="AD95" s="267"/>
      <c r="AE95" s="267"/>
      <c r="AF95" s="267"/>
    </row>
    <row r="96" spans="1:33">
      <c r="A96" s="371"/>
      <c r="B96" s="371"/>
      <c r="C96" s="372"/>
      <c r="D96" s="372"/>
      <c r="E96" s="372"/>
      <c r="F96" s="372"/>
      <c r="G96" s="372"/>
      <c r="H96" s="372"/>
      <c r="I96" s="371"/>
      <c r="J96" s="371"/>
      <c r="K96" s="267"/>
      <c r="L96" s="267"/>
      <c r="M96" s="267"/>
      <c r="N96" s="267"/>
      <c r="O96" s="267"/>
      <c r="P96" s="267"/>
      <c r="Q96" s="267"/>
      <c r="R96" s="267"/>
      <c r="S96" s="267"/>
      <c r="T96" s="267"/>
      <c r="U96" s="267"/>
      <c r="V96" s="267"/>
      <c r="W96" s="267"/>
      <c r="X96" s="267"/>
      <c r="Y96" s="267"/>
      <c r="Z96" s="267"/>
      <c r="AA96" s="267"/>
      <c r="AB96" s="267"/>
      <c r="AC96" s="267"/>
      <c r="AD96" s="267"/>
      <c r="AE96" s="267"/>
      <c r="AF96" s="267"/>
    </row>
    <row r="97" spans="1:32" ht="16" thickBot="1">
      <c r="A97" s="371"/>
      <c r="B97" s="371"/>
      <c r="C97" s="373"/>
      <c r="D97" s="371"/>
      <c r="E97" s="371"/>
      <c r="F97" s="371"/>
      <c r="G97" s="371"/>
      <c r="H97" s="374"/>
      <c r="I97" s="371"/>
      <c r="J97" s="371"/>
      <c r="K97" s="267"/>
      <c r="L97" s="267"/>
      <c r="M97" s="274"/>
      <c r="N97" s="274"/>
      <c r="O97" s="274"/>
      <c r="P97" s="274"/>
      <c r="Q97" s="274"/>
      <c r="R97" s="274"/>
      <c r="S97" s="267"/>
      <c r="T97" s="267"/>
      <c r="U97" s="267"/>
      <c r="V97" s="267"/>
      <c r="W97" s="267"/>
      <c r="X97" s="267"/>
      <c r="Y97" s="267"/>
      <c r="Z97" s="267"/>
      <c r="AA97" s="267"/>
      <c r="AB97" s="267"/>
      <c r="AC97" s="267"/>
      <c r="AD97" s="267"/>
      <c r="AE97" s="267"/>
      <c r="AF97" s="267"/>
    </row>
    <row r="98" spans="1:32">
      <c r="A98" s="371"/>
      <c r="B98" s="371"/>
      <c r="C98" s="375"/>
      <c r="D98" s="376">
        <v>0.55000000000000004</v>
      </c>
      <c r="E98" s="376">
        <v>0.6</v>
      </c>
      <c r="F98" s="376">
        <v>0.65</v>
      </c>
      <c r="G98" s="376">
        <v>0.7</v>
      </c>
      <c r="H98" s="377">
        <v>0.75</v>
      </c>
      <c r="I98" s="378"/>
      <c r="J98" s="371"/>
      <c r="K98" s="267"/>
      <c r="L98" s="267"/>
      <c r="M98" s="274"/>
      <c r="N98" s="274"/>
      <c r="O98" s="274"/>
      <c r="P98" s="274"/>
      <c r="Q98" s="274"/>
      <c r="R98" s="274"/>
      <c r="S98" s="274"/>
      <c r="T98" s="267"/>
      <c r="U98" s="267"/>
      <c r="V98" s="267"/>
      <c r="W98" s="267"/>
      <c r="X98" s="267"/>
      <c r="Y98" s="267"/>
      <c r="Z98" s="267"/>
      <c r="AA98" s="267"/>
      <c r="AB98" s="267"/>
      <c r="AC98" s="267"/>
      <c r="AD98" s="267"/>
      <c r="AE98" s="267"/>
      <c r="AF98" s="267"/>
    </row>
    <row r="99" spans="1:32">
      <c r="A99" s="371"/>
      <c r="B99" s="371"/>
      <c r="C99" s="359">
        <v>499999</v>
      </c>
      <c r="D99" s="379">
        <v>8.9999999999999993E-3</v>
      </c>
      <c r="E99" s="379">
        <v>1.0999999999999999E-2</v>
      </c>
      <c r="F99" s="379">
        <v>1.2999999999999999E-2</v>
      </c>
      <c r="G99" s="379">
        <v>1.4999999999999999E-2</v>
      </c>
      <c r="H99" s="380">
        <v>1.7000000000000001E-2</v>
      </c>
      <c r="I99" s="378"/>
      <c r="J99" s="371"/>
      <c r="K99" s="267"/>
      <c r="L99" s="267"/>
      <c r="M99" s="274"/>
      <c r="N99" s="274"/>
      <c r="O99" s="274"/>
      <c r="P99" s="274"/>
      <c r="Q99" s="274"/>
      <c r="R99" s="274"/>
      <c r="S99" s="274"/>
      <c r="T99" s="267"/>
      <c r="U99" s="267"/>
      <c r="V99" s="267"/>
      <c r="W99" s="267"/>
      <c r="X99" s="267"/>
      <c r="Y99" s="267"/>
      <c r="Z99" s="267"/>
      <c r="AA99" s="267"/>
      <c r="AB99" s="267"/>
      <c r="AC99" s="267"/>
      <c r="AD99" s="267"/>
      <c r="AE99" s="267"/>
      <c r="AF99" s="267"/>
    </row>
    <row r="100" spans="1:32">
      <c r="A100" s="371"/>
      <c r="B100" s="371"/>
      <c r="C100" s="359">
        <v>749999</v>
      </c>
      <c r="D100" s="379">
        <v>1.0999999999999999E-2</v>
      </c>
      <c r="E100" s="379">
        <v>1.2999999999999999E-2</v>
      </c>
      <c r="F100" s="379">
        <v>1.4999999999999999E-2</v>
      </c>
      <c r="G100" s="379">
        <v>1.7000000000000001E-2</v>
      </c>
      <c r="H100" s="380">
        <v>1.9E-2</v>
      </c>
      <c r="I100" s="378"/>
      <c r="J100" s="371"/>
      <c r="K100" s="267"/>
      <c r="L100" s="267"/>
      <c r="M100" s="274"/>
      <c r="N100" s="274"/>
      <c r="O100" s="274"/>
      <c r="P100" s="274"/>
      <c r="Q100" s="274"/>
      <c r="R100" s="274"/>
      <c r="S100" s="274"/>
      <c r="T100" s="267"/>
      <c r="U100" s="267"/>
      <c r="V100" s="267"/>
      <c r="W100" s="267"/>
      <c r="X100" s="267"/>
      <c r="Y100" s="267"/>
      <c r="Z100" s="267"/>
      <c r="AA100" s="267"/>
      <c r="AB100" s="267"/>
      <c r="AC100" s="267"/>
      <c r="AD100" s="267"/>
      <c r="AE100" s="267"/>
      <c r="AF100" s="267"/>
    </row>
    <row r="101" spans="1:32">
      <c r="A101" s="371"/>
      <c r="B101" s="371"/>
      <c r="C101" s="359">
        <v>999999</v>
      </c>
      <c r="D101" s="379">
        <v>1.2999999999999999E-2</v>
      </c>
      <c r="E101" s="379">
        <v>1.4999999999999999E-2</v>
      </c>
      <c r="F101" s="379">
        <v>1.7000000000000001E-2</v>
      </c>
      <c r="G101" s="379">
        <v>1.9E-2</v>
      </c>
      <c r="H101" s="380">
        <v>2.1000000000000001E-2</v>
      </c>
      <c r="I101" s="378"/>
      <c r="J101" s="371"/>
      <c r="K101" s="267"/>
      <c r="L101" s="267"/>
      <c r="M101" s="267"/>
      <c r="N101" s="267"/>
      <c r="O101" s="267"/>
      <c r="P101" s="267"/>
      <c r="Q101" s="267"/>
      <c r="R101" s="267"/>
      <c r="S101" s="274"/>
      <c r="T101" s="267"/>
      <c r="U101" s="267"/>
      <c r="V101" s="267"/>
      <c r="W101" s="267"/>
      <c r="X101" s="267"/>
      <c r="Y101" s="267"/>
      <c r="Z101" s="267"/>
      <c r="AA101" s="267"/>
      <c r="AB101" s="267"/>
      <c r="AC101" s="267"/>
      <c r="AD101" s="267"/>
      <c r="AE101" s="267"/>
      <c r="AF101" s="267"/>
    </row>
    <row r="102" spans="1:32" ht="16" thickBot="1">
      <c r="A102" s="371"/>
      <c r="B102" s="371"/>
      <c r="C102" s="359">
        <v>1500000</v>
      </c>
      <c r="D102" s="381">
        <v>1.4999999999999999E-2</v>
      </c>
      <c r="E102" s="381">
        <v>1.7000000000000001E-2</v>
      </c>
      <c r="F102" s="381">
        <v>1.9E-2</v>
      </c>
      <c r="G102" s="381">
        <v>2.1000000000000001E-2</v>
      </c>
      <c r="H102" s="382">
        <v>2.3E-2</v>
      </c>
      <c r="I102" s="378"/>
      <c r="J102" s="371"/>
      <c r="K102" s="267"/>
      <c r="L102" s="267"/>
      <c r="M102" s="267"/>
      <c r="N102" s="267"/>
      <c r="O102" s="267"/>
      <c r="P102" s="267"/>
      <c r="Q102" s="267"/>
      <c r="R102" s="267"/>
      <c r="S102" s="267"/>
      <c r="T102" s="267"/>
      <c r="U102" s="267"/>
      <c r="V102" s="267"/>
      <c r="W102" s="267"/>
      <c r="X102" s="267"/>
      <c r="Y102" s="267"/>
      <c r="Z102" s="267"/>
      <c r="AA102" s="267"/>
      <c r="AB102" s="267"/>
      <c r="AC102" s="267"/>
      <c r="AD102" s="267"/>
      <c r="AE102" s="267"/>
      <c r="AF102" s="267"/>
    </row>
    <row r="103" spans="1:32">
      <c r="A103" s="371"/>
      <c r="B103" s="371"/>
      <c r="C103" s="383"/>
      <c r="D103" s="378"/>
      <c r="E103" s="378"/>
      <c r="F103" s="378"/>
      <c r="G103" s="378"/>
      <c r="H103" s="384"/>
      <c r="I103" s="378"/>
      <c r="J103" s="371"/>
      <c r="K103" s="274"/>
      <c r="L103" s="274"/>
      <c r="M103" s="267"/>
      <c r="N103" s="267"/>
      <c r="O103" s="267"/>
      <c r="P103" s="267"/>
      <c r="Q103" s="267"/>
      <c r="R103" s="267"/>
      <c r="S103" s="267"/>
      <c r="T103" s="267"/>
      <c r="U103" s="267"/>
      <c r="V103" s="267"/>
      <c r="W103" s="267"/>
      <c r="X103" s="267"/>
      <c r="Y103" s="267"/>
      <c r="Z103" s="267"/>
      <c r="AA103" s="267"/>
      <c r="AB103" s="267"/>
      <c r="AC103" s="267"/>
      <c r="AD103" s="267"/>
      <c r="AE103" s="267"/>
      <c r="AF103" s="267"/>
    </row>
    <row r="104" spans="1:32">
      <c r="A104" s="371"/>
      <c r="B104" s="371"/>
      <c r="C104" s="385"/>
      <c r="D104" s="386" t="str">
        <f>IF($B$3&lt;=D98, "1", "0")</f>
        <v>0</v>
      </c>
      <c r="E104" s="386" t="str">
        <f>IF(AND(D99&lt;$B$3,$B$3&lt;=E98), "1", "0")</f>
        <v>1</v>
      </c>
      <c r="F104" s="386" t="str">
        <f t="shared" ref="F104" si="18">IF(AND(E98&lt;$B$3,$B$3&lt;=F98), "1", "0")</f>
        <v>0</v>
      </c>
      <c r="G104" s="386" t="str">
        <f>IF(AND(F98&lt;$B$3,$B$3&lt;=G98), "1", "0")</f>
        <v>0</v>
      </c>
      <c r="H104" s="386" t="str">
        <f t="shared" ref="H104" si="19">IF(AND(G98&lt;$B$3,$B$3&lt;=H98), "1", "0")</f>
        <v>0</v>
      </c>
      <c r="I104" s="378"/>
      <c r="J104" s="371"/>
      <c r="K104" s="274"/>
      <c r="L104" s="267"/>
      <c r="M104" s="267"/>
      <c r="N104" s="267"/>
      <c r="O104" s="267"/>
      <c r="P104" s="267"/>
      <c r="Q104" s="267"/>
      <c r="R104" s="267"/>
      <c r="S104" s="267"/>
      <c r="T104" s="267"/>
      <c r="U104" s="267"/>
      <c r="V104" s="267"/>
      <c r="W104" s="267"/>
      <c r="X104" s="267"/>
      <c r="Y104" s="267"/>
      <c r="Z104" s="267"/>
      <c r="AA104" s="267"/>
      <c r="AB104" s="267"/>
      <c r="AC104" s="267"/>
      <c r="AD104" s="267"/>
      <c r="AE104" s="267"/>
      <c r="AF104" s="267"/>
    </row>
    <row r="105" spans="1:32">
      <c r="A105" s="371"/>
      <c r="B105" s="371"/>
      <c r="C105" s="378" t="str">
        <f>IF($B$2&lt;=C99,"1", "0")</f>
        <v>0</v>
      </c>
      <c r="D105" s="379">
        <f>D99</f>
        <v>8.9999999999999993E-3</v>
      </c>
      <c r="E105" s="379">
        <f t="shared" ref="E105:H105" si="20">E99</f>
        <v>1.0999999999999999E-2</v>
      </c>
      <c r="F105" s="379">
        <f t="shared" si="20"/>
        <v>1.2999999999999999E-2</v>
      </c>
      <c r="G105" s="379">
        <f t="shared" si="20"/>
        <v>1.4999999999999999E-2</v>
      </c>
      <c r="H105" s="379">
        <f t="shared" si="20"/>
        <v>1.7000000000000001E-2</v>
      </c>
      <c r="I105" s="378"/>
      <c r="J105" s="371"/>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row>
    <row r="106" spans="1:32">
      <c r="A106" s="371"/>
      <c r="B106" s="371"/>
      <c r="C106" s="378" t="str">
        <f>IF(AND($B$2&gt;C99, $B$2&lt;=C100),"1", "0")</f>
        <v>0</v>
      </c>
      <c r="D106" s="379">
        <f t="shared" ref="D106" si="21">D100</f>
        <v>1.0999999999999999E-2</v>
      </c>
      <c r="E106" s="379">
        <f t="shared" ref="E106:H108" si="22">E100</f>
        <v>1.2999999999999999E-2</v>
      </c>
      <c r="F106" s="379">
        <f t="shared" si="22"/>
        <v>1.4999999999999999E-2</v>
      </c>
      <c r="G106" s="379">
        <f t="shared" si="22"/>
        <v>1.7000000000000001E-2</v>
      </c>
      <c r="H106" s="379">
        <f t="shared" si="22"/>
        <v>1.9E-2</v>
      </c>
      <c r="I106" s="378"/>
      <c r="J106" s="371"/>
      <c r="K106" s="267"/>
      <c r="L106" s="267"/>
      <c r="M106" s="267"/>
      <c r="N106" s="267"/>
      <c r="O106" s="267"/>
      <c r="P106" s="267"/>
      <c r="Q106" s="267"/>
      <c r="R106" s="267"/>
      <c r="S106" s="267"/>
      <c r="T106" s="267"/>
      <c r="U106" s="267"/>
      <c r="V106" s="267"/>
      <c r="W106" s="267"/>
      <c r="X106" s="267"/>
      <c r="Y106" s="267"/>
      <c r="Z106" s="267"/>
      <c r="AA106" s="267"/>
      <c r="AB106" s="267"/>
      <c r="AC106" s="267"/>
      <c r="AD106" s="267"/>
      <c r="AE106" s="267"/>
      <c r="AF106" s="267"/>
    </row>
    <row r="107" spans="1:32">
      <c r="A107" s="371"/>
      <c r="B107" s="371"/>
      <c r="C107" s="378" t="str">
        <f>IF(AND($B$2&gt;C100, $B$2&lt;=C101),"1", "0")</f>
        <v>0</v>
      </c>
      <c r="D107" s="379">
        <f t="shared" ref="D107" si="23">D101</f>
        <v>1.2999999999999999E-2</v>
      </c>
      <c r="E107" s="379">
        <f t="shared" si="22"/>
        <v>1.4999999999999999E-2</v>
      </c>
      <c r="F107" s="379">
        <f t="shared" si="22"/>
        <v>1.7000000000000001E-2</v>
      </c>
      <c r="G107" s="379">
        <f t="shared" si="22"/>
        <v>1.9E-2</v>
      </c>
      <c r="H107" s="379">
        <f t="shared" si="22"/>
        <v>2.1000000000000001E-2</v>
      </c>
      <c r="I107" s="378"/>
      <c r="J107" s="371"/>
      <c r="K107" s="323"/>
      <c r="L107" s="267"/>
      <c r="M107" s="267"/>
      <c r="N107" s="267"/>
      <c r="O107" s="267"/>
      <c r="P107" s="267"/>
      <c r="Q107" s="267"/>
      <c r="R107" s="267"/>
      <c r="S107" s="267"/>
      <c r="T107" s="267"/>
      <c r="U107" s="267"/>
      <c r="V107" s="267"/>
      <c r="W107" s="267"/>
      <c r="X107" s="267"/>
      <c r="Y107" s="267"/>
      <c r="Z107" s="267"/>
      <c r="AA107" s="267"/>
      <c r="AB107" s="267"/>
      <c r="AC107" s="267"/>
      <c r="AD107" s="267"/>
      <c r="AE107" s="267"/>
      <c r="AF107" s="267"/>
    </row>
    <row r="108" spans="1:32">
      <c r="A108" s="371"/>
      <c r="B108" s="371"/>
      <c r="C108" s="378" t="str">
        <f>IF(AND($B$2&gt;C101, $B$2&lt;=C102),"1", "0")</f>
        <v>0</v>
      </c>
      <c r="D108" s="379">
        <f t="shared" ref="D108" si="24">D102</f>
        <v>1.4999999999999999E-2</v>
      </c>
      <c r="E108" s="379">
        <f t="shared" si="22"/>
        <v>1.7000000000000001E-2</v>
      </c>
      <c r="F108" s="379">
        <f t="shared" si="22"/>
        <v>1.9E-2</v>
      </c>
      <c r="G108" s="379">
        <f t="shared" si="22"/>
        <v>2.1000000000000001E-2</v>
      </c>
      <c r="H108" s="379">
        <f t="shared" si="22"/>
        <v>2.3E-2</v>
      </c>
      <c r="I108" s="378"/>
      <c r="J108" s="371"/>
      <c r="K108" s="267"/>
      <c r="L108" s="267"/>
      <c r="M108" s="267"/>
      <c r="N108" s="267"/>
      <c r="O108" s="267"/>
      <c r="P108" s="267"/>
      <c r="Q108" s="267"/>
      <c r="R108" s="267"/>
      <c r="S108" s="267"/>
      <c r="T108" s="267"/>
      <c r="U108" s="267"/>
      <c r="V108" s="267"/>
      <c r="W108" s="267"/>
      <c r="X108" s="267"/>
      <c r="Y108" s="267"/>
      <c r="Z108" s="267"/>
      <c r="AA108" s="267"/>
      <c r="AB108" s="267"/>
      <c r="AC108" s="267"/>
      <c r="AD108" s="267"/>
      <c r="AE108" s="267"/>
      <c r="AF108" s="267"/>
    </row>
    <row r="109" spans="1:32">
      <c r="A109" s="371"/>
      <c r="B109" s="371"/>
      <c r="C109" s="378"/>
      <c r="D109" s="378"/>
      <c r="E109" s="378"/>
      <c r="F109" s="378"/>
      <c r="G109" s="378"/>
      <c r="H109" s="384"/>
      <c r="I109" s="378"/>
      <c r="J109" s="371"/>
      <c r="K109" s="267"/>
      <c r="L109" s="267"/>
      <c r="M109" s="267"/>
      <c r="N109" s="267"/>
      <c r="O109" s="267"/>
      <c r="P109" s="267"/>
      <c r="Q109" s="267"/>
      <c r="R109" s="267"/>
      <c r="S109" s="267"/>
      <c r="T109" s="267"/>
      <c r="U109" s="267"/>
      <c r="V109" s="267"/>
      <c r="W109" s="267"/>
      <c r="X109" s="267"/>
      <c r="Y109" s="267"/>
      <c r="Z109" s="267"/>
      <c r="AA109" s="267"/>
      <c r="AB109" s="267"/>
      <c r="AC109" s="267"/>
      <c r="AD109" s="267"/>
      <c r="AE109" s="267"/>
      <c r="AF109" s="267"/>
    </row>
    <row r="110" spans="1:32">
      <c r="A110" s="371"/>
      <c r="B110" s="371" t="s">
        <v>235</v>
      </c>
      <c r="C110" s="378"/>
      <c r="D110" s="378"/>
      <c r="E110" s="378"/>
      <c r="F110" s="378"/>
      <c r="G110" s="378"/>
      <c r="H110" s="384"/>
      <c r="I110" s="378"/>
      <c r="J110" s="371"/>
      <c r="S110" s="267"/>
      <c r="T110" s="267"/>
      <c r="U110" s="267"/>
      <c r="V110" s="267"/>
      <c r="W110" s="267"/>
      <c r="X110" s="267"/>
      <c r="Y110" s="267"/>
      <c r="Z110" s="267"/>
      <c r="AA110" s="267"/>
      <c r="AB110" s="267"/>
      <c r="AC110" s="267"/>
      <c r="AD110" s="267"/>
      <c r="AE110" s="267"/>
      <c r="AF110" s="267"/>
    </row>
    <row r="111" spans="1:32">
      <c r="A111" s="371"/>
      <c r="B111" s="372" t="e">
        <f>VLOOKUP("1",C104:H107,(MATCH("1",C103:H103,0)),FALSE)</f>
        <v>#N/A</v>
      </c>
      <c r="C111" s="387"/>
      <c r="D111" s="387"/>
      <c r="E111" s="378"/>
      <c r="F111" s="378"/>
      <c r="G111" s="378"/>
      <c r="H111" s="384"/>
      <c r="I111" s="378"/>
      <c r="J111" s="371"/>
    </row>
    <row r="112" spans="1:32">
      <c r="A112" s="371"/>
      <c r="B112" s="372"/>
      <c r="C112" s="372"/>
      <c r="D112" s="371"/>
      <c r="E112" s="371"/>
      <c r="F112" s="371"/>
      <c r="G112" s="371"/>
      <c r="H112" s="374"/>
      <c r="I112" s="371"/>
      <c r="J112" s="371"/>
    </row>
    <row r="113" spans="1:10">
      <c r="A113" s="371"/>
      <c r="B113" s="372"/>
      <c r="C113" s="372"/>
      <c r="D113" s="371"/>
      <c r="E113" s="371"/>
      <c r="F113" s="371"/>
      <c r="G113" s="371"/>
      <c r="H113" s="371"/>
      <c r="I113" s="371"/>
      <c r="J113" s="371"/>
    </row>
    <row r="114" spans="1:10">
      <c r="A114" s="371"/>
      <c r="B114" s="372"/>
      <c r="C114" s="371"/>
      <c r="D114" s="371"/>
      <c r="E114" s="371"/>
      <c r="F114" s="371"/>
      <c r="G114" s="371"/>
      <c r="H114" s="371"/>
      <c r="I114" s="371"/>
      <c r="J114" s="371"/>
    </row>
    <row r="115" spans="1:10" ht="16" thickBot="1">
      <c r="A115" s="371"/>
      <c r="B115" s="371"/>
      <c r="C115" s="371"/>
      <c r="D115" s="371"/>
      <c r="E115" s="371"/>
      <c r="F115" s="371"/>
      <c r="G115" s="371"/>
      <c r="H115" s="371"/>
      <c r="I115" s="371"/>
      <c r="J115" s="371"/>
    </row>
    <row r="116" spans="1:10" ht="16" thickBot="1">
      <c r="A116" s="371" t="s">
        <v>434</v>
      </c>
      <c r="B116" s="371"/>
      <c r="C116" s="388"/>
      <c r="D116" s="389">
        <v>0.55000000000000004</v>
      </c>
      <c r="E116" s="390">
        <v>0.6</v>
      </c>
      <c r="F116" s="390">
        <v>0.65</v>
      </c>
      <c r="G116" s="391">
        <v>0.7</v>
      </c>
      <c r="H116" s="392">
        <v>0.75</v>
      </c>
      <c r="I116" s="371"/>
      <c r="J116" s="371"/>
    </row>
    <row r="117" spans="1:10">
      <c r="A117" s="371"/>
      <c r="B117" s="371"/>
      <c r="C117" s="359">
        <v>499999</v>
      </c>
      <c r="D117" s="379">
        <v>8.9999999999999993E-3</v>
      </c>
      <c r="E117" s="379">
        <v>1.0999999999999999E-2</v>
      </c>
      <c r="F117" s="379">
        <v>1.2999999999999999E-2</v>
      </c>
      <c r="G117" s="379">
        <v>1.4999999999999999E-2</v>
      </c>
      <c r="H117" s="393">
        <v>1.7000000000000001E-2</v>
      </c>
      <c r="I117" s="371"/>
      <c r="J117" s="371"/>
    </row>
    <row r="118" spans="1:10" ht="16" thickBot="1">
      <c r="A118" s="371"/>
      <c r="B118" s="394"/>
      <c r="C118" s="359">
        <v>749999</v>
      </c>
      <c r="D118" s="381">
        <v>1.0999999999999999E-2</v>
      </c>
      <c r="E118" s="381">
        <v>1.2999999999999999E-2</v>
      </c>
      <c r="F118" s="381">
        <v>1.4999999999999999E-2</v>
      </c>
      <c r="G118" s="381">
        <v>1.7000000000000001E-2</v>
      </c>
      <c r="H118" s="395">
        <v>1.9E-2</v>
      </c>
      <c r="I118" s="371"/>
      <c r="J118" s="371"/>
    </row>
    <row r="119" spans="1:10">
      <c r="A119" s="371"/>
      <c r="B119" s="394"/>
      <c r="C119" s="387"/>
      <c r="D119" s="387"/>
      <c r="E119" s="387"/>
      <c r="F119" s="378"/>
      <c r="G119" s="378"/>
      <c r="H119" s="378"/>
      <c r="I119" s="371"/>
      <c r="J119" s="371"/>
    </row>
    <row r="120" spans="1:10">
      <c r="A120" s="371"/>
      <c r="B120" s="394"/>
      <c r="C120" s="383"/>
      <c r="D120" s="387" t="str">
        <f>IF($B$3&lt;=D116, "1", "0")</f>
        <v>0</v>
      </c>
      <c r="E120" s="387" t="str">
        <f>IF(AND(D117&lt;$B$3,$B$3&lt;=E116), "1", "0")</f>
        <v>1</v>
      </c>
      <c r="F120" s="387" t="str">
        <f>IF(AND(E116&lt;$B$3,$B$3&lt;=F116), "1", "0")</f>
        <v>0</v>
      </c>
      <c r="G120" s="387" t="str">
        <f>IF(AND(F116&lt;$B$3,$B$3&lt;=G116), "1", "0")</f>
        <v>0</v>
      </c>
      <c r="H120" s="387" t="str">
        <f>IF(AND(G116&lt;$B$3,$B$3&lt;=H116), "1", "0")</f>
        <v>0</v>
      </c>
      <c r="I120" s="372"/>
      <c r="J120" s="372"/>
    </row>
    <row r="121" spans="1:10">
      <c r="A121" s="394"/>
      <c r="B121" s="394"/>
      <c r="C121" s="387" t="str">
        <f>IF($B$2&lt;=C117,"1", "0")</f>
        <v>0</v>
      </c>
      <c r="D121" s="379">
        <v>8.9999999999999993E-3</v>
      </c>
      <c r="E121" s="379">
        <v>1.0999999999999999E-2</v>
      </c>
      <c r="F121" s="379">
        <v>1.2999999999999999E-2</v>
      </c>
      <c r="G121" s="379">
        <v>1.4999999999999999E-2</v>
      </c>
      <c r="H121" s="393">
        <v>1.7000000000000001E-2</v>
      </c>
      <c r="I121" s="372"/>
      <c r="J121" s="372"/>
    </row>
    <row r="122" spans="1:10" ht="16" thickBot="1">
      <c r="A122" s="394"/>
      <c r="B122" s="371"/>
      <c r="C122" s="387" t="str">
        <f>IF(AND($B$2&gt;C117, $B$2&lt;=C118),"1", "0")</f>
        <v>0</v>
      </c>
      <c r="D122" s="381">
        <v>1.0999999999999999E-2</v>
      </c>
      <c r="E122" s="381">
        <v>1.2999999999999999E-2</v>
      </c>
      <c r="F122" s="381">
        <v>1.4999999999999999E-2</v>
      </c>
      <c r="G122" s="381">
        <v>1.7000000000000001E-2</v>
      </c>
      <c r="H122" s="395">
        <v>1.9E-2</v>
      </c>
      <c r="I122" s="372"/>
      <c r="J122" s="372"/>
    </row>
    <row r="123" spans="1:10">
      <c r="A123" s="371"/>
      <c r="B123" s="371"/>
      <c r="C123" s="371"/>
      <c r="D123" s="371"/>
      <c r="E123" s="371"/>
      <c r="F123" s="371"/>
      <c r="G123" s="371"/>
      <c r="H123" s="371"/>
      <c r="I123" s="372"/>
      <c r="J123" s="372"/>
    </row>
    <row r="124" spans="1:10">
      <c r="A124" s="371" t="s">
        <v>235</v>
      </c>
      <c r="B124" s="371"/>
      <c r="C124" s="371"/>
      <c r="D124" s="371"/>
      <c r="E124" s="371"/>
      <c r="F124" s="371"/>
      <c r="G124" s="371"/>
      <c r="H124" s="371"/>
      <c r="I124" s="372"/>
      <c r="J124" s="372"/>
    </row>
    <row r="125" spans="1:10">
      <c r="A125" s="396" t="e">
        <f>VLOOKUP("1",C121:H122,(MATCH("1",C120:H120,0)),FALSE)</f>
        <v>#N/A</v>
      </c>
      <c r="B125" s="371"/>
      <c r="C125" s="371"/>
      <c r="D125" s="371"/>
      <c r="E125" s="371"/>
      <c r="F125" s="371"/>
      <c r="G125" s="371"/>
      <c r="H125" s="371"/>
      <c r="I125" s="372"/>
      <c r="J125" s="372"/>
    </row>
    <row r="126" spans="1:10">
      <c r="A126" s="371"/>
      <c r="B126" s="371"/>
      <c r="C126" s="371"/>
      <c r="D126" s="371"/>
      <c r="E126" s="371"/>
      <c r="F126" s="371"/>
      <c r="G126" s="371"/>
      <c r="H126" s="371"/>
      <c r="I126" s="372"/>
      <c r="J126" s="372"/>
    </row>
    <row r="127" spans="1:10">
      <c r="A127" s="371" t="s">
        <v>422</v>
      </c>
      <c r="B127" s="371"/>
      <c r="C127" s="371"/>
      <c r="D127" s="371"/>
      <c r="E127" s="371"/>
      <c r="F127" s="371"/>
      <c r="G127" s="371"/>
      <c r="H127" s="371"/>
      <c r="I127" s="372"/>
      <c r="J127" s="372"/>
    </row>
    <row r="128" spans="1:10">
      <c r="A128" s="325" t="e">
        <f>IF('Brighten Product'!E4="Non Resi", 'Risk Fee Matrix'!B112,'Risk Fee Matrix'!A125)</f>
        <v>#N/A</v>
      </c>
      <c r="B128" s="371"/>
      <c r="C128" s="371"/>
      <c r="D128" s="371"/>
      <c r="E128" s="371"/>
      <c r="F128" s="371"/>
      <c r="G128" s="371"/>
      <c r="H128" s="371"/>
      <c r="I128" s="372"/>
      <c r="J128" s="372"/>
    </row>
    <row r="129" spans="1:10">
      <c r="A129" s="371"/>
      <c r="B129" s="371"/>
      <c r="C129" s="371"/>
      <c r="D129" s="371"/>
      <c r="E129" s="371"/>
      <c r="F129" s="371"/>
      <c r="G129" s="371"/>
      <c r="H129" s="371"/>
      <c r="I129" s="372"/>
      <c r="J129" s="372"/>
    </row>
    <row r="133" spans="1:10" ht="16" thickBot="1">
      <c r="A133" s="397" t="s">
        <v>338</v>
      </c>
      <c r="B133" s="398"/>
      <c r="C133" s="398"/>
      <c r="D133" s="398"/>
      <c r="E133" s="398"/>
      <c r="F133" s="398"/>
      <c r="G133" s="398"/>
      <c r="H133" s="398"/>
      <c r="I133" s="398"/>
      <c r="J133" s="398"/>
    </row>
    <row r="134" spans="1:10">
      <c r="A134" s="398"/>
      <c r="B134" s="399"/>
      <c r="C134" s="400">
        <v>0.4</v>
      </c>
      <c r="D134" s="400">
        <v>0.5</v>
      </c>
      <c r="E134" s="400">
        <v>0.55000000000000004</v>
      </c>
      <c r="F134" s="400">
        <v>0.6</v>
      </c>
      <c r="G134" s="400">
        <v>0.65</v>
      </c>
      <c r="H134" s="400">
        <v>0.7</v>
      </c>
      <c r="I134" s="401">
        <v>0.75</v>
      </c>
      <c r="J134" s="398"/>
    </row>
    <row r="135" spans="1:10">
      <c r="A135" s="398"/>
      <c r="B135" s="344">
        <v>300000</v>
      </c>
      <c r="C135" s="402">
        <v>1.5E-3</v>
      </c>
      <c r="D135" s="402">
        <v>9.4999999999999998E-3</v>
      </c>
      <c r="E135" s="402">
        <v>1.4E-2</v>
      </c>
      <c r="F135" s="402">
        <v>1.55E-2</v>
      </c>
      <c r="G135" s="402">
        <v>1.7500000000000002E-2</v>
      </c>
      <c r="H135" s="402">
        <v>1.8499999999999999E-2</v>
      </c>
      <c r="I135" s="403">
        <v>1.9900000000000001E-2</v>
      </c>
      <c r="J135" s="398"/>
    </row>
    <row r="136" spans="1:10">
      <c r="A136" s="398"/>
      <c r="B136" s="344">
        <v>500000</v>
      </c>
      <c r="C136" s="402">
        <v>5.0000000000000001E-3</v>
      </c>
      <c r="D136" s="402">
        <v>1.15E-2</v>
      </c>
      <c r="E136" s="402">
        <v>1.55E-2</v>
      </c>
      <c r="F136" s="402">
        <v>1.7000000000000001E-2</v>
      </c>
      <c r="G136" s="402">
        <v>1.8499999999999999E-2</v>
      </c>
      <c r="H136" s="402">
        <v>1.9E-2</v>
      </c>
      <c r="I136" s="403">
        <v>1.9900000000000001E-2</v>
      </c>
      <c r="J136" s="398"/>
    </row>
    <row r="137" spans="1:10">
      <c r="A137" s="398"/>
      <c r="B137" s="344">
        <v>900000</v>
      </c>
      <c r="C137" s="402">
        <v>7.4999999999999997E-3</v>
      </c>
      <c r="D137" s="402">
        <v>1.2500000000000001E-2</v>
      </c>
      <c r="E137" s="402">
        <v>1.7000000000000001E-2</v>
      </c>
      <c r="F137" s="402">
        <v>1.7999999999999999E-2</v>
      </c>
      <c r="G137" s="402">
        <v>1.9E-2</v>
      </c>
      <c r="H137" s="402">
        <v>1.95E-2</v>
      </c>
      <c r="I137" s="403">
        <v>1.9900000000000001E-2</v>
      </c>
      <c r="J137" s="398"/>
    </row>
    <row r="138" spans="1:10" ht="16" thickBot="1">
      <c r="A138" s="398"/>
      <c r="B138" s="344">
        <v>1500000</v>
      </c>
      <c r="C138" s="404">
        <v>0.01</v>
      </c>
      <c r="D138" s="404">
        <v>1.4E-2</v>
      </c>
      <c r="E138" s="404">
        <v>1.8499999999999999E-2</v>
      </c>
      <c r="F138" s="404">
        <v>1.95E-2</v>
      </c>
      <c r="G138" s="404">
        <v>1.9900000000000001E-2</v>
      </c>
      <c r="H138" s="404">
        <v>1.9900000000000001E-2</v>
      </c>
      <c r="I138" s="405">
        <v>1.9900000000000001E-2</v>
      </c>
      <c r="J138" s="398"/>
    </row>
    <row r="139" spans="1:10">
      <c r="A139" s="398"/>
      <c r="B139" s="293"/>
      <c r="C139" s="406"/>
      <c r="D139" s="406"/>
      <c r="E139" s="406"/>
      <c r="F139" s="406"/>
      <c r="G139" s="406"/>
      <c r="H139" s="406"/>
      <c r="I139" s="406"/>
      <c r="J139" s="398"/>
    </row>
    <row r="140" spans="1:10">
      <c r="A140" s="398"/>
      <c r="B140" s="398"/>
      <c r="C140" s="398"/>
      <c r="D140" s="398"/>
      <c r="E140" s="398"/>
      <c r="F140" s="398"/>
      <c r="G140" s="398"/>
      <c r="H140" s="398"/>
      <c r="I140" s="398"/>
      <c r="J140" s="398"/>
    </row>
    <row r="141" spans="1:10">
      <c r="A141" s="398"/>
      <c r="B141" s="407"/>
      <c r="C141" s="407" t="str">
        <f>IF($B$3&lt;C134, "1", "0")</f>
        <v>0</v>
      </c>
      <c r="D141" s="407" t="str">
        <f>IF(AND(C134&lt;=$B$3,$B$3&lt;D134), "1", "0")</f>
        <v>0</v>
      </c>
      <c r="E141" s="407" t="str">
        <f>IF(AND(D135&lt;=$B$3,$B$3&lt;E134), "1", "0")</f>
        <v>0</v>
      </c>
      <c r="F141" s="407" t="str">
        <f t="shared" ref="F141:H141" si="25">IF(AND(E134&lt;=$B$3,$B$3&lt;F134), "1", "0")</f>
        <v>0</v>
      </c>
      <c r="G141" s="407" t="str">
        <f t="shared" si="25"/>
        <v>1</v>
      </c>
      <c r="H141" s="407" t="str">
        <f t="shared" si="25"/>
        <v>0</v>
      </c>
      <c r="I141" s="407" t="str">
        <f>IF(AND(H134&lt;=$B$3,$B$3&lt;=I134), "1", "0")</f>
        <v>0</v>
      </c>
      <c r="J141" s="398"/>
    </row>
    <row r="142" spans="1:10">
      <c r="A142" s="398"/>
      <c r="B142" s="398" t="str">
        <f>IF(B1&lt;=B135,"1", "0")</f>
        <v>1</v>
      </c>
      <c r="C142" s="406">
        <f>C135</f>
        <v>1.5E-3</v>
      </c>
      <c r="D142" s="406">
        <f t="shared" ref="D142" si="26">D135</f>
        <v>9.4999999999999998E-3</v>
      </c>
      <c r="E142" s="406">
        <f t="shared" ref="E142:I142" si="27">E135</f>
        <v>1.4E-2</v>
      </c>
      <c r="F142" s="406">
        <f t="shared" si="27"/>
        <v>1.55E-2</v>
      </c>
      <c r="G142" s="406">
        <f t="shared" si="27"/>
        <v>1.7500000000000002E-2</v>
      </c>
      <c r="H142" s="406">
        <f t="shared" si="27"/>
        <v>1.8499999999999999E-2</v>
      </c>
      <c r="I142" s="406">
        <f t="shared" si="27"/>
        <v>1.9900000000000001E-2</v>
      </c>
      <c r="J142" s="398"/>
    </row>
    <row r="143" spans="1:10">
      <c r="A143" s="398"/>
      <c r="B143" s="398" t="str">
        <f>IF(AND($B$2&gt;B135, $B$2&lt;=B136),"1", "0")</f>
        <v>0</v>
      </c>
      <c r="C143" s="406">
        <f t="shared" ref="C143:D143" si="28">C136</f>
        <v>5.0000000000000001E-3</v>
      </c>
      <c r="D143" s="406">
        <f t="shared" si="28"/>
        <v>1.15E-2</v>
      </c>
      <c r="E143" s="406">
        <f t="shared" ref="E143:I145" si="29">E136</f>
        <v>1.55E-2</v>
      </c>
      <c r="F143" s="406">
        <f t="shared" si="29"/>
        <v>1.7000000000000001E-2</v>
      </c>
      <c r="G143" s="406">
        <f t="shared" si="29"/>
        <v>1.8499999999999999E-2</v>
      </c>
      <c r="H143" s="406">
        <f t="shared" si="29"/>
        <v>1.9E-2</v>
      </c>
      <c r="I143" s="406">
        <f t="shared" si="29"/>
        <v>1.9900000000000001E-2</v>
      </c>
      <c r="J143" s="398"/>
    </row>
    <row r="144" spans="1:10">
      <c r="A144" s="398"/>
      <c r="B144" s="398" t="str">
        <f>IF(AND($B$2&gt;B136, $B$2&lt;=B137),"1", "0")</f>
        <v>0</v>
      </c>
      <c r="C144" s="406">
        <f t="shared" ref="C144:D144" si="30">C137</f>
        <v>7.4999999999999997E-3</v>
      </c>
      <c r="D144" s="406">
        <f t="shared" si="30"/>
        <v>1.2500000000000001E-2</v>
      </c>
      <c r="E144" s="406">
        <f t="shared" si="29"/>
        <v>1.7000000000000001E-2</v>
      </c>
      <c r="F144" s="406">
        <f t="shared" si="29"/>
        <v>1.7999999999999999E-2</v>
      </c>
      <c r="G144" s="406">
        <f t="shared" si="29"/>
        <v>1.9E-2</v>
      </c>
      <c r="H144" s="406">
        <f t="shared" si="29"/>
        <v>1.95E-2</v>
      </c>
      <c r="I144" s="406">
        <f t="shared" si="29"/>
        <v>1.9900000000000001E-2</v>
      </c>
      <c r="J144" s="398"/>
    </row>
    <row r="145" spans="1:10">
      <c r="A145" s="398"/>
      <c r="B145" s="398" t="str">
        <f>IF(AND($B$2&gt;B137, $B$2&lt;=B138),"1", "0")</f>
        <v>0</v>
      </c>
      <c r="C145" s="406">
        <f t="shared" ref="C145:D145" si="31">C138</f>
        <v>0.01</v>
      </c>
      <c r="D145" s="406">
        <f t="shared" si="31"/>
        <v>1.4E-2</v>
      </c>
      <c r="E145" s="406">
        <f t="shared" si="29"/>
        <v>1.8499999999999999E-2</v>
      </c>
      <c r="F145" s="406">
        <f t="shared" si="29"/>
        <v>1.95E-2</v>
      </c>
      <c r="G145" s="406">
        <f t="shared" si="29"/>
        <v>1.9900000000000001E-2</v>
      </c>
      <c r="H145" s="406">
        <f t="shared" si="29"/>
        <v>1.9900000000000001E-2</v>
      </c>
      <c r="I145" s="406">
        <f t="shared" si="29"/>
        <v>1.9900000000000001E-2</v>
      </c>
      <c r="J145" s="398"/>
    </row>
    <row r="146" spans="1:10">
      <c r="A146" s="398"/>
      <c r="B146" s="398"/>
      <c r="C146" s="398"/>
      <c r="D146" s="398"/>
      <c r="E146" s="398"/>
      <c r="F146" s="398"/>
      <c r="G146" s="398"/>
      <c r="H146" s="398"/>
      <c r="I146" s="398"/>
      <c r="J146" s="398"/>
    </row>
    <row r="147" spans="1:10">
      <c r="A147" s="398" t="s">
        <v>235</v>
      </c>
      <c r="B147" s="398"/>
      <c r="C147" s="398"/>
      <c r="D147" s="398"/>
      <c r="E147" s="398"/>
      <c r="F147" s="398"/>
      <c r="G147" s="398"/>
      <c r="H147" s="398"/>
      <c r="I147" s="398"/>
      <c r="J147" s="398"/>
    </row>
    <row r="148" spans="1:10">
      <c r="A148" s="402">
        <f>VLOOKUP("1",B142:I145,(MATCH("1",C141:I141,0)+1),FALSE)</f>
        <v>1.7500000000000002E-2</v>
      </c>
      <c r="B148" s="402"/>
      <c r="C148" s="398"/>
      <c r="D148" s="398"/>
      <c r="E148" s="398"/>
      <c r="F148" s="398"/>
      <c r="G148" s="398"/>
      <c r="H148" s="398"/>
      <c r="I148" s="398"/>
      <c r="J148" s="398"/>
    </row>
    <row r="149" spans="1:10">
      <c r="A149" s="402"/>
      <c r="B149" s="398"/>
      <c r="C149" s="398"/>
      <c r="D149" s="398"/>
      <c r="E149" s="398"/>
      <c r="F149" s="398"/>
      <c r="G149" s="398"/>
      <c r="H149" s="398"/>
      <c r="I149" s="398"/>
      <c r="J149" s="398"/>
    </row>
    <row r="150" spans="1:10">
      <c r="A150" s="398"/>
      <c r="B150" s="398"/>
      <c r="C150" s="398"/>
      <c r="D150" s="398"/>
      <c r="E150" s="398"/>
      <c r="F150" s="398"/>
      <c r="G150" s="398"/>
      <c r="H150" s="398"/>
      <c r="I150" s="398"/>
      <c r="J150" s="398"/>
    </row>
    <row r="151" spans="1:10">
      <c r="A151" s="398"/>
      <c r="B151" s="398"/>
      <c r="C151" s="398"/>
      <c r="D151" s="398"/>
      <c r="E151" s="398"/>
      <c r="F151" s="398"/>
      <c r="G151" s="398"/>
      <c r="H151" s="398"/>
      <c r="I151" s="398"/>
      <c r="J151" s="398"/>
    </row>
    <row r="152" spans="1:10">
      <c r="A152" s="408"/>
      <c r="B152" s="398"/>
      <c r="C152" s="398"/>
      <c r="D152" s="398"/>
      <c r="E152" s="398"/>
      <c r="F152" s="398"/>
      <c r="G152" s="398"/>
      <c r="H152" s="398"/>
      <c r="I152" s="398"/>
      <c r="J152" s="398"/>
    </row>
    <row r="153" spans="1:10">
      <c r="A153" s="398"/>
      <c r="B153" s="398"/>
      <c r="C153" s="398"/>
      <c r="D153" s="398"/>
      <c r="E153" s="398"/>
      <c r="F153" s="398"/>
      <c r="G153" s="398"/>
      <c r="H153" s="398"/>
      <c r="I153" s="398"/>
      <c r="J153" s="398"/>
    </row>
    <row r="158" spans="1:10" ht="16" thickBot="1">
      <c r="A158" s="397" t="s">
        <v>341</v>
      </c>
      <c r="B158" s="398"/>
      <c r="C158" s="398"/>
      <c r="D158" s="398"/>
      <c r="E158" s="398"/>
      <c r="F158" s="398"/>
      <c r="G158" s="398"/>
      <c r="H158" s="398"/>
    </row>
    <row r="159" spans="1:10" ht="16" thickBot="1">
      <c r="A159" s="398"/>
      <c r="B159" s="399"/>
      <c r="C159" s="400">
        <v>0.5</v>
      </c>
      <c r="D159" s="400">
        <v>0.55000000000000004</v>
      </c>
      <c r="E159" s="400">
        <v>0.6</v>
      </c>
      <c r="F159" s="400">
        <v>0.65</v>
      </c>
      <c r="G159" s="400">
        <v>0.7</v>
      </c>
      <c r="H159" s="398"/>
    </row>
    <row r="160" spans="1:10">
      <c r="A160" s="398"/>
      <c r="B160" s="293">
        <v>250000</v>
      </c>
      <c r="C160" s="409">
        <v>0.01</v>
      </c>
      <c r="D160" s="410">
        <v>1.2E-2</v>
      </c>
      <c r="E160" s="410">
        <v>1.4E-2</v>
      </c>
      <c r="F160" s="410">
        <v>1.6E-2</v>
      </c>
      <c r="G160" s="411">
        <v>1.7999999999999999E-2</v>
      </c>
      <c r="H160" s="412"/>
    </row>
    <row r="161" spans="1:8" ht="17">
      <c r="A161" s="398"/>
      <c r="B161" s="413">
        <v>500000</v>
      </c>
      <c r="C161" s="414">
        <v>1.2E-2</v>
      </c>
      <c r="D161" s="415">
        <v>1.4E-2</v>
      </c>
      <c r="E161" s="415">
        <v>1.6E-2</v>
      </c>
      <c r="F161" s="415">
        <v>1.7999999999999999E-2</v>
      </c>
      <c r="G161" s="416">
        <v>0.02</v>
      </c>
      <c r="H161" s="412"/>
    </row>
    <row r="162" spans="1:8">
      <c r="A162" s="398"/>
      <c r="B162" s="293">
        <v>750000</v>
      </c>
      <c r="C162" s="414">
        <v>1.4E-2</v>
      </c>
      <c r="D162" s="415">
        <v>1.6E-2</v>
      </c>
      <c r="E162" s="415">
        <v>1.7999999999999999E-2</v>
      </c>
      <c r="F162" s="415">
        <v>0.02</v>
      </c>
      <c r="G162" s="416">
        <v>2.1999999999999999E-2</v>
      </c>
      <c r="H162" s="412"/>
    </row>
    <row r="163" spans="1:8" ht="16" thickBot="1">
      <c r="A163" s="398"/>
      <c r="B163" s="293">
        <v>1000000</v>
      </c>
      <c r="C163" s="417">
        <v>1.6E-2</v>
      </c>
      <c r="D163" s="418">
        <v>1.7999999999999999E-2</v>
      </c>
      <c r="E163" s="418">
        <v>0.02</v>
      </c>
      <c r="F163" s="418">
        <v>2.1999999999999999E-2</v>
      </c>
      <c r="G163" s="419">
        <v>2.4E-2</v>
      </c>
      <c r="H163" s="412"/>
    </row>
    <row r="164" spans="1:8">
      <c r="A164" s="398"/>
      <c r="B164" s="293"/>
      <c r="C164" s="420"/>
      <c r="D164" s="420"/>
      <c r="E164" s="420"/>
      <c r="F164" s="420"/>
      <c r="G164" s="420"/>
      <c r="H164" s="412"/>
    </row>
    <row r="165" spans="1:8">
      <c r="A165" s="398"/>
      <c r="B165" s="398"/>
      <c r="C165" s="412"/>
      <c r="D165" s="412"/>
      <c r="E165" s="412"/>
      <c r="F165" s="412"/>
      <c r="G165" s="412"/>
      <c r="H165" s="412"/>
    </row>
    <row r="166" spans="1:8">
      <c r="A166" s="398"/>
      <c r="B166" s="407"/>
      <c r="C166" s="407" t="str">
        <f>IF($B$3&lt;=C159, "1", "0")</f>
        <v>0</v>
      </c>
      <c r="D166" s="407" t="str">
        <f t="shared" ref="D166" si="32">IF(AND(C159&lt;=$B$3,$B$3&lt;D159), "1", "0")</f>
        <v>0</v>
      </c>
      <c r="E166" s="407" t="str">
        <f>IF(AND(D160&lt;=$B$3,$B$3&lt;E159), "1", "0")</f>
        <v>0</v>
      </c>
      <c r="F166" s="407" t="str">
        <f t="shared" ref="F166" si="33">IF(AND(E159&lt;=$B$3,$B$3&lt;F159), "1", "0")</f>
        <v>1</v>
      </c>
      <c r="G166" s="407" t="str">
        <f>IF(AND(F159&lt;=$B$3,$B$3&lt;G159), "1", "0")</f>
        <v>0</v>
      </c>
      <c r="H166" s="398"/>
    </row>
    <row r="167" spans="1:8">
      <c r="A167" s="398"/>
      <c r="B167" s="398" t="str">
        <f>IF(AND($B$2&gt;=B160, $B$2&lt;=B161),"1", "0")</f>
        <v>0</v>
      </c>
      <c r="C167" s="406">
        <f>C160</f>
        <v>0.01</v>
      </c>
      <c r="D167" s="406">
        <f t="shared" ref="D167" si="34">D160</f>
        <v>1.2E-2</v>
      </c>
      <c r="E167" s="406">
        <f t="shared" ref="E167:G167" si="35">E160</f>
        <v>1.4E-2</v>
      </c>
      <c r="F167" s="406">
        <f t="shared" si="35"/>
        <v>1.6E-2</v>
      </c>
      <c r="G167" s="406">
        <f t="shared" si="35"/>
        <v>1.7999999999999999E-2</v>
      </c>
      <c r="H167" s="398"/>
    </row>
    <row r="168" spans="1:8">
      <c r="A168" s="398"/>
      <c r="B168" s="398" t="str">
        <f t="shared" ref="B168:B170" si="36">IF(AND($B$2&gt;B161, $B$2&lt;=B162),"1", "0")</f>
        <v>0</v>
      </c>
      <c r="C168" s="406">
        <f t="shared" ref="C168:D168" si="37">C161</f>
        <v>1.2E-2</v>
      </c>
      <c r="D168" s="406">
        <f t="shared" si="37"/>
        <v>1.4E-2</v>
      </c>
      <c r="E168" s="406">
        <f t="shared" ref="E168:G170" si="38">E161</f>
        <v>1.6E-2</v>
      </c>
      <c r="F168" s="406">
        <f t="shared" si="38"/>
        <v>1.7999999999999999E-2</v>
      </c>
      <c r="G168" s="406">
        <f t="shared" si="38"/>
        <v>0.02</v>
      </c>
      <c r="H168" s="398"/>
    </row>
    <row r="169" spans="1:8">
      <c r="A169" s="398"/>
      <c r="B169" s="398" t="str">
        <f t="shared" si="36"/>
        <v>0</v>
      </c>
      <c r="C169" s="406">
        <f t="shared" ref="C169:D169" si="39">C162</f>
        <v>1.4E-2</v>
      </c>
      <c r="D169" s="406">
        <f t="shared" si="39"/>
        <v>1.6E-2</v>
      </c>
      <c r="E169" s="406">
        <f t="shared" si="38"/>
        <v>1.7999999999999999E-2</v>
      </c>
      <c r="F169" s="406">
        <f t="shared" si="38"/>
        <v>0.02</v>
      </c>
      <c r="G169" s="406">
        <f t="shared" si="38"/>
        <v>2.1999999999999999E-2</v>
      </c>
      <c r="H169" s="398"/>
    </row>
    <row r="170" spans="1:8">
      <c r="A170" s="398"/>
      <c r="B170" s="398" t="str">
        <f t="shared" si="36"/>
        <v>0</v>
      </c>
      <c r="C170" s="406">
        <f t="shared" ref="C170:D170" si="40">C163</f>
        <v>1.6E-2</v>
      </c>
      <c r="D170" s="406">
        <f t="shared" si="40"/>
        <v>1.7999999999999999E-2</v>
      </c>
      <c r="E170" s="406">
        <f t="shared" si="38"/>
        <v>0.02</v>
      </c>
      <c r="F170" s="406">
        <f t="shared" si="38"/>
        <v>2.1999999999999999E-2</v>
      </c>
      <c r="G170" s="406">
        <f t="shared" si="38"/>
        <v>2.4E-2</v>
      </c>
      <c r="H170" s="398"/>
    </row>
    <row r="171" spans="1:8">
      <c r="A171" s="398"/>
      <c r="B171" s="398"/>
      <c r="C171" s="398"/>
      <c r="D171" s="398"/>
      <c r="E171" s="398"/>
      <c r="F171" s="398"/>
      <c r="G171" s="398"/>
      <c r="H171" s="398"/>
    </row>
    <row r="172" spans="1:8">
      <c r="A172" s="398" t="s">
        <v>235</v>
      </c>
      <c r="B172" s="398"/>
      <c r="C172" s="398"/>
      <c r="D172" s="398"/>
      <c r="E172" s="398"/>
      <c r="F172" s="398"/>
      <c r="G172" s="398"/>
      <c r="H172" s="398"/>
    </row>
    <row r="173" spans="1:8">
      <c r="A173" s="402" t="e">
        <f>VLOOKUP("1",B167:G170,(MATCH("1",C166:G166,0)+1),FALSE)</f>
        <v>#N/A</v>
      </c>
      <c r="B173" s="402"/>
      <c r="C173" s="398"/>
      <c r="D173" s="398"/>
      <c r="E173" s="398"/>
      <c r="F173" s="398"/>
      <c r="G173" s="398"/>
      <c r="H173" s="398"/>
    </row>
    <row r="174" spans="1:8">
      <c r="A174" s="402"/>
      <c r="B174" s="398"/>
      <c r="C174" s="398"/>
      <c r="D174" s="398"/>
      <c r="E174" s="398"/>
      <c r="F174" s="398"/>
      <c r="G174" s="398"/>
      <c r="H174" s="398"/>
    </row>
    <row r="175" spans="1:8">
      <c r="A175" s="398"/>
      <c r="B175" s="398"/>
      <c r="C175" s="398"/>
      <c r="D175" s="398"/>
      <c r="E175" s="398"/>
      <c r="F175" s="398"/>
      <c r="G175" s="398"/>
      <c r="H175" s="398"/>
    </row>
    <row r="176" spans="1:8">
      <c r="A176" s="398"/>
      <c r="B176" s="398"/>
      <c r="C176" s="398"/>
      <c r="D176" s="398"/>
      <c r="E176" s="398"/>
      <c r="F176" s="398"/>
      <c r="G176" s="398"/>
      <c r="H176" s="398"/>
    </row>
    <row r="177" spans="1:8">
      <c r="A177" s="408"/>
      <c r="B177" s="398"/>
      <c r="C177" s="398"/>
      <c r="D177" s="398"/>
      <c r="E177" s="398"/>
      <c r="F177" s="398"/>
      <c r="G177" s="398"/>
      <c r="H177" s="398"/>
    </row>
    <row r="178" spans="1:8">
      <c r="A178" s="398"/>
      <c r="B178" s="398"/>
      <c r="C178" s="398"/>
      <c r="D178" s="398"/>
      <c r="E178" s="398"/>
      <c r="F178" s="398"/>
      <c r="G178" s="398"/>
      <c r="H178" s="398"/>
    </row>
  </sheetData>
  <mergeCells count="3">
    <mergeCell ref="A5:I5"/>
    <mergeCell ref="K5:U5"/>
    <mergeCell ref="A34:I34"/>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99FAA-0D95-466C-9B69-A28469FE1C0D}">
  <sheetPr codeName="Sheet12"/>
  <dimension ref="A1:O168"/>
  <sheetViews>
    <sheetView workbookViewId="0">
      <selection sqref="A1:C1"/>
    </sheetView>
  </sheetViews>
  <sheetFormatPr defaultColWidth="10" defaultRowHeight="15.5"/>
  <cols>
    <col min="1" max="1" width="23.7265625" style="421" customWidth="1"/>
    <col min="2" max="2" width="17.1796875" style="421" customWidth="1"/>
    <col min="3" max="3" width="17.7265625" style="485" customWidth="1"/>
    <col min="4" max="4" width="16.54296875" style="421" customWidth="1"/>
    <col min="5" max="5" width="14.81640625" style="421" customWidth="1"/>
    <col min="6" max="6" width="14" style="421" customWidth="1"/>
    <col min="7" max="7" width="10" style="421"/>
    <col min="8" max="8" width="14" style="421" customWidth="1"/>
    <col min="9" max="9" width="10" style="421" customWidth="1"/>
    <col min="10" max="10" width="20.81640625" style="421" customWidth="1"/>
    <col min="11" max="11" width="15.7265625" style="421" customWidth="1"/>
    <col min="12" max="12" width="17.26953125" style="421" customWidth="1"/>
    <col min="13" max="13" width="15.1796875" style="421" customWidth="1"/>
    <col min="14" max="14" width="10.26953125" style="421" customWidth="1"/>
    <col min="15" max="15" width="10" style="421"/>
    <col min="16" max="16" width="11.26953125" style="421" customWidth="1"/>
    <col min="17" max="17" width="15.26953125" style="421" customWidth="1"/>
    <col min="18" max="18" width="11.1796875" style="421" customWidth="1"/>
    <col min="19" max="19" width="14.54296875" style="421" customWidth="1"/>
    <col min="20" max="20" width="8.26953125" style="421" customWidth="1"/>
    <col min="21" max="16384" width="10" style="421"/>
  </cols>
  <sheetData>
    <row r="1" spans="1:15">
      <c r="A1" s="1311" t="s">
        <v>17</v>
      </c>
      <c r="B1" s="1311"/>
      <c r="C1" s="1311"/>
      <c r="D1" s="1312" t="str">
        <f>'Brighten Product'!$E$4</f>
        <v>Apartment/Townhouse/House</v>
      </c>
      <c r="E1" s="1312"/>
      <c r="F1" s="1312"/>
      <c r="G1" s="1312"/>
    </row>
    <row r="2" spans="1:15">
      <c r="A2" s="1311" t="s">
        <v>369</v>
      </c>
      <c r="B2" s="1311"/>
      <c r="C2" s="1311"/>
      <c r="D2" s="1312" t="str">
        <f>'Brighten Product'!$E$5</f>
        <v>No</v>
      </c>
      <c r="E2" s="1312"/>
      <c r="F2" s="1312"/>
      <c r="G2" s="1312"/>
      <c r="H2" s="422"/>
      <c r="I2" s="422"/>
      <c r="J2" s="422"/>
      <c r="K2" s="422"/>
      <c r="L2" s="422"/>
      <c r="M2" s="422"/>
      <c r="N2" s="422"/>
      <c r="O2" s="422"/>
    </row>
    <row r="3" spans="1:15">
      <c r="A3" s="1311" t="s">
        <v>370</v>
      </c>
      <c r="B3" s="1311"/>
      <c r="C3" s="1311"/>
      <c r="D3" s="1312" t="str">
        <f>'Brighten Product'!$E$6</f>
        <v>Yes</v>
      </c>
      <c r="E3" s="1312"/>
      <c r="F3" s="1312"/>
      <c r="G3" s="1312"/>
      <c r="H3" s="422"/>
      <c r="I3" s="422"/>
      <c r="J3" s="422"/>
      <c r="K3" s="422"/>
      <c r="L3" s="422"/>
      <c r="M3" s="422"/>
      <c r="N3" s="422"/>
      <c r="O3" s="422"/>
    </row>
    <row r="4" spans="1:15">
      <c r="A4" s="1311" t="s">
        <v>55</v>
      </c>
      <c r="B4" s="1311"/>
      <c r="C4" s="1311"/>
      <c r="D4" s="1312">
        <f>'Brighten Product'!$E$7</f>
        <v>1800000</v>
      </c>
      <c r="E4" s="1312"/>
      <c r="F4" s="1312"/>
      <c r="G4" s="1312"/>
      <c r="H4" s="422"/>
      <c r="I4" s="422"/>
      <c r="J4" s="422"/>
      <c r="K4" s="422"/>
      <c r="L4" s="422"/>
      <c r="M4" s="422"/>
      <c r="N4" s="422"/>
      <c r="O4" s="422"/>
    </row>
    <row r="5" spans="1:15">
      <c r="A5" s="1311" t="s">
        <v>371</v>
      </c>
      <c r="B5" s="1311"/>
      <c r="C5" s="1311"/>
      <c r="D5" s="1312">
        <f>'Brighten Product'!$E$8</f>
        <v>3000000</v>
      </c>
      <c r="E5" s="1312"/>
      <c r="F5" s="1312"/>
      <c r="G5" s="1312"/>
      <c r="H5" s="422"/>
      <c r="I5" s="422"/>
      <c r="J5" s="422"/>
      <c r="K5" s="422"/>
      <c r="L5" s="422"/>
      <c r="M5" s="422"/>
      <c r="N5" s="422"/>
      <c r="O5" s="422"/>
    </row>
    <row r="6" spans="1:15">
      <c r="A6" s="1311" t="s">
        <v>68</v>
      </c>
      <c r="B6" s="1311"/>
      <c r="C6" s="1311"/>
      <c r="D6" s="1313">
        <f>'Brighten Product'!$E$9</f>
        <v>0.6</v>
      </c>
      <c r="E6" s="1313"/>
      <c r="F6" s="1313"/>
      <c r="G6" s="1313"/>
      <c r="H6" s="422"/>
      <c r="I6" s="422"/>
      <c r="J6" s="422"/>
      <c r="K6" s="422"/>
      <c r="L6" s="422"/>
      <c r="M6" s="422"/>
      <c r="N6" s="422"/>
      <c r="O6" s="422"/>
    </row>
    <row r="7" spans="1:15">
      <c r="A7" s="1311" t="s">
        <v>373</v>
      </c>
      <c r="B7" s="1311"/>
      <c r="C7" s="1311"/>
      <c r="D7" s="1312" t="str">
        <f>'Brighten Product'!$E$10</f>
        <v>P&amp;I</v>
      </c>
      <c r="E7" s="1312"/>
      <c r="F7" s="1312"/>
      <c r="G7" s="1312"/>
      <c r="H7" s="422"/>
      <c r="I7" s="422"/>
      <c r="J7" s="422"/>
      <c r="K7" s="422"/>
      <c r="L7" s="422"/>
      <c r="M7" s="422"/>
      <c r="N7" s="422"/>
      <c r="O7" s="422"/>
    </row>
    <row r="8" spans="1:15">
      <c r="A8" s="1311" t="s">
        <v>470</v>
      </c>
      <c r="B8" s="1311"/>
      <c r="C8" s="1311"/>
      <c r="D8" s="1312">
        <f>'Brighten Product'!$E$11</f>
        <v>5</v>
      </c>
      <c r="E8" s="1312"/>
      <c r="F8" s="1312"/>
      <c r="G8" s="1312"/>
      <c r="H8" s="422"/>
      <c r="I8" s="422"/>
      <c r="J8" s="422"/>
      <c r="K8" s="422"/>
      <c r="L8" s="422"/>
      <c r="M8" s="422"/>
      <c r="N8" s="422"/>
      <c r="O8" s="422"/>
    </row>
    <row r="9" spans="1:15">
      <c r="A9" s="1311" t="s">
        <v>379</v>
      </c>
      <c r="B9" s="1311"/>
      <c r="C9" s="1311"/>
      <c r="D9" s="1312">
        <f>'Brighten Product'!$E$12</f>
        <v>0</v>
      </c>
      <c r="E9" s="1312"/>
      <c r="F9" s="1312"/>
      <c r="G9" s="1312"/>
      <c r="H9" s="422"/>
      <c r="I9" s="422"/>
      <c r="J9" s="422"/>
      <c r="K9" s="422"/>
      <c r="L9" s="422"/>
      <c r="M9" s="422"/>
      <c r="N9" s="422"/>
      <c r="O9" s="422"/>
    </row>
    <row r="10" spans="1:15">
      <c r="A10" s="423"/>
      <c r="B10" s="423"/>
      <c r="C10" s="423"/>
      <c r="D10" s="424"/>
      <c r="E10" s="424"/>
      <c r="F10" s="424"/>
      <c r="G10" s="424"/>
      <c r="H10" s="422"/>
      <c r="I10" s="422"/>
      <c r="J10" s="422"/>
      <c r="K10" s="422"/>
      <c r="L10" s="422"/>
      <c r="M10" s="422"/>
      <c r="N10" s="422"/>
      <c r="O10" s="422"/>
    </row>
    <row r="11" spans="1:15" s="427" customFormat="1" ht="28.15" customHeight="1">
      <c r="A11" s="1314" t="s">
        <v>471</v>
      </c>
      <c r="B11" s="1314"/>
      <c r="C11" s="425"/>
      <c r="D11" s="426">
        <v>0.65</v>
      </c>
      <c r="E11" s="426">
        <v>0.75</v>
      </c>
      <c r="F11" s="425"/>
      <c r="I11" s="1314" t="s">
        <v>472</v>
      </c>
      <c r="J11" s="1314"/>
      <c r="K11" s="425"/>
      <c r="L11" s="426">
        <v>0.65</v>
      </c>
      <c r="M11" s="426">
        <v>0.75</v>
      </c>
      <c r="N11" s="425"/>
    </row>
    <row r="12" spans="1:15" s="427" customFormat="1" ht="16.149999999999999" customHeight="1">
      <c r="A12" s="428"/>
      <c r="B12" s="425"/>
      <c r="C12" s="429">
        <v>600000</v>
      </c>
      <c r="D12" s="426">
        <f>'Brighten Product'!$X$6</f>
        <v>4.48E-2</v>
      </c>
      <c r="E12" s="426">
        <f>'Brighten Product'!$Z$6</f>
        <v>6.4799999999999996E-2</v>
      </c>
      <c r="F12" s="425"/>
      <c r="I12" s="428"/>
      <c r="J12" s="425"/>
      <c r="K12" s="429">
        <v>600000</v>
      </c>
      <c r="L12" s="426">
        <f>'Brighten Product'!$X$6</f>
        <v>4.48E-2</v>
      </c>
      <c r="M12" s="426">
        <f>'Brighten Product'!$Z$6</f>
        <v>6.4799999999999996E-2</v>
      </c>
      <c r="N12" s="425"/>
    </row>
    <row r="13" spans="1:15" s="427" customFormat="1" ht="16.149999999999999" customHeight="1">
      <c r="A13" s="421"/>
      <c r="B13" s="272"/>
      <c r="C13" s="430">
        <v>1500000</v>
      </c>
      <c r="D13" s="431">
        <f>'Brighten Product'!$X$7</f>
        <v>6.4799999999999996E-2</v>
      </c>
      <c r="E13" s="431">
        <f>'Brighten Product'!$Z$7</f>
        <v>6.4799999999999996E-2</v>
      </c>
      <c r="F13" s="272"/>
      <c r="I13" s="421"/>
      <c r="J13" s="272"/>
      <c r="K13" s="430">
        <v>1500000</v>
      </c>
      <c r="L13" s="431">
        <f>'Brighten Product'!$X$7</f>
        <v>6.4799999999999996E-2</v>
      </c>
      <c r="M13" s="431">
        <f>'Brighten Product'!$Z$7</f>
        <v>6.4799999999999996E-2</v>
      </c>
      <c r="N13" s="272"/>
    </row>
    <row r="14" spans="1:15" s="427" customFormat="1" ht="16.149999999999999" customHeight="1">
      <c r="A14" s="421"/>
      <c r="B14" s="272"/>
      <c r="C14" s="432"/>
      <c r="D14" s="272"/>
      <c r="E14" s="272"/>
      <c r="F14" s="272"/>
      <c r="I14" s="421"/>
      <c r="J14" s="272"/>
      <c r="K14" s="432"/>
      <c r="L14" s="272"/>
      <c r="M14" s="272"/>
      <c r="N14" s="272"/>
    </row>
    <row r="15" spans="1:15" s="427" customFormat="1" ht="16.149999999999999" customHeight="1">
      <c r="A15" s="421"/>
      <c r="B15" s="272"/>
      <c r="C15" s="433"/>
      <c r="D15" s="434" t="str">
        <f>IF($D$6&lt;=D11, "1", "0")</f>
        <v>1</v>
      </c>
      <c r="E15" s="434" t="str">
        <f>IF(AND(D11&lt;$D$6,$D$6&lt;=E11), "1", "0")</f>
        <v>0</v>
      </c>
      <c r="F15" s="272"/>
      <c r="I15" s="421"/>
      <c r="J15" s="272"/>
      <c r="K15" s="433"/>
      <c r="L15" s="434" t="str">
        <f>IF($D$6&lt;L11, "1", "0")</f>
        <v>1</v>
      </c>
      <c r="M15" s="434" t="str">
        <f>IF(AND(L11&lt;=$D$6,$D$6&lt;=M11), "1", "0")</f>
        <v>0</v>
      </c>
      <c r="N15" s="272"/>
    </row>
    <row r="16" spans="1:15" s="427" customFormat="1" ht="15" customHeight="1">
      <c r="A16" s="421"/>
      <c r="B16" s="272"/>
      <c r="C16" s="272" t="str">
        <f>IF($D$4&lt;=C12,"1", "0")</f>
        <v>0</v>
      </c>
      <c r="D16" s="431">
        <f>$D$12</f>
        <v>4.48E-2</v>
      </c>
      <c r="E16" s="431">
        <f>$E$12</f>
        <v>6.4799999999999996E-2</v>
      </c>
      <c r="F16" s="272"/>
      <c r="I16" s="421"/>
      <c r="J16" s="272"/>
      <c r="K16" s="272" t="str">
        <f>IF($D$4&lt;K12,"1", "0")</f>
        <v>0</v>
      </c>
      <c r="L16" s="431">
        <f>$D$12</f>
        <v>4.48E-2</v>
      </c>
      <c r="M16" s="431">
        <f>$E$12</f>
        <v>6.4799999999999996E-2</v>
      </c>
      <c r="N16" s="272"/>
    </row>
    <row r="17" spans="1:14" s="427" customFormat="1" ht="16.149999999999999" customHeight="1">
      <c r="A17" s="421"/>
      <c r="B17" s="272"/>
      <c r="C17" s="272" t="str">
        <f>IF(AND($D$4&gt;C12, $D$4&lt;=C13),"1", "0")</f>
        <v>0</v>
      </c>
      <c r="D17" s="431">
        <f>$D$13</f>
        <v>6.4799999999999996E-2</v>
      </c>
      <c r="E17" s="431">
        <f>$E$13</f>
        <v>6.4799999999999996E-2</v>
      </c>
      <c r="F17" s="431"/>
      <c r="I17" s="421"/>
      <c r="J17" s="272"/>
      <c r="K17" s="272" t="str">
        <f>IF(AND($D$4&gt;=K12, $D$4&lt;=K13),"1", "0")</f>
        <v>0</v>
      </c>
      <c r="L17" s="431">
        <f>$D$13</f>
        <v>6.4799999999999996E-2</v>
      </c>
      <c r="M17" s="431">
        <f>$E$13</f>
        <v>6.4799999999999996E-2</v>
      </c>
      <c r="N17" s="431"/>
    </row>
    <row r="18" spans="1:14" s="427" customFormat="1" ht="16.149999999999999" customHeight="1">
      <c r="A18" s="421"/>
      <c r="B18" s="272"/>
      <c r="C18" s="272"/>
      <c r="D18" s="272"/>
      <c r="E18" s="272"/>
      <c r="F18" s="431"/>
      <c r="I18" s="421"/>
      <c r="J18" s="272"/>
      <c r="K18" s="272"/>
      <c r="L18" s="272"/>
      <c r="M18" s="272"/>
      <c r="N18" s="431"/>
    </row>
    <row r="19" spans="1:14" s="427" customFormat="1" ht="16.149999999999999" customHeight="1">
      <c r="A19" s="421" t="s">
        <v>372</v>
      </c>
      <c r="B19" s="272" t="s">
        <v>375</v>
      </c>
      <c r="C19" s="272" t="s">
        <v>378</v>
      </c>
      <c r="D19" s="272"/>
      <c r="E19" s="272"/>
      <c r="F19" s="431"/>
      <c r="I19" s="421" t="s">
        <v>372</v>
      </c>
      <c r="J19" s="272" t="s">
        <v>375</v>
      </c>
      <c r="K19" s="272" t="s">
        <v>378</v>
      </c>
      <c r="L19" s="272"/>
      <c r="M19" s="272"/>
      <c r="N19" s="431"/>
    </row>
    <row r="20" spans="1:14" s="427" customFormat="1" ht="16.149999999999999" customHeight="1">
      <c r="A20" s="421"/>
      <c r="B20" s="275">
        <f>'Brighten Product'!Y10</f>
        <v>3.0000000000000001E-3</v>
      </c>
      <c r="C20" s="431">
        <v>3.0000000000000001E-3</v>
      </c>
      <c r="D20" s="431"/>
      <c r="E20" s="272"/>
      <c r="F20" s="272"/>
      <c r="I20" s="421"/>
      <c r="J20" s="275">
        <v>3.0000000000000001E-3</v>
      </c>
      <c r="K20" s="431">
        <v>0</v>
      </c>
      <c r="L20" s="431"/>
      <c r="M20" s="272"/>
      <c r="N20" s="272"/>
    </row>
    <row r="21" spans="1:14" s="427" customFormat="1" ht="16.149999999999999" customHeight="1">
      <c r="A21" s="421"/>
      <c r="B21" s="272"/>
      <c r="C21" s="431"/>
      <c r="D21" s="272"/>
      <c r="E21" s="272"/>
      <c r="F21" s="272"/>
      <c r="I21" s="421"/>
      <c r="J21" s="272"/>
      <c r="K21" s="431"/>
      <c r="L21" s="272"/>
      <c r="M21" s="272"/>
      <c r="N21" s="272"/>
    </row>
    <row r="22" spans="1:14" s="427" customFormat="1" ht="16.149999999999999" customHeight="1">
      <c r="A22" s="421" t="s">
        <v>473</v>
      </c>
      <c r="B22" s="435" t="e">
        <f>VLOOKUP("1",C16:E17,(MATCH("1",C15:E15,0)),FALSE)</f>
        <v>#N/A</v>
      </c>
      <c r="C22" s="435" t="e">
        <f>IF(AND($D$7="IO",$D$8&gt;0),$B$22+$B$20,$B$22)</f>
        <v>#N/A</v>
      </c>
      <c r="D22" s="435" t="e">
        <f>IF($D$2="YES", $C$22+$C$20, $C$22)</f>
        <v>#N/A</v>
      </c>
      <c r="G22" s="272"/>
      <c r="I22" s="421" t="s">
        <v>473</v>
      </c>
      <c r="J22" s="435" t="e">
        <f>VLOOKUP("1",K16:M17,(MATCH("1",K15:M15,0)),FALSE)</f>
        <v>#N/A</v>
      </c>
      <c r="K22" s="435" t="e">
        <f>IF(AND($D$7="IO",$D$8&gt;0),$B$22+$B$20,$B$22)</f>
        <v>#N/A</v>
      </c>
      <c r="L22" s="435" t="e">
        <f>IF($D$2="YES", $C$22+$C$20, $C$22)</f>
        <v>#N/A</v>
      </c>
    </row>
    <row r="23" spans="1:14" s="427" customFormat="1" ht="16.149999999999999" customHeight="1">
      <c r="A23" s="421" t="s">
        <v>474</v>
      </c>
      <c r="B23" s="435">
        <v>6.4799999999999996E-2</v>
      </c>
      <c r="C23" s="435">
        <f>IF(AND($D$7="IO",$D$8&gt;1),$B$23+$B$20,$B$23)</f>
        <v>6.4799999999999996E-2</v>
      </c>
      <c r="D23" s="435">
        <f>IF($D$2="YES", $C$23+$C$20, $C$23)</f>
        <v>6.4799999999999996E-2</v>
      </c>
      <c r="G23" s="272"/>
      <c r="I23" s="421" t="s">
        <v>474</v>
      </c>
      <c r="J23" s="435">
        <v>6.4799999999999996E-2</v>
      </c>
      <c r="K23" s="435">
        <f>IF(AND($D$7="IO",$D$8&gt;1),$B$23+$B$20,$B$23)</f>
        <v>6.4799999999999996E-2</v>
      </c>
      <c r="L23" s="435">
        <f>IF($D$2="YES", $C$23+$C$20, $C$23)</f>
        <v>6.4799999999999996E-2</v>
      </c>
    </row>
    <row r="24" spans="1:14" s="427" customFormat="1" ht="16.149999999999999" customHeight="1">
      <c r="A24" s="421" t="s">
        <v>475</v>
      </c>
      <c r="B24" s="435">
        <v>6.4799999999999996E-2</v>
      </c>
      <c r="C24" s="435">
        <f>IF(AND($D$7="IO",$D$8&gt;2),$B$24+$B$20,$B$24)</f>
        <v>6.4799999999999996E-2</v>
      </c>
      <c r="D24" s="435">
        <f>IF($D$2="YES", $C$24+$C$20, $C$24)</f>
        <v>6.4799999999999996E-2</v>
      </c>
      <c r="G24" s="272"/>
      <c r="I24" s="421" t="s">
        <v>475</v>
      </c>
      <c r="J24" s="435">
        <v>6.4799999999999996E-2</v>
      </c>
      <c r="K24" s="435">
        <f>IF(AND($D$7="IO",$D$8&gt;2),$B$24+$B$20,$B$24)</f>
        <v>6.4799999999999996E-2</v>
      </c>
      <c r="L24" s="435">
        <f>IF($D$2="YES", $C$24+$C$20, $C$24)</f>
        <v>6.4799999999999996E-2</v>
      </c>
    </row>
    <row r="25" spans="1:14" s="427" customFormat="1" ht="16.149999999999999" customHeight="1">
      <c r="A25" s="421" t="s">
        <v>476</v>
      </c>
      <c r="B25" s="435">
        <v>6.4799999999999996E-2</v>
      </c>
      <c r="C25" s="435">
        <f>IF(AND($D$7="IO",$D$8&gt;3),$B$25+$B$20,$B$25)</f>
        <v>6.4799999999999996E-2</v>
      </c>
      <c r="D25" s="435">
        <f>IF($D$2="YES", $C$25+$C$20, $C$25)</f>
        <v>6.4799999999999996E-2</v>
      </c>
      <c r="E25" s="436"/>
      <c r="F25" s="436"/>
      <c r="G25" s="436"/>
      <c r="I25" s="421" t="s">
        <v>476</v>
      </c>
      <c r="J25" s="435">
        <v>6.4799999999999996E-2</v>
      </c>
      <c r="K25" s="435">
        <f>IF(AND($D$7="IO",$D$8&gt;3),$B$25+$B$20,$B$25)</f>
        <v>6.4799999999999996E-2</v>
      </c>
      <c r="L25" s="435">
        <f>IF($D$2="YES", $C$25+$C$20, $C$25)</f>
        <v>6.4799999999999996E-2</v>
      </c>
      <c r="M25" s="436"/>
      <c r="N25" s="436"/>
    </row>
    <row r="26" spans="1:14" s="427" customFormat="1" ht="16.149999999999999" customHeight="1">
      <c r="A26" s="421" t="s">
        <v>477</v>
      </c>
      <c r="B26" s="435">
        <v>6.4799999999999996E-2</v>
      </c>
      <c r="C26" s="435">
        <f>IF(AND($D$7="IO",$D$8&gt;4),$B$26+$B$20,$B$26)</f>
        <v>6.4799999999999996E-2</v>
      </c>
      <c r="D26" s="435">
        <f>IF($D$2="YES", $C$26+$C$20, $C$26)</f>
        <v>6.4799999999999996E-2</v>
      </c>
      <c r="I26" s="421" t="s">
        <v>477</v>
      </c>
      <c r="J26" s="435">
        <v>6.4799999999999996E-2</v>
      </c>
      <c r="K26" s="435">
        <f>IF(AND($D$7="IO",$D$8&gt;4),$B$26+$B$20,$B$26)</f>
        <v>6.4799999999999996E-2</v>
      </c>
      <c r="L26" s="435">
        <f>IF($D$2="YES", $C$26+$C$20, $C$26)</f>
        <v>6.4799999999999996E-2</v>
      </c>
    </row>
    <row r="27" spans="1:14" s="427" customFormat="1" ht="16.149999999999999" customHeight="1"/>
    <row r="28" spans="1:14" s="427" customFormat="1" ht="16.149999999999999" customHeight="1"/>
    <row r="29" spans="1:14" s="427" customFormat="1" ht="31.9" customHeight="1">
      <c r="A29" s="427" t="s">
        <v>478</v>
      </c>
    </row>
    <row r="30" spans="1:14" s="427" customFormat="1" ht="16.149999999999999" customHeight="1" thickBot="1">
      <c r="A30" s="1315" t="s">
        <v>479</v>
      </c>
      <c r="B30" s="1315"/>
      <c r="C30" s="437"/>
      <c r="D30" s="438">
        <v>0.65</v>
      </c>
      <c r="E30" s="439">
        <v>0.65</v>
      </c>
      <c r="F30" s="439">
        <v>0.75</v>
      </c>
      <c r="G30" s="437"/>
      <c r="H30" s="421"/>
      <c r="I30" s="1315" t="s">
        <v>480</v>
      </c>
      <c r="J30" s="1315"/>
      <c r="K30" s="440"/>
      <c r="L30" s="438">
        <v>0.65</v>
      </c>
      <c r="M30" s="441">
        <v>0.75</v>
      </c>
      <c r="N30" s="440"/>
    </row>
    <row r="31" spans="1:14" s="427" customFormat="1" ht="16.149999999999999" customHeight="1">
      <c r="A31" s="442"/>
      <c r="B31" s="440"/>
      <c r="C31" s="443">
        <v>600000</v>
      </c>
      <c r="D31" s="444">
        <v>6.3799999999999996E-2</v>
      </c>
      <c r="E31" s="445">
        <v>6.3799999999999996E-2</v>
      </c>
      <c r="F31" s="446">
        <v>6.4799999999999996E-2</v>
      </c>
      <c r="G31" s="437"/>
      <c r="H31" s="421"/>
      <c r="I31" s="442"/>
      <c r="J31" s="440"/>
      <c r="K31" s="429">
        <v>600000</v>
      </c>
      <c r="L31" s="447">
        <f>'Brighten Product'!Q6</f>
        <v>6.2799999999999995E-2</v>
      </c>
      <c r="M31" s="448">
        <f>'Brighten Product'!S6</f>
        <v>6.4799999999999996E-2</v>
      </c>
      <c r="N31" s="440"/>
    </row>
    <row r="32" spans="1:14" s="427" customFormat="1" ht="21" customHeight="1" thickBot="1">
      <c r="A32" s="442"/>
      <c r="B32" s="440"/>
      <c r="C32" s="443">
        <v>1500000</v>
      </c>
      <c r="D32" s="449">
        <v>6.5799999999999997E-2</v>
      </c>
      <c r="E32" s="450">
        <v>6.5799999999999997E-2</v>
      </c>
      <c r="F32" s="451">
        <v>6.5799999999999997E-2</v>
      </c>
      <c r="G32" s="437"/>
      <c r="H32" s="421"/>
      <c r="I32" s="442"/>
      <c r="J32" s="440"/>
      <c r="K32" s="429">
        <v>1500000</v>
      </c>
      <c r="L32" s="452">
        <f>'Brighten Product'!Q7</f>
        <v>6.4799999999999996E-2</v>
      </c>
      <c r="M32" s="453">
        <f>'Brighten Product'!S7</f>
        <v>6.6799999999999998E-2</v>
      </c>
      <c r="N32" s="440"/>
    </row>
    <row r="33" spans="1:15" s="427" customFormat="1" ht="16.149999999999999" customHeight="1">
      <c r="A33" s="442"/>
      <c r="B33" s="440"/>
      <c r="C33" s="454"/>
      <c r="D33" s="437"/>
      <c r="E33" s="437"/>
      <c r="F33" s="437"/>
      <c r="G33" s="437"/>
      <c r="H33" s="421"/>
      <c r="I33" s="442"/>
      <c r="J33" s="440"/>
      <c r="K33" s="455"/>
      <c r="L33" s="440"/>
      <c r="M33" s="440"/>
      <c r="N33" s="440"/>
    </row>
    <row r="34" spans="1:15" s="427" customFormat="1" ht="16.149999999999999" customHeight="1" thickBot="1">
      <c r="A34" s="442"/>
      <c r="B34" s="440"/>
      <c r="C34" s="456"/>
      <c r="D34" s="457" t="str">
        <f>IF($D$6&lt;=D30, "1", "0")</f>
        <v>1</v>
      </c>
      <c r="E34" s="457" t="str">
        <f>IF(AND(D30&lt;$D$6,$D$6&lt;=E30), "1", "0")</f>
        <v>0</v>
      </c>
      <c r="F34" s="457" t="str">
        <f>IF(AND(E30&lt;$D$6,$D$6&lt;=F30), "1", "0")</f>
        <v>0</v>
      </c>
      <c r="G34" s="439"/>
      <c r="H34" s="421"/>
      <c r="I34" s="442"/>
      <c r="J34" s="440"/>
      <c r="K34" s="458"/>
      <c r="L34" s="1021" t="str">
        <f>IF($D$6&lt;=L30, "1", "0")</f>
        <v>1</v>
      </c>
      <c r="M34" s="1021" t="str">
        <f>IF(AND(L30&lt;$D$6,$D$6&lt;=M30), "1", "0")</f>
        <v>0</v>
      </c>
      <c r="N34" s="441"/>
    </row>
    <row r="35" spans="1:15" s="427" customFormat="1" ht="17.25" customHeight="1">
      <c r="A35" s="442"/>
      <c r="B35" s="440"/>
      <c r="C35" s="437" t="str">
        <f>IF($D$4&lt;=C31,"1", "0")</f>
        <v>0</v>
      </c>
      <c r="D35" s="444">
        <f>D31</f>
        <v>6.3799999999999996E-2</v>
      </c>
      <c r="E35" s="445">
        <f>E31</f>
        <v>6.3799999999999996E-2</v>
      </c>
      <c r="F35" s="446">
        <f>F31</f>
        <v>6.4799999999999996E-2</v>
      </c>
      <c r="G35" s="439"/>
      <c r="H35" s="421"/>
      <c r="I35" s="442"/>
      <c r="J35" s="440"/>
      <c r="K35" s="440" t="str">
        <f>IF($D$4&lt;=K31,"1", "0")</f>
        <v>0</v>
      </c>
      <c r="L35" s="447">
        <f>L31</f>
        <v>6.2799999999999995E-2</v>
      </c>
      <c r="M35" s="448">
        <f>M31</f>
        <v>6.4799999999999996E-2</v>
      </c>
      <c r="N35" s="441"/>
    </row>
    <row r="36" spans="1:15" s="427" customFormat="1" ht="16.149999999999999" customHeight="1" thickBot="1">
      <c r="A36" s="442"/>
      <c r="B36" s="440"/>
      <c r="C36" s="437" t="str">
        <f>IF(AND($D$4&gt;C31, $D$4&lt;=C32),"1", "0")</f>
        <v>0</v>
      </c>
      <c r="D36" s="449">
        <f t="shared" ref="D36:F36" si="0">D32</f>
        <v>6.5799999999999997E-2</v>
      </c>
      <c r="E36" s="450">
        <f t="shared" si="0"/>
        <v>6.5799999999999997E-2</v>
      </c>
      <c r="F36" s="451">
        <f t="shared" si="0"/>
        <v>6.5799999999999997E-2</v>
      </c>
      <c r="G36" s="437"/>
      <c r="H36" s="421"/>
      <c r="I36" s="442"/>
      <c r="J36" s="440"/>
      <c r="K36" s="440" t="str">
        <f>IF(AND($D$4&gt;K31, $D$4&lt;=K32),"1", "0")</f>
        <v>0</v>
      </c>
      <c r="L36" s="452">
        <f>L32</f>
        <v>6.4799999999999996E-2</v>
      </c>
      <c r="M36" s="453">
        <f>M32</f>
        <v>6.6799999999999998E-2</v>
      </c>
      <c r="N36" s="440"/>
    </row>
    <row r="37" spans="1:15" s="427" customFormat="1" ht="16.149999999999999" customHeight="1">
      <c r="A37" s="442"/>
      <c r="B37" s="442"/>
      <c r="C37" s="437"/>
      <c r="D37" s="437"/>
      <c r="E37" s="437"/>
      <c r="F37" s="437"/>
      <c r="G37" s="437"/>
      <c r="H37" s="421"/>
      <c r="I37" s="442"/>
      <c r="J37" s="442"/>
      <c r="K37" s="440"/>
      <c r="L37" s="440"/>
      <c r="M37" s="440"/>
      <c r="N37" s="440"/>
      <c r="O37" s="272"/>
    </row>
    <row r="38" spans="1:15" s="427" customFormat="1" ht="16.149999999999999" customHeight="1">
      <c r="A38" s="442"/>
      <c r="B38" s="442"/>
      <c r="C38" s="437" t="s">
        <v>235</v>
      </c>
      <c r="D38" s="437" t="s">
        <v>270</v>
      </c>
      <c r="E38" s="437" t="s">
        <v>481</v>
      </c>
      <c r="F38" s="437" t="s">
        <v>482</v>
      </c>
      <c r="H38" s="421"/>
      <c r="I38" s="442"/>
      <c r="J38" s="442"/>
      <c r="K38" s="440" t="s">
        <v>235</v>
      </c>
      <c r="L38" s="440" t="s">
        <v>270</v>
      </c>
      <c r="M38" s="440" t="s">
        <v>481</v>
      </c>
      <c r="N38" s="440" t="s">
        <v>482</v>
      </c>
    </row>
    <row r="39" spans="1:15" s="427" customFormat="1" ht="16.149999999999999" customHeight="1">
      <c r="A39" s="442"/>
      <c r="B39" s="441"/>
      <c r="C39" s="439" t="e">
        <f>VLOOKUP("1",C35:F36,(MATCH("1",C34:F34,0)),FALSE)</f>
        <v>#N/A</v>
      </c>
      <c r="D39" s="439">
        <v>3.0000000000000001E-3</v>
      </c>
      <c r="E39" s="459">
        <v>4.0000000000000001E-3</v>
      </c>
      <c r="F39" s="459">
        <v>1E-3</v>
      </c>
      <c r="H39" s="421"/>
      <c r="I39" s="442"/>
      <c r="J39" s="441"/>
      <c r="K39" s="441" t="e">
        <f>VLOOKUP("1",K35:M36,(MATCH("1",K34:M34,0)),FALSE)</f>
        <v>#N/A</v>
      </c>
      <c r="L39" s="441">
        <f>'Brighten Product'!R10</f>
        <v>3.0000000000000001E-3</v>
      </c>
      <c r="M39" s="460">
        <f>'Brighten Product'!R11</f>
        <v>3.0000000000000001E-3</v>
      </c>
      <c r="N39" s="460">
        <f>'Brighten Product'!R12</f>
        <v>2E-3</v>
      </c>
    </row>
    <row r="40" spans="1:15" s="427" customFormat="1" ht="16.149999999999999" customHeight="1">
      <c r="A40" s="442"/>
      <c r="B40" s="441"/>
      <c r="C40" s="439"/>
      <c r="D40" s="437"/>
      <c r="E40" s="437"/>
      <c r="F40" s="437"/>
      <c r="G40" s="437"/>
      <c r="H40" s="421"/>
      <c r="I40" s="442"/>
      <c r="J40" s="441"/>
      <c r="K40" s="441"/>
      <c r="L40" s="440"/>
      <c r="M40" s="440"/>
      <c r="N40" s="440"/>
      <c r="O40" s="272"/>
    </row>
    <row r="41" spans="1:15" s="427" customFormat="1" ht="16.149999999999999" customHeight="1">
      <c r="A41" s="442" t="s">
        <v>422</v>
      </c>
      <c r="B41" s="441"/>
      <c r="C41" s="441" t="e">
        <f>C39</f>
        <v>#N/A</v>
      </c>
      <c r="D41" s="440"/>
      <c r="E41" s="440"/>
      <c r="F41" s="440"/>
      <c r="G41" s="440"/>
      <c r="H41" s="421"/>
      <c r="I41" s="442" t="s">
        <v>422</v>
      </c>
      <c r="J41" s="441"/>
      <c r="K41" s="441" t="e">
        <f>K39</f>
        <v>#N/A</v>
      </c>
      <c r="L41" s="440"/>
      <c r="M41" s="440"/>
      <c r="N41" s="440"/>
      <c r="O41" s="272"/>
    </row>
    <row r="42" spans="1:15" s="427" customFormat="1" ht="16.149999999999999" customHeight="1">
      <c r="A42" s="421"/>
      <c r="B42" s="421"/>
      <c r="C42" s="431"/>
      <c r="D42" s="272"/>
      <c r="E42" s="272"/>
      <c r="F42" s="272"/>
      <c r="G42" s="272"/>
      <c r="H42" s="421"/>
      <c r="I42" s="421"/>
      <c r="J42" s="421"/>
      <c r="K42" s="431"/>
      <c r="L42" s="272"/>
      <c r="M42" s="272"/>
      <c r="N42" s="272"/>
      <c r="O42" s="272"/>
    </row>
    <row r="43" spans="1:15" s="427" customFormat="1" ht="28.15" customHeight="1">
      <c r="A43" s="421" t="s">
        <v>473</v>
      </c>
      <c r="B43" s="435" t="e">
        <f>$C$41</f>
        <v>#N/A</v>
      </c>
      <c r="C43" s="435" t="e">
        <f>IF(AND($D$7="IO",$D$8&gt;0),B43+$D$39,B43)</f>
        <v>#N/A</v>
      </c>
      <c r="D43" s="435" t="e">
        <f>IF($D$2="YES", C43+$E$39,C43)</f>
        <v>#N/A</v>
      </c>
      <c r="E43" s="435" t="e">
        <f>IF($D$3="yes",D43+$F$39,D43)</f>
        <v>#N/A</v>
      </c>
      <c r="H43" s="421"/>
      <c r="I43" s="421" t="s">
        <v>473</v>
      </c>
      <c r="J43" s="435" t="e">
        <f>$K$41</f>
        <v>#N/A</v>
      </c>
      <c r="K43" s="435" t="e">
        <f>IF(AND($D$7="IO",$D$8&gt;0),J43+$L$39,J43)</f>
        <v>#N/A</v>
      </c>
      <c r="L43" s="435" t="e">
        <f>IF($D$2="YES", K43+$M$39,K43)</f>
        <v>#N/A</v>
      </c>
      <c r="M43" s="435" t="e">
        <f>IF($D$3="yes",L43+$N$39,L43)</f>
        <v>#N/A</v>
      </c>
    </row>
    <row r="44" spans="1:15" s="427" customFormat="1" ht="16.149999999999999" customHeight="1">
      <c r="A44" s="421" t="s">
        <v>474</v>
      </c>
      <c r="B44" s="435" t="e">
        <f>$C$41</f>
        <v>#N/A</v>
      </c>
      <c r="C44" s="435" t="e">
        <f>IF(AND($D$7="IO",$D$8&gt;1),B44+$D$39,B44)</f>
        <v>#N/A</v>
      </c>
      <c r="D44" s="435" t="e">
        <f>IF($D$2="YES", C44+$E$39,C44)</f>
        <v>#N/A</v>
      </c>
      <c r="E44" s="435" t="e">
        <f>IF($D$3="yes",D44+$F$39,D44)</f>
        <v>#N/A</v>
      </c>
      <c r="H44" s="421"/>
      <c r="I44" s="421" t="s">
        <v>474</v>
      </c>
      <c r="J44" s="435" t="e">
        <f t="shared" ref="J44:J47" si="1">$K$41</f>
        <v>#N/A</v>
      </c>
      <c r="K44" s="435" t="e">
        <f>IF(AND($D$7="IO",$D$8&gt;1),J44+$L$39,J44)</f>
        <v>#N/A</v>
      </c>
      <c r="L44" s="435" t="e">
        <f>IF($D$2="YES", K44+$M$39,K44)</f>
        <v>#N/A</v>
      </c>
      <c r="M44" s="435" t="e">
        <f t="shared" ref="M44:M47" si="2">IF($D$3="yes",L44+$N$39,L44)</f>
        <v>#N/A</v>
      </c>
    </row>
    <row r="45" spans="1:15" s="427" customFormat="1" ht="16.149999999999999" customHeight="1">
      <c r="A45" s="421" t="s">
        <v>475</v>
      </c>
      <c r="B45" s="435" t="e">
        <f>$C$41</f>
        <v>#N/A</v>
      </c>
      <c r="C45" s="435" t="e">
        <f>IF(AND($D$7="IO",$D$8&gt;2),B45+$D$39,B45)</f>
        <v>#N/A</v>
      </c>
      <c r="D45" s="435" t="e">
        <f>IF($D$2="YES", C45+$E$39,C45)</f>
        <v>#N/A</v>
      </c>
      <c r="E45" s="435" t="e">
        <f>IF($D$3="yes",D45+$F$39,D45)</f>
        <v>#N/A</v>
      </c>
      <c r="H45" s="421"/>
      <c r="I45" s="421" t="s">
        <v>475</v>
      </c>
      <c r="J45" s="435" t="e">
        <f t="shared" si="1"/>
        <v>#N/A</v>
      </c>
      <c r="K45" s="435" t="e">
        <f>IF(AND($D$7="IO",$D$8&gt;2),J45+$L$39,J45)</f>
        <v>#N/A</v>
      </c>
      <c r="L45" s="435" t="e">
        <f t="shared" ref="L45:L47" si="3">IF($D$2="YES", K45+$M$39,K45)</f>
        <v>#N/A</v>
      </c>
      <c r="M45" s="435" t="e">
        <f t="shared" si="2"/>
        <v>#N/A</v>
      </c>
    </row>
    <row r="46" spans="1:15" s="427" customFormat="1" ht="16.149999999999999" customHeight="1">
      <c r="A46" s="421" t="s">
        <v>476</v>
      </c>
      <c r="B46" s="435" t="e">
        <f>$C$41</f>
        <v>#N/A</v>
      </c>
      <c r="C46" s="435" t="e">
        <f>IF(AND($D$7="IO",$D$8&gt;3),B46+$D$39,B46)</f>
        <v>#N/A</v>
      </c>
      <c r="D46" s="435" t="e">
        <f>IF($D$2="YES", C46+$E$39,C46)</f>
        <v>#N/A</v>
      </c>
      <c r="E46" s="435" t="e">
        <f>IF($D$3="yes",D46+$F$39,D46)</f>
        <v>#N/A</v>
      </c>
      <c r="H46" s="272"/>
      <c r="I46" s="421" t="s">
        <v>476</v>
      </c>
      <c r="J46" s="435" t="e">
        <f t="shared" si="1"/>
        <v>#N/A</v>
      </c>
      <c r="K46" s="435" t="e">
        <f>IF(AND($D$7="IO",$D$8&gt;3),J46+$L$39,J46)</f>
        <v>#N/A</v>
      </c>
      <c r="L46" s="435" t="e">
        <f t="shared" si="3"/>
        <v>#N/A</v>
      </c>
      <c r="M46" s="435" t="e">
        <f t="shared" si="2"/>
        <v>#N/A</v>
      </c>
    </row>
    <row r="47" spans="1:15" s="427" customFormat="1" ht="16.149999999999999" customHeight="1">
      <c r="A47" s="421" t="s">
        <v>477</v>
      </c>
      <c r="B47" s="435" t="e">
        <f>$C$41</f>
        <v>#N/A</v>
      </c>
      <c r="C47" s="435" t="e">
        <f>IF(AND($D$7="IO",$D$8&gt;4),B47+$D$39,B47)</f>
        <v>#N/A</v>
      </c>
      <c r="D47" s="435" t="e">
        <f>IF($D$2="YES", C47+$E$39,C47)</f>
        <v>#N/A</v>
      </c>
      <c r="E47" s="435" t="e">
        <f>IF($D$3="yes",D47+$F$39,D47)</f>
        <v>#N/A</v>
      </c>
      <c r="I47" s="421" t="s">
        <v>477</v>
      </c>
      <c r="J47" s="435" t="e">
        <f t="shared" si="1"/>
        <v>#N/A</v>
      </c>
      <c r="K47" s="435" t="e">
        <f>IF(AND($D$7="IO",$D$8&gt;4),J47+$L$39,J47)</f>
        <v>#N/A</v>
      </c>
      <c r="L47" s="435" t="e">
        <f t="shared" si="3"/>
        <v>#N/A</v>
      </c>
      <c r="M47" s="435" t="e">
        <f t="shared" si="2"/>
        <v>#N/A</v>
      </c>
    </row>
    <row r="48" spans="1:15" s="427" customFormat="1" ht="16.149999999999999" customHeight="1"/>
    <row r="49" spans="1:14" s="427" customFormat="1" ht="16.149999999999999" customHeight="1"/>
    <row r="50" spans="1:14" s="427" customFormat="1" ht="16.149999999999999" customHeight="1"/>
    <row r="51" spans="1:14" s="427" customFormat="1" ht="54" customHeight="1" thickBot="1">
      <c r="A51" s="1314" t="s">
        <v>483</v>
      </c>
      <c r="B51" s="1314"/>
      <c r="C51" s="425"/>
      <c r="D51" s="426">
        <v>0.65</v>
      </c>
      <c r="E51" s="426">
        <v>0.7</v>
      </c>
      <c r="F51" s="426">
        <v>0.75</v>
      </c>
      <c r="G51" s="425"/>
      <c r="I51" s="1314" t="s">
        <v>484</v>
      </c>
      <c r="J51" s="1314"/>
      <c r="K51" s="461"/>
      <c r="L51" s="462">
        <v>0.7</v>
      </c>
      <c r="M51" s="462">
        <v>0.75</v>
      </c>
      <c r="N51" s="425"/>
    </row>
    <row r="52" spans="1:14" s="427" customFormat="1" ht="16.149999999999999" customHeight="1">
      <c r="A52" s="428"/>
      <c r="B52" s="425"/>
      <c r="C52" s="429">
        <v>600000</v>
      </c>
      <c r="D52" s="463">
        <v>5.3600000000000002E-2</v>
      </c>
      <c r="E52" s="464">
        <v>5.6800000000000003E-2</v>
      </c>
      <c r="F52" s="465">
        <v>6.4799999999999996E-2</v>
      </c>
      <c r="G52" s="425"/>
      <c r="I52" s="428"/>
      <c r="J52" s="425"/>
      <c r="K52" s="466">
        <v>1000000</v>
      </c>
      <c r="L52" s="294">
        <f>'Brighten Product'!K6</f>
        <v>5.3600000000000002E-2</v>
      </c>
      <c r="M52" s="296">
        <f>'Brighten Product'!M6</f>
        <v>5.96E-2</v>
      </c>
      <c r="N52" s="425"/>
    </row>
    <row r="53" spans="1:14" s="427" customFormat="1" ht="16.149999999999999" customHeight="1">
      <c r="A53" s="428"/>
      <c r="B53" s="425"/>
      <c r="C53" s="429">
        <v>1500000</v>
      </c>
      <c r="D53" s="467">
        <v>5.6800000000000003E-2</v>
      </c>
      <c r="E53" s="468">
        <v>5.6800000000000003E-2</v>
      </c>
      <c r="F53" s="469">
        <v>6.4799999999999996E-2</v>
      </c>
      <c r="G53" s="425"/>
      <c r="I53" s="428"/>
      <c r="J53" s="425"/>
      <c r="K53" s="443">
        <v>1500000</v>
      </c>
      <c r="L53" s="301">
        <f>'Brighten Product'!K7</f>
        <v>5.96E-2</v>
      </c>
      <c r="M53" s="303">
        <f>'Brighten Product'!M7</f>
        <v>5.96E-2</v>
      </c>
      <c r="N53" s="425"/>
    </row>
    <row r="54" spans="1:14" s="427" customFormat="1" ht="16.149999999999999" customHeight="1" thickBot="1">
      <c r="A54" s="428"/>
      <c r="B54" s="425"/>
      <c r="C54" s="429">
        <v>2000000</v>
      </c>
      <c r="D54" s="470">
        <v>6.9800000000000001E-2</v>
      </c>
      <c r="E54" s="471">
        <v>6.9800000000000001E-2</v>
      </c>
      <c r="F54" s="472">
        <v>6.9800000000000001E-2</v>
      </c>
      <c r="G54" s="425"/>
      <c r="I54" s="428"/>
      <c r="J54" s="425"/>
      <c r="K54" s="443">
        <v>2000000</v>
      </c>
      <c r="L54" s="304">
        <f>'Brighten Product'!K8</f>
        <v>6.9599999999999995E-2</v>
      </c>
      <c r="M54" s="306">
        <f>'Brighten Product'!M8</f>
        <v>6.9599999999999995E-2</v>
      </c>
      <c r="N54" s="425"/>
    </row>
    <row r="55" spans="1:14" s="427" customFormat="1" ht="16.149999999999999" customHeight="1">
      <c r="A55" s="428"/>
      <c r="B55" s="425"/>
      <c r="C55" s="473"/>
      <c r="D55" s="425"/>
      <c r="E55" s="425"/>
      <c r="F55" s="425"/>
      <c r="G55" s="425"/>
      <c r="I55" s="428"/>
      <c r="J55" s="425"/>
      <c r="K55" s="474"/>
      <c r="L55" s="461"/>
      <c r="M55" s="461"/>
      <c r="N55" s="425"/>
    </row>
    <row r="56" spans="1:14" s="427" customFormat="1" ht="16.149999999999999" customHeight="1" thickBot="1">
      <c r="A56" s="428"/>
      <c r="B56" s="425"/>
      <c r="C56" s="475"/>
      <c r="D56" s="476" t="str">
        <f>IF(D6&lt;=D51, "1", "0")</f>
        <v>1</v>
      </c>
      <c r="E56" s="476" t="str">
        <f>IF(AND(D51&lt;$D$6,$D$6&lt;=E51), "1", "0")</f>
        <v>0</v>
      </c>
      <c r="F56" s="476" t="str">
        <f>IF(AND(E51&lt;$D$6,$D$6&lt;=F51), "1", "0")</f>
        <v>0</v>
      </c>
      <c r="G56" s="425"/>
      <c r="I56" s="428"/>
      <c r="J56" s="425"/>
      <c r="K56" s="477"/>
      <c r="L56" s="478" t="str">
        <f>IF(D6&lt;=L51, "1", "0")</f>
        <v>1</v>
      </c>
      <c r="M56" s="478" t="str">
        <f>IF(AND(L51&lt;$D$6,$D$6&lt;=M51), "1", "0")</f>
        <v>0</v>
      </c>
      <c r="N56" s="425"/>
    </row>
    <row r="57" spans="1:14">
      <c r="A57" s="428"/>
      <c r="B57" s="425"/>
      <c r="C57" s="425" t="str">
        <f>IF($C$1&lt;=C52,"1", "0")</f>
        <v>1</v>
      </c>
      <c r="D57" s="463">
        <f>D52</f>
        <v>5.3600000000000002E-2</v>
      </c>
      <c r="E57" s="464">
        <f t="shared" ref="E57:F57" si="4">E52</f>
        <v>5.6800000000000003E-2</v>
      </c>
      <c r="F57" s="465">
        <f t="shared" si="4"/>
        <v>6.4799999999999996E-2</v>
      </c>
      <c r="G57" s="426"/>
      <c r="I57" s="428"/>
      <c r="J57" s="425"/>
      <c r="K57" s="461" t="str">
        <f>IF(D4&lt;=K52,"1", "0")</f>
        <v>0</v>
      </c>
      <c r="L57" s="479">
        <f>L52</f>
        <v>5.3600000000000002E-2</v>
      </c>
      <c r="M57" s="480">
        <f>M52</f>
        <v>5.96E-2</v>
      </c>
      <c r="N57" s="426"/>
    </row>
    <row r="58" spans="1:14">
      <c r="A58" s="428"/>
      <c r="B58" s="425"/>
      <c r="C58" s="425" t="str">
        <f>IF(AND($C$1&gt;C52, $C$1&lt;=C53),"1", "0")</f>
        <v>0</v>
      </c>
      <c r="D58" s="467">
        <f t="shared" ref="D58:F59" si="5">D53</f>
        <v>5.6800000000000003E-2</v>
      </c>
      <c r="E58" s="426">
        <f t="shared" si="5"/>
        <v>5.6800000000000003E-2</v>
      </c>
      <c r="F58" s="469">
        <f t="shared" si="5"/>
        <v>6.4799999999999996E-2</v>
      </c>
      <c r="G58" s="426"/>
      <c r="I58" s="428"/>
      <c r="J58" s="425"/>
      <c r="K58" s="425" t="str">
        <f>IF(AND($D$4&gt;K52, $D$4&lt;=K53),"1", "0")</f>
        <v>0</v>
      </c>
      <c r="L58" s="467">
        <f t="shared" ref="L58:M59" si="6">L53</f>
        <v>5.96E-2</v>
      </c>
      <c r="M58" s="469">
        <f t="shared" si="6"/>
        <v>5.96E-2</v>
      </c>
      <c r="N58" s="426"/>
    </row>
    <row r="59" spans="1:14" ht="16" thickBot="1">
      <c r="A59" s="428"/>
      <c r="B59" s="425"/>
      <c r="C59" s="425" t="str">
        <f>IF(AND($C$1&gt;C53, $C$1&lt;=C54),"1", "0")</f>
        <v>0</v>
      </c>
      <c r="D59" s="470">
        <f t="shared" si="5"/>
        <v>6.9800000000000001E-2</v>
      </c>
      <c r="E59" s="471">
        <f t="shared" si="5"/>
        <v>6.9800000000000001E-2</v>
      </c>
      <c r="F59" s="472">
        <f t="shared" si="5"/>
        <v>6.9800000000000001E-2</v>
      </c>
      <c r="G59" s="426"/>
      <c r="I59" s="428"/>
      <c r="J59" s="425"/>
      <c r="K59" s="425" t="str">
        <f>IF(AND($D$4&gt;K53, $D$4&lt;=K54),"1", "0")</f>
        <v>1</v>
      </c>
      <c r="L59" s="470">
        <f t="shared" si="6"/>
        <v>6.9599999999999995E-2</v>
      </c>
      <c r="M59" s="472">
        <f t="shared" si="6"/>
        <v>6.9599999999999995E-2</v>
      </c>
      <c r="N59" s="426"/>
    </row>
    <row r="60" spans="1:14">
      <c r="A60" s="428"/>
      <c r="B60" s="425"/>
      <c r="C60" s="425"/>
      <c r="D60" s="425"/>
      <c r="E60" s="425"/>
      <c r="F60" s="425"/>
      <c r="G60" s="425"/>
      <c r="I60" s="428"/>
      <c r="J60" s="425"/>
      <c r="K60" s="425"/>
      <c r="L60" s="425"/>
      <c r="M60" s="425"/>
      <c r="N60" s="425"/>
    </row>
    <row r="61" spans="1:14">
      <c r="A61" s="428"/>
      <c r="B61" s="425"/>
      <c r="C61" s="425"/>
      <c r="D61" s="425" t="s">
        <v>270</v>
      </c>
      <c r="E61" s="425"/>
      <c r="F61" s="425"/>
      <c r="G61" s="425"/>
      <c r="I61" s="428"/>
      <c r="J61" s="425"/>
      <c r="K61" s="425"/>
      <c r="L61" s="425" t="s">
        <v>375</v>
      </c>
      <c r="M61" s="425" t="s">
        <v>378</v>
      </c>
      <c r="N61" s="425"/>
    </row>
    <row r="62" spans="1:14">
      <c r="A62" s="428"/>
      <c r="B62" s="425"/>
      <c r="C62" s="426"/>
      <c r="D62" s="426">
        <v>3.0000000000000001E-3</v>
      </c>
      <c r="E62" s="425"/>
      <c r="F62" s="425"/>
      <c r="G62" s="425"/>
      <c r="I62" s="428"/>
      <c r="J62" s="425"/>
      <c r="K62" s="426"/>
      <c r="L62" s="481">
        <f>'Brighten Product'!K11</f>
        <v>3.0000000000000001E-3</v>
      </c>
      <c r="M62" s="481">
        <f>'Brighten Product'!K12</f>
        <v>3.0000000000000001E-3</v>
      </c>
      <c r="N62" s="425"/>
    </row>
    <row r="63" spans="1:14">
      <c r="A63" s="428"/>
      <c r="B63" s="425"/>
      <c r="C63" s="482">
        <f>VLOOKUP("1",C57:F59,(MATCH("1",C56:F56,0)),FALSE)</f>
        <v>5.3600000000000002E-2</v>
      </c>
      <c r="D63" s="425"/>
      <c r="E63" s="425"/>
      <c r="F63" s="425"/>
      <c r="G63" s="425"/>
      <c r="I63" s="428"/>
      <c r="J63" s="425"/>
      <c r="K63" s="482">
        <f>VLOOKUP("1",K57:M59,(MATCH("1",K56:M56,0)),FALSE)</f>
        <v>6.9599999999999995E-2</v>
      </c>
      <c r="L63" s="425"/>
      <c r="M63" s="425"/>
      <c r="N63" s="425"/>
    </row>
    <row r="65" spans="1:12">
      <c r="A65" s="421" t="s">
        <v>473</v>
      </c>
      <c r="B65" s="435">
        <f>IF($D$7="IO", 5.68%, $C$63)</f>
        <v>5.3600000000000002E-2</v>
      </c>
      <c r="C65" s="435">
        <f>IF(AND($D$7="IO",$D$8&gt;0),B65+$D$62,B65)</f>
        <v>5.3600000000000002E-2</v>
      </c>
      <c r="I65" s="421" t="s">
        <v>473</v>
      </c>
      <c r="J65" s="435">
        <f>IF(AND($D$2="No",$D$7="P&amp;I", $D$6&lt;=65%,$D$4&lt;=600000), 4.98%, $K$63)</f>
        <v>6.9599999999999995E-2</v>
      </c>
      <c r="K65" s="435">
        <f>IF(AND($D$7="IO",$D$8&gt;0),J65+$L$62,J65)</f>
        <v>6.9599999999999995E-2</v>
      </c>
      <c r="L65" s="435">
        <f>IF($D$2="yes",K65+$M$62,K65)</f>
        <v>6.9599999999999995E-2</v>
      </c>
    </row>
    <row r="66" spans="1:12">
      <c r="A66" s="421" t="s">
        <v>474</v>
      </c>
      <c r="B66" s="435">
        <f t="shared" ref="B66:B69" si="7">IF($D$7="IO", 5.68%, $C$63)</f>
        <v>5.3600000000000002E-2</v>
      </c>
      <c r="C66" s="435">
        <f>IF(AND($D$7="IO",$D$8&gt;1),B66+$D$62,B66)</f>
        <v>5.3600000000000002E-2</v>
      </c>
      <c r="I66" s="421" t="s">
        <v>474</v>
      </c>
      <c r="J66" s="435">
        <f>IF(AND($D$2="No",$D$7="P&amp;I", $D$6&lt;=65%,$D$4&lt;=600000), 4.98%, $K$63)</f>
        <v>6.9599999999999995E-2</v>
      </c>
      <c r="K66" s="435">
        <f>IF(AND($D$7="IO",$D$8&gt;1),J66+$L$62,J66)</f>
        <v>6.9599999999999995E-2</v>
      </c>
      <c r="L66" s="435">
        <f t="shared" ref="L66:L69" si="8">IF($D$2="yes",K66+$M$62,K66)</f>
        <v>6.9599999999999995E-2</v>
      </c>
    </row>
    <row r="67" spans="1:12">
      <c r="A67" s="421" t="s">
        <v>475</v>
      </c>
      <c r="B67" s="435">
        <f t="shared" si="7"/>
        <v>5.3600000000000002E-2</v>
      </c>
      <c r="C67" s="435">
        <f>IF(AND($D$7="IO",$D$8&gt;2),B67+$D$62,B67)</f>
        <v>5.3600000000000002E-2</v>
      </c>
      <c r="I67" s="421" t="s">
        <v>475</v>
      </c>
      <c r="J67" s="435">
        <f>IF(AND($D$2="No",$D$7="P&amp;I", $D$6&lt;=65%,$D$4&lt;=600000), 4.98%, $K$63)</f>
        <v>6.9599999999999995E-2</v>
      </c>
      <c r="K67" s="435">
        <f>IF(AND($D$7="IO",$D$8&gt;2),J67+$L$62,J67)</f>
        <v>6.9599999999999995E-2</v>
      </c>
      <c r="L67" s="435">
        <f t="shared" si="8"/>
        <v>6.9599999999999995E-2</v>
      </c>
    </row>
    <row r="68" spans="1:12">
      <c r="A68" s="421" t="s">
        <v>476</v>
      </c>
      <c r="B68" s="435">
        <f t="shared" si="7"/>
        <v>5.3600000000000002E-2</v>
      </c>
      <c r="C68" s="435">
        <f>IF(AND($D$7="IO",$D$8&gt;3),B68+$D$62,B68)</f>
        <v>5.3600000000000002E-2</v>
      </c>
      <c r="I68" s="421" t="s">
        <v>476</v>
      </c>
      <c r="J68" s="435">
        <f>IF(AND($D$2="No",$D$7="P&amp;I", $D$6&lt;=65%,$D$4&lt;=600000), 4.98%, $K$63)</f>
        <v>6.9599999999999995E-2</v>
      </c>
      <c r="K68" s="435">
        <f>IF(AND($D$7="IO",$D$8&gt;3),J68+$L$62,J68)</f>
        <v>6.9599999999999995E-2</v>
      </c>
      <c r="L68" s="435">
        <f t="shared" si="8"/>
        <v>6.9599999999999995E-2</v>
      </c>
    </row>
    <row r="69" spans="1:12">
      <c r="A69" s="421" t="s">
        <v>477</v>
      </c>
      <c r="B69" s="435">
        <f t="shared" si="7"/>
        <v>5.3600000000000002E-2</v>
      </c>
      <c r="C69" s="435">
        <f>IF(AND($D$7="IO",$D$8&gt;4),B69+$D$62,B69)</f>
        <v>5.3600000000000002E-2</v>
      </c>
      <c r="I69" s="421" t="s">
        <v>477</v>
      </c>
      <c r="J69" s="435">
        <f>IF(AND($D$2="No",$D$7="P&amp;I", $D$6&lt;=65%,$D$4&lt;=600000), 4.98%, $K$63)</f>
        <v>6.9599999999999995E-2</v>
      </c>
      <c r="K69" s="435">
        <f>IF(AND($D$7="IO",$D$8&gt;4),J69+$L$62,J69)</f>
        <v>6.9599999999999995E-2</v>
      </c>
      <c r="L69" s="435">
        <f t="shared" si="8"/>
        <v>6.9599999999999995E-2</v>
      </c>
    </row>
    <row r="74" spans="1:12" ht="28.15" customHeight="1">
      <c r="A74" s="1314" t="s">
        <v>485</v>
      </c>
      <c r="B74" s="1314"/>
      <c r="C74" s="425"/>
      <c r="D74" s="426">
        <v>0.65</v>
      </c>
      <c r="E74" s="426">
        <v>0.7</v>
      </c>
      <c r="F74" s="425"/>
      <c r="H74" s="1314" t="s">
        <v>486</v>
      </c>
      <c r="I74" s="1314"/>
      <c r="J74" s="425"/>
      <c r="K74" s="426">
        <v>0.65</v>
      </c>
      <c r="L74" s="426">
        <v>0.7</v>
      </c>
    </row>
    <row r="75" spans="1:12">
      <c r="A75" s="428"/>
      <c r="B75" s="425"/>
      <c r="C75" s="429">
        <v>600000</v>
      </c>
      <c r="D75" s="426">
        <f>'Brighten Product'!$X$6</f>
        <v>4.48E-2</v>
      </c>
      <c r="E75" s="426">
        <f>'Brighten Product'!$Z$6</f>
        <v>6.4799999999999996E-2</v>
      </c>
      <c r="F75" s="425"/>
      <c r="H75" s="428"/>
      <c r="I75" s="425"/>
      <c r="J75" s="429">
        <v>600000</v>
      </c>
      <c r="K75" s="426">
        <f>'Brighten Product'!AD6</f>
        <v>4.48E-2</v>
      </c>
      <c r="L75" s="426">
        <f>'Brighten Product'!AE6</f>
        <v>6.4799999999999996E-2</v>
      </c>
    </row>
    <row r="76" spans="1:12">
      <c r="B76" s="272"/>
      <c r="C76" s="483">
        <v>2000000</v>
      </c>
      <c r="D76" s="431">
        <f>'Brighten Product'!$X$7</f>
        <v>6.4799999999999996E-2</v>
      </c>
      <c r="E76" s="431">
        <f>'Brighten Product'!$Z$7</f>
        <v>6.4799999999999996E-2</v>
      </c>
      <c r="F76" s="272"/>
      <c r="I76" s="272"/>
      <c r="J76" s="483">
        <v>2000000</v>
      </c>
      <c r="K76" s="431">
        <f>'Brighten Product'!AD7</f>
        <v>6.4799999999999996E-2</v>
      </c>
      <c r="L76" s="431">
        <f>'Brighten Product'!AE7</f>
        <v>6.4799999999999996E-2</v>
      </c>
    </row>
    <row r="77" spans="1:12">
      <c r="B77" s="272"/>
      <c r="C77" s="432"/>
      <c r="D77" s="272"/>
      <c r="E77" s="272"/>
      <c r="F77" s="272"/>
      <c r="I77" s="272"/>
      <c r="J77" s="432"/>
      <c r="K77" s="272"/>
      <c r="L77" s="272"/>
    </row>
    <row r="78" spans="1:12">
      <c r="B78" s="272"/>
      <c r="C78" s="433"/>
      <c r="D78" s="434" t="str">
        <f>IF($D$6&lt;=D74, "1", "0")</f>
        <v>1</v>
      </c>
      <c r="E78" s="434" t="str">
        <f>IF(AND(D74&lt;$D$6,$D$6&lt;=E74), "1", "0")</f>
        <v>0</v>
      </c>
      <c r="F78" s="272"/>
      <c r="I78" s="272"/>
      <c r="J78" s="433"/>
      <c r="K78" s="434" t="str">
        <f>IF($D$6&lt;=K74, "1", "0")</f>
        <v>1</v>
      </c>
      <c r="L78" s="434" t="str">
        <f>IF(AND(K74&lt;$D$6,$D$6&lt;=L74), "1", "0")</f>
        <v>0</v>
      </c>
    </row>
    <row r="79" spans="1:12">
      <c r="B79" s="272"/>
      <c r="C79" s="272" t="str">
        <f>IF($D$4&lt;=C75,"1", "0")</f>
        <v>0</v>
      </c>
      <c r="D79" s="431">
        <f>$D$12</f>
        <v>4.48E-2</v>
      </c>
      <c r="E79" s="431">
        <f>$E$12</f>
        <v>6.4799999999999996E-2</v>
      </c>
      <c r="F79" s="272"/>
      <c r="I79" s="272"/>
      <c r="J79" s="272" t="str">
        <f>IF($D$4&lt;=J75,"1", "0")</f>
        <v>0</v>
      </c>
      <c r="K79" s="431">
        <f>$D$12</f>
        <v>4.48E-2</v>
      </c>
      <c r="L79" s="431">
        <f>$E$12</f>
        <v>6.4799999999999996E-2</v>
      </c>
    </row>
    <row r="80" spans="1:12">
      <c r="B80" s="272"/>
      <c r="C80" s="272" t="str">
        <f>IF(AND($D$4&gt;C75, $D$4&lt;=C76),"1", "0")</f>
        <v>1</v>
      </c>
      <c r="D80" s="431">
        <f>$D$13</f>
        <v>6.4799999999999996E-2</v>
      </c>
      <c r="E80" s="431">
        <f>$E$13</f>
        <v>6.4799999999999996E-2</v>
      </c>
      <c r="F80" s="431"/>
      <c r="I80" s="272"/>
      <c r="J80" s="272" t="str">
        <f>IF(AND($D$4&gt;J75, $D$4&lt;=J76),"1", "0")</f>
        <v>1</v>
      </c>
      <c r="K80" s="431">
        <f>$D$13</f>
        <v>6.4799999999999996E-2</v>
      </c>
      <c r="L80" s="431">
        <f>$E$13</f>
        <v>6.4799999999999996E-2</v>
      </c>
    </row>
    <row r="81" spans="1:12">
      <c r="B81" s="272"/>
      <c r="C81" s="272"/>
      <c r="D81" s="272"/>
      <c r="E81" s="272"/>
      <c r="F81" s="431"/>
      <c r="I81" s="272"/>
      <c r="J81" s="272"/>
      <c r="K81" s="272"/>
      <c r="L81" s="272"/>
    </row>
    <row r="82" spans="1:12">
      <c r="A82" s="421" t="s">
        <v>372</v>
      </c>
      <c r="B82" s="272" t="s">
        <v>375</v>
      </c>
      <c r="C82" s="272"/>
      <c r="D82" s="272"/>
      <c r="E82" s="272"/>
      <c r="F82" s="431"/>
      <c r="H82" s="421" t="s">
        <v>372</v>
      </c>
      <c r="I82" s="272" t="s">
        <v>375</v>
      </c>
      <c r="J82" s="272"/>
      <c r="K82" s="272" t="s">
        <v>378</v>
      </c>
      <c r="L82" s="272"/>
    </row>
    <row r="83" spans="1:12">
      <c r="B83" s="275">
        <v>3.0000000000000001E-3</v>
      </c>
      <c r="C83" s="431"/>
      <c r="D83" s="431"/>
      <c r="E83" s="272"/>
      <c r="F83" s="272"/>
      <c r="I83" s="275">
        <v>3.0000000000000001E-3</v>
      </c>
      <c r="J83" s="431"/>
      <c r="K83" s="431">
        <v>3.0000000000000001E-3</v>
      </c>
      <c r="L83" s="272"/>
    </row>
    <row r="84" spans="1:12" ht="16" thickBot="1">
      <c r="B84" s="272"/>
      <c r="C84" s="431"/>
      <c r="D84" s="272"/>
      <c r="E84" s="272"/>
      <c r="F84" s="272"/>
      <c r="I84" s="272"/>
      <c r="J84" s="431"/>
      <c r="K84" s="272"/>
      <c r="L84" s="272"/>
    </row>
    <row r="85" spans="1:12" ht="29" thickBot="1">
      <c r="A85" s="421" t="s">
        <v>473</v>
      </c>
      <c r="B85" s="484">
        <f>VLOOKUP("1",C79:E80,(MATCH("1",C78:E78,0)),FALSE)</f>
        <v>6.4799999999999996E-2</v>
      </c>
      <c r="C85" s="435">
        <f>IF(AND($D$7="IO",$D$8&gt;0),B85+$B$83,B85)</f>
        <v>6.4799999999999996E-2</v>
      </c>
      <c r="D85" s="435"/>
      <c r="E85" s="427"/>
      <c r="F85" s="427"/>
      <c r="H85" s="421" t="s">
        <v>473</v>
      </c>
      <c r="I85" s="484">
        <f>VLOOKUP("1",J79:L80,(MATCH("1",J78:L78,0)),FALSE)</f>
        <v>6.4799999999999996E-2</v>
      </c>
      <c r="J85" s="435">
        <f>IF(AND($D$7="IO",$D$8&gt;0),I85+$I$83,I85)</f>
        <v>6.4799999999999996E-2</v>
      </c>
      <c r="K85" s="435">
        <f>IF($D$2="YES", J85+$K$83, J85)</f>
        <v>6.4799999999999996E-2</v>
      </c>
      <c r="L85" s="427"/>
    </row>
    <row r="86" spans="1:12" ht="28.5">
      <c r="A86" s="421" t="s">
        <v>474</v>
      </c>
      <c r="B86" s="435">
        <v>6.4799999999999996E-2</v>
      </c>
      <c r="C86" s="435">
        <f>IF(AND($D$7="IO",$D$8&gt;1),B86+$B$83,B86)</f>
        <v>6.4799999999999996E-2</v>
      </c>
      <c r="D86" s="435"/>
      <c r="E86" s="427"/>
      <c r="F86" s="427"/>
      <c r="H86" s="421" t="s">
        <v>474</v>
      </c>
      <c r="I86" s="435">
        <v>6.4799999999999996E-2</v>
      </c>
      <c r="J86" s="435">
        <f>IF(AND($D$7="IO",$D$8&gt;1),I86+$I$83,I86)</f>
        <v>6.4799999999999996E-2</v>
      </c>
      <c r="K86" s="435">
        <f t="shared" ref="K86:K89" si="9">IF($D$2="YES", J86+$K$83, J86)</f>
        <v>6.4799999999999996E-2</v>
      </c>
      <c r="L86" s="427"/>
    </row>
    <row r="87" spans="1:12" ht="28.5">
      <c r="A87" s="421" t="s">
        <v>475</v>
      </c>
      <c r="B87" s="435">
        <v>6.4799999999999996E-2</v>
      </c>
      <c r="C87" s="435">
        <f>IF(AND($D$7="IO",$D$8&gt;2),B87+$B$83,B87)</f>
        <v>6.4799999999999996E-2</v>
      </c>
      <c r="D87" s="435"/>
      <c r="E87" s="427"/>
      <c r="F87" s="427"/>
      <c r="H87" s="421" t="s">
        <v>475</v>
      </c>
      <c r="I87" s="435">
        <v>6.4799999999999996E-2</v>
      </c>
      <c r="J87" s="435">
        <f>IF(AND($D$7="IO",$D$8&gt;2),I87+$I$83,I87)</f>
        <v>6.4799999999999996E-2</v>
      </c>
      <c r="K87" s="435">
        <f t="shared" si="9"/>
        <v>6.4799999999999996E-2</v>
      </c>
      <c r="L87" s="427"/>
    </row>
    <row r="88" spans="1:12">
      <c r="A88" s="421" t="s">
        <v>476</v>
      </c>
      <c r="B88" s="435">
        <v>6.4799999999999996E-2</v>
      </c>
      <c r="C88" s="435">
        <f>IF(AND($D$7="IO",$D$8&gt;3),B88+$B$83,B88)</f>
        <v>6.4799999999999996E-2</v>
      </c>
      <c r="D88" s="435"/>
      <c r="E88" s="436"/>
      <c r="F88" s="436"/>
      <c r="H88" s="421" t="s">
        <v>476</v>
      </c>
      <c r="I88" s="435">
        <v>6.4799999999999996E-2</v>
      </c>
      <c r="J88" s="435">
        <f>IF(AND($D$7="IO",$D$8&gt;3),I88+$I$83,I88)</f>
        <v>6.4799999999999996E-2</v>
      </c>
      <c r="K88" s="435">
        <f t="shared" si="9"/>
        <v>6.4799999999999996E-2</v>
      </c>
      <c r="L88" s="436"/>
    </row>
    <row r="89" spans="1:12" ht="28.5">
      <c r="A89" s="421" t="s">
        <v>477</v>
      </c>
      <c r="B89" s="435">
        <v>6.4799999999999996E-2</v>
      </c>
      <c r="C89" s="435">
        <f>IF(AND($D$7="IO",$D$8&gt;4),B89+$B$83,B89)</f>
        <v>6.4799999999999996E-2</v>
      </c>
      <c r="D89" s="435"/>
      <c r="E89" s="427"/>
      <c r="F89" s="427"/>
      <c r="H89" s="421" t="s">
        <v>477</v>
      </c>
      <c r="I89" s="435">
        <v>6.4799999999999996E-2</v>
      </c>
      <c r="J89" s="435">
        <f>IF(AND($D$7="IO",$D$8&gt;4),I89+$I$83,I89)</f>
        <v>6.4799999999999996E-2</v>
      </c>
      <c r="K89" s="435">
        <f t="shared" si="9"/>
        <v>6.4799999999999996E-2</v>
      </c>
      <c r="L89" s="427"/>
    </row>
    <row r="90" spans="1:12">
      <c r="J90" s="485"/>
    </row>
    <row r="93" spans="1:12" ht="28.5">
      <c r="A93" s="1314" t="s">
        <v>338</v>
      </c>
      <c r="B93" s="1314"/>
      <c r="C93" s="425"/>
      <c r="D93" s="426">
        <v>0.65</v>
      </c>
      <c r="E93" s="426">
        <v>0.75</v>
      </c>
      <c r="F93" s="425"/>
    </row>
    <row r="94" spans="1:12">
      <c r="A94" s="428"/>
      <c r="B94" s="425"/>
      <c r="C94" s="429">
        <v>600000</v>
      </c>
      <c r="D94" s="426">
        <f>'Brighten Product'!$X$6</f>
        <v>4.48E-2</v>
      </c>
      <c r="E94" s="426">
        <v>6.3799999999999996E-2</v>
      </c>
      <c r="F94" s="425"/>
    </row>
    <row r="95" spans="1:12">
      <c r="B95" s="272"/>
      <c r="C95" s="430">
        <v>1500000</v>
      </c>
      <c r="D95" s="431">
        <v>6.3799999999999996E-2</v>
      </c>
      <c r="E95" s="431">
        <v>6.3799999999999996E-2</v>
      </c>
      <c r="F95" s="272"/>
    </row>
    <row r="96" spans="1:12">
      <c r="B96" s="272"/>
      <c r="C96" s="432"/>
      <c r="D96" s="272"/>
      <c r="E96" s="272"/>
      <c r="F96" s="272"/>
    </row>
    <row r="97" spans="1:6">
      <c r="B97" s="272"/>
      <c r="C97" s="433"/>
      <c r="D97" s="434" t="str">
        <f>IF($D$6&lt;=D93, "1", "0")</f>
        <v>1</v>
      </c>
      <c r="E97" s="434" t="str">
        <f>IF(AND(D93&lt;$D$6,$D$6&lt;=E93), "1", "0")</f>
        <v>0</v>
      </c>
      <c r="F97" s="272"/>
    </row>
    <row r="98" spans="1:6">
      <c r="B98" s="272"/>
      <c r="C98" s="272" t="str">
        <f>IF($D$4&lt;=C94,"1", "0")</f>
        <v>0</v>
      </c>
      <c r="D98" s="431">
        <f>D94</f>
        <v>4.48E-2</v>
      </c>
      <c r="E98" s="431">
        <f>E94</f>
        <v>6.3799999999999996E-2</v>
      </c>
      <c r="F98" s="272"/>
    </row>
    <row r="99" spans="1:6">
      <c r="B99" s="272"/>
      <c r="C99" s="272" t="str">
        <f>IF(AND($D$4&gt;C94, $D$4&lt;=C95),"1", "0")</f>
        <v>0</v>
      </c>
      <c r="D99" s="431">
        <f>D95</f>
        <v>6.3799999999999996E-2</v>
      </c>
      <c r="E99" s="431">
        <f>E95</f>
        <v>6.3799999999999996E-2</v>
      </c>
      <c r="F99" s="431"/>
    </row>
    <row r="100" spans="1:6">
      <c r="B100" s="272"/>
      <c r="C100" s="272"/>
      <c r="D100" s="272"/>
      <c r="E100" s="272"/>
      <c r="F100" s="431"/>
    </row>
    <row r="101" spans="1:6">
      <c r="A101" s="421" t="s">
        <v>372</v>
      </c>
      <c r="B101" s="272" t="s">
        <v>375</v>
      </c>
      <c r="C101" s="272" t="s">
        <v>378</v>
      </c>
      <c r="D101" s="272"/>
      <c r="E101" s="272"/>
      <c r="F101" s="431"/>
    </row>
    <row r="102" spans="1:6">
      <c r="B102" s="275">
        <v>3.0000000000000001E-3</v>
      </c>
      <c r="C102" s="431">
        <v>0</v>
      </c>
      <c r="D102" s="431"/>
      <c r="E102" s="272"/>
      <c r="F102" s="272"/>
    </row>
    <row r="103" spans="1:6">
      <c r="B103" s="272"/>
      <c r="C103" s="431"/>
      <c r="D103" s="272"/>
      <c r="E103" s="272"/>
      <c r="F103" s="272"/>
    </row>
    <row r="104" spans="1:6" ht="28.5">
      <c r="A104" s="421" t="s">
        <v>473</v>
      </c>
      <c r="B104" s="435" t="e">
        <f>VLOOKUP("1",C98:E99,(MATCH("1",C97:E97,0)),FALSE)</f>
        <v>#N/A</v>
      </c>
      <c r="C104" s="435" t="e">
        <f>IF(AND($D$7="IO",$D$8&gt;0),B104+$B$102,B104)</f>
        <v>#N/A</v>
      </c>
      <c r="D104" s="435"/>
      <c r="E104" s="427"/>
      <c r="F104" s="427"/>
    </row>
    <row r="105" spans="1:6" ht="28.5">
      <c r="A105" s="421" t="s">
        <v>474</v>
      </c>
      <c r="B105" s="435">
        <v>6.3799999999999996E-2</v>
      </c>
      <c r="C105" s="435">
        <f>IF(AND($D$7="IO",$D$8&gt;1),B105+$B$102,B105)</f>
        <v>6.3799999999999996E-2</v>
      </c>
      <c r="D105" s="435"/>
      <c r="E105" s="427"/>
      <c r="F105" s="427"/>
    </row>
    <row r="106" spans="1:6" ht="28.5">
      <c r="A106" s="421" t="s">
        <v>475</v>
      </c>
      <c r="B106" s="435">
        <v>6.3799999999999996E-2</v>
      </c>
      <c r="C106" s="435">
        <f>IF(AND($D$7="IO",$D$8&gt;2),B106+$B$102,B106)</f>
        <v>6.3799999999999996E-2</v>
      </c>
      <c r="D106" s="435"/>
      <c r="E106" s="427"/>
      <c r="F106" s="427"/>
    </row>
    <row r="107" spans="1:6">
      <c r="A107" s="421" t="s">
        <v>476</v>
      </c>
      <c r="B107" s="435">
        <v>6.3799999999999996E-2</v>
      </c>
      <c r="C107" s="435">
        <f>IF(AND($D$7="IO",$D$8&gt;3),B107+$B$102,B107)</f>
        <v>6.3799999999999996E-2</v>
      </c>
      <c r="D107" s="435"/>
      <c r="E107" s="436"/>
      <c r="F107" s="436"/>
    </row>
    <row r="108" spans="1:6" ht="28.5">
      <c r="A108" s="421" t="s">
        <v>477</v>
      </c>
      <c r="B108" s="435">
        <v>6.3799999999999996E-2</v>
      </c>
      <c r="C108" s="435">
        <f>IF(AND($D$7="IO",$D$8&gt;4),B108+$B$102,B108)</f>
        <v>6.3799999999999996E-2</v>
      </c>
      <c r="D108" s="435"/>
      <c r="E108" s="427"/>
      <c r="F108" s="427"/>
    </row>
    <row r="112" spans="1:6" ht="16" thickBot="1">
      <c r="A112" s="1315" t="s">
        <v>339</v>
      </c>
      <c r="B112" s="1315"/>
      <c r="C112" s="440"/>
      <c r="D112" s="486">
        <v>0.65</v>
      </c>
      <c r="E112" s="441">
        <v>0.75</v>
      </c>
      <c r="F112" s="440"/>
    </row>
    <row r="113" spans="1:6">
      <c r="A113" s="442"/>
      <c r="B113" s="440"/>
      <c r="C113" s="429">
        <v>600000</v>
      </c>
      <c r="D113" s="447">
        <v>6.3799999999999996E-2</v>
      </c>
      <c r="E113" s="448">
        <v>6.5799999999999997E-2</v>
      </c>
      <c r="F113" s="440"/>
    </row>
    <row r="114" spans="1:6" ht="16" thickBot="1">
      <c r="A114" s="442"/>
      <c r="B114" s="440"/>
      <c r="C114" s="429">
        <v>1500000</v>
      </c>
      <c r="D114" s="452">
        <v>6.5799999999999997E-2</v>
      </c>
      <c r="E114" s="453">
        <v>6.7799999999999999E-2</v>
      </c>
      <c r="F114" s="440"/>
    </row>
    <row r="115" spans="1:6">
      <c r="A115" s="442"/>
      <c r="B115" s="440"/>
      <c r="C115" s="455"/>
      <c r="D115" s="440"/>
      <c r="E115" s="440"/>
      <c r="F115" s="440"/>
    </row>
    <row r="116" spans="1:6" ht="16" thickBot="1">
      <c r="A116" s="442"/>
      <c r="B116" s="440"/>
      <c r="C116" s="458"/>
      <c r="D116" s="1021" t="str">
        <f>IF($D$6&lt;=D112, "1", "0")</f>
        <v>1</v>
      </c>
      <c r="E116" s="1021" t="str">
        <f>IF(AND(D112&lt;$D$6,$D$6&lt;=E112), "1", "0")</f>
        <v>0</v>
      </c>
      <c r="F116" s="441"/>
    </row>
    <row r="117" spans="1:6">
      <c r="A117" s="442"/>
      <c r="B117" s="440"/>
      <c r="C117" s="440" t="str">
        <f>IF($D$4&lt;=C113,"1", "0")</f>
        <v>0</v>
      </c>
      <c r="D117" s="447">
        <f>D113</f>
        <v>6.3799999999999996E-2</v>
      </c>
      <c r="E117" s="448">
        <f>E113</f>
        <v>6.5799999999999997E-2</v>
      </c>
      <c r="F117" s="441"/>
    </row>
    <row r="118" spans="1:6" ht="16" thickBot="1">
      <c r="A118" s="442"/>
      <c r="B118" s="440"/>
      <c r="C118" s="440" t="str">
        <f>IF(AND($D$4&gt;C113, $D$4&lt;=C114),"1", "0")</f>
        <v>0</v>
      </c>
      <c r="D118" s="452">
        <f>D114</f>
        <v>6.5799999999999997E-2</v>
      </c>
      <c r="E118" s="453">
        <f>E114</f>
        <v>6.7799999999999999E-2</v>
      </c>
      <c r="F118" s="440"/>
    </row>
    <row r="119" spans="1:6">
      <c r="A119" s="442"/>
      <c r="B119" s="442"/>
      <c r="C119" s="440"/>
      <c r="D119" s="440"/>
      <c r="E119" s="440"/>
      <c r="F119" s="440"/>
    </row>
    <row r="120" spans="1:6">
      <c r="A120" s="442"/>
      <c r="B120" s="442"/>
      <c r="C120" s="440" t="s">
        <v>235</v>
      </c>
      <c r="D120" s="440" t="s">
        <v>270</v>
      </c>
      <c r="E120" s="440" t="s">
        <v>481</v>
      </c>
      <c r="F120" s="440" t="s">
        <v>482</v>
      </c>
    </row>
    <row r="121" spans="1:6">
      <c r="A121" s="442"/>
      <c r="B121" s="441"/>
      <c r="C121" s="441" t="e">
        <f>VLOOKUP("1",C117:E118,(MATCH("1",C116:E116,0)),FALSE)</f>
        <v>#N/A</v>
      </c>
      <c r="D121" s="441">
        <v>0</v>
      </c>
      <c r="E121" s="460">
        <f>'Brighten Product'!J64</f>
        <v>0</v>
      </c>
      <c r="F121" s="460">
        <f>'Brighten Product'!J65</f>
        <v>0</v>
      </c>
    </row>
    <row r="122" spans="1:6">
      <c r="A122" s="442"/>
      <c r="B122" s="441"/>
      <c r="C122" s="441"/>
      <c r="D122" s="440"/>
      <c r="E122" s="440"/>
      <c r="F122" s="440"/>
    </row>
    <row r="123" spans="1:6">
      <c r="A123" s="442" t="s">
        <v>422</v>
      </c>
      <c r="B123" s="441"/>
      <c r="C123" s="441" t="e">
        <f>C121</f>
        <v>#N/A</v>
      </c>
      <c r="D123" s="440"/>
      <c r="E123" s="440"/>
      <c r="F123" s="440"/>
    </row>
    <row r="124" spans="1:6">
      <c r="C124" s="431"/>
      <c r="D124" s="272"/>
      <c r="E124" s="272"/>
      <c r="F124" s="272"/>
    </row>
    <row r="125" spans="1:6" ht="28.5">
      <c r="A125" s="421" t="s">
        <v>473</v>
      </c>
      <c r="B125" s="435" t="e">
        <f>$C$123</f>
        <v>#N/A</v>
      </c>
      <c r="C125" s="435"/>
      <c r="D125" s="435"/>
      <c r="E125" s="435"/>
      <c r="F125" s="427"/>
    </row>
    <row r="126" spans="1:6" ht="28.5">
      <c r="A126" s="421" t="s">
        <v>474</v>
      </c>
      <c r="B126" s="435" t="e">
        <f t="shared" ref="B126:B129" si="10">$C$123</f>
        <v>#N/A</v>
      </c>
      <c r="C126" s="435"/>
      <c r="D126" s="435"/>
      <c r="E126" s="435"/>
      <c r="F126" s="427"/>
    </row>
    <row r="127" spans="1:6" ht="28.5">
      <c r="A127" s="421" t="s">
        <v>475</v>
      </c>
      <c r="B127" s="435" t="e">
        <f t="shared" si="10"/>
        <v>#N/A</v>
      </c>
      <c r="C127" s="435"/>
      <c r="D127" s="435"/>
      <c r="E127" s="435"/>
      <c r="F127" s="427"/>
    </row>
    <row r="128" spans="1:6" ht="28.5">
      <c r="A128" s="421" t="s">
        <v>476</v>
      </c>
      <c r="B128" s="435" t="e">
        <f t="shared" si="10"/>
        <v>#N/A</v>
      </c>
      <c r="C128" s="435"/>
      <c r="D128" s="435"/>
      <c r="E128" s="435"/>
      <c r="F128" s="427"/>
    </row>
    <row r="129" spans="1:6" ht="28.5">
      <c r="A129" s="421" t="s">
        <v>477</v>
      </c>
      <c r="B129" s="435" t="e">
        <f t="shared" si="10"/>
        <v>#N/A</v>
      </c>
      <c r="C129" s="435"/>
      <c r="D129" s="435"/>
      <c r="E129" s="435"/>
      <c r="F129" s="427"/>
    </row>
    <row r="133" spans="1:6" ht="28.5">
      <c r="A133" s="1314" t="s">
        <v>340</v>
      </c>
      <c r="B133" s="1314"/>
      <c r="C133" s="425"/>
      <c r="D133" s="426">
        <v>0.65</v>
      </c>
      <c r="E133" s="426">
        <v>0.75</v>
      </c>
      <c r="F133" s="425"/>
    </row>
    <row r="134" spans="1:6">
      <c r="A134" s="428"/>
      <c r="B134" s="425"/>
      <c r="C134" s="429">
        <v>600000</v>
      </c>
      <c r="D134" s="426">
        <v>4.9799999999999997E-2</v>
      </c>
      <c r="E134" s="426">
        <v>5.28E-2</v>
      </c>
      <c r="F134" s="425"/>
    </row>
    <row r="135" spans="1:6">
      <c r="B135" s="272"/>
      <c r="C135" s="430">
        <v>1500000</v>
      </c>
      <c r="D135" s="431">
        <v>4.9799999999999997E-2</v>
      </c>
      <c r="E135" s="431">
        <v>5.28E-2</v>
      </c>
      <c r="F135" s="272"/>
    </row>
    <row r="136" spans="1:6">
      <c r="B136" s="272"/>
      <c r="C136" s="432"/>
      <c r="D136" s="272"/>
      <c r="E136" s="272"/>
      <c r="F136" s="272"/>
    </row>
    <row r="137" spans="1:6">
      <c r="B137" s="272"/>
      <c r="C137" s="433"/>
      <c r="D137" s="434" t="str">
        <f>IF($D$6&lt;=D133, "1", "0")</f>
        <v>1</v>
      </c>
      <c r="E137" s="434" t="str">
        <f>IF(AND(D133&lt;$D$6,$D$6&lt;=E133), "1", "0")</f>
        <v>0</v>
      </c>
      <c r="F137" s="272"/>
    </row>
    <row r="138" spans="1:6">
      <c r="B138" s="272"/>
      <c r="C138" s="272" t="str">
        <f>IF($D$4&lt;=C134,"1", "0")</f>
        <v>0</v>
      </c>
      <c r="D138" s="431">
        <f>D134</f>
        <v>4.9799999999999997E-2</v>
      </c>
      <c r="E138" s="431">
        <f>E134</f>
        <v>5.28E-2</v>
      </c>
      <c r="F138" s="272"/>
    </row>
    <row r="139" spans="1:6">
      <c r="B139" s="272"/>
      <c r="C139" s="272" t="str">
        <f>IF(AND($D$4&gt;C134, $D$4&lt;=C135),"1", "0")</f>
        <v>0</v>
      </c>
      <c r="D139" s="431">
        <f>D135</f>
        <v>4.9799999999999997E-2</v>
      </c>
      <c r="E139" s="431">
        <f>E135</f>
        <v>5.28E-2</v>
      </c>
      <c r="F139" s="431"/>
    </row>
    <row r="140" spans="1:6">
      <c r="B140" s="272"/>
      <c r="C140" s="272"/>
      <c r="D140" s="272"/>
      <c r="E140" s="272"/>
      <c r="F140" s="431"/>
    </row>
    <row r="141" spans="1:6">
      <c r="A141" s="421" t="s">
        <v>372</v>
      </c>
      <c r="B141" s="272" t="s">
        <v>375</v>
      </c>
      <c r="C141" s="272" t="s">
        <v>378</v>
      </c>
      <c r="D141" s="272"/>
      <c r="E141" s="272"/>
      <c r="F141" s="431"/>
    </row>
    <row r="142" spans="1:6">
      <c r="B142" s="275">
        <v>5.0000000000000001E-3</v>
      </c>
      <c r="C142" s="431">
        <v>0</v>
      </c>
      <c r="D142" s="431"/>
      <c r="E142" s="272"/>
      <c r="F142" s="272"/>
    </row>
    <row r="143" spans="1:6">
      <c r="B143" s="272"/>
      <c r="C143" s="431"/>
      <c r="D143" s="272"/>
      <c r="E143" s="272"/>
      <c r="F143" s="272"/>
    </row>
    <row r="144" spans="1:6" ht="28.5">
      <c r="A144" s="421" t="s">
        <v>473</v>
      </c>
      <c r="B144" s="435" t="e">
        <f>VLOOKUP("1",C138:E139,(MATCH("1",C137:E137,0)),FALSE)</f>
        <v>#N/A</v>
      </c>
      <c r="C144" s="435" t="e">
        <f>IF(AND($D$7="IO",$D$8&gt;0),B144+$B$142,B144)</f>
        <v>#N/A</v>
      </c>
      <c r="D144" s="435"/>
      <c r="E144" s="427"/>
      <c r="F144" s="427"/>
    </row>
    <row r="145" spans="1:6" ht="28.5">
      <c r="A145" s="421" t="s">
        <v>474</v>
      </c>
      <c r="B145" s="435" t="e">
        <f>B144</f>
        <v>#N/A</v>
      </c>
      <c r="C145" s="435" t="e">
        <f>IF(AND($D$7="IO",$D$8&gt;1),B145+$B$142,B145)</f>
        <v>#N/A</v>
      </c>
      <c r="D145" s="435"/>
      <c r="E145" s="427"/>
      <c r="F145" s="427"/>
    </row>
    <row r="146" spans="1:6" ht="28.5">
      <c r="A146" s="421" t="s">
        <v>475</v>
      </c>
      <c r="B146" s="435" t="e">
        <f t="shared" ref="B146:B148" si="11">B145</f>
        <v>#N/A</v>
      </c>
      <c r="C146" s="435" t="e">
        <f>IF(AND($D$7="IO",$D$8&gt;2),B146+$B$142,B146)</f>
        <v>#N/A</v>
      </c>
      <c r="D146" s="435"/>
      <c r="E146" s="427"/>
      <c r="F146" s="427"/>
    </row>
    <row r="147" spans="1:6">
      <c r="A147" s="421" t="s">
        <v>476</v>
      </c>
      <c r="B147" s="435" t="e">
        <f t="shared" si="11"/>
        <v>#N/A</v>
      </c>
      <c r="C147" s="435" t="e">
        <f>IF(AND($D$7="IO",$D$8&gt;3),B147+$B$142,B147)</f>
        <v>#N/A</v>
      </c>
      <c r="D147" s="435"/>
      <c r="E147" s="436"/>
      <c r="F147" s="436"/>
    </row>
    <row r="148" spans="1:6" ht="28.5">
      <c r="A148" s="421" t="s">
        <v>477</v>
      </c>
      <c r="B148" s="435" t="e">
        <f t="shared" si="11"/>
        <v>#N/A</v>
      </c>
      <c r="C148" s="435" t="e">
        <f>IF(AND($D$7="IO",$D$8&gt;4),B148+$B$142,B148)</f>
        <v>#N/A</v>
      </c>
      <c r="D148" s="435"/>
      <c r="E148" s="427"/>
      <c r="F148" s="427"/>
    </row>
    <row r="153" spans="1:6" ht="28.5">
      <c r="A153" s="1314" t="s">
        <v>487</v>
      </c>
      <c r="B153" s="1314"/>
      <c r="C153" s="425"/>
      <c r="D153" s="426">
        <v>0.65</v>
      </c>
      <c r="E153" s="426">
        <v>0.75</v>
      </c>
      <c r="F153" s="425"/>
    </row>
    <row r="154" spans="1:6">
      <c r="A154" s="428"/>
      <c r="B154" s="425"/>
      <c r="C154" s="429">
        <v>600000</v>
      </c>
      <c r="D154" s="426">
        <v>5.3600000000000002E-2</v>
      </c>
      <c r="E154" s="426">
        <v>5.6599999999999998E-2</v>
      </c>
      <c r="F154" s="425"/>
    </row>
    <row r="155" spans="1:6">
      <c r="B155" s="272"/>
      <c r="C155" s="430">
        <v>1500000</v>
      </c>
      <c r="D155" s="431">
        <v>5.6599999999999998E-2</v>
      </c>
      <c r="E155" s="431">
        <v>5.96E-2</v>
      </c>
      <c r="F155" s="272"/>
    </row>
    <row r="156" spans="1:6">
      <c r="B156" s="272"/>
      <c r="C156" s="432"/>
      <c r="D156" s="272"/>
      <c r="E156" s="272"/>
      <c r="F156" s="272"/>
    </row>
    <row r="157" spans="1:6">
      <c r="B157" s="272"/>
      <c r="C157" s="433"/>
      <c r="D157" s="434" t="str">
        <f>IF($D$6&lt;=D153, "1", "0")</f>
        <v>1</v>
      </c>
      <c r="E157" s="434" t="str">
        <f>IF(AND(D153&lt;$D$6,$D$6&lt;=E153), "1", "0")</f>
        <v>0</v>
      </c>
      <c r="F157" s="272"/>
    </row>
    <row r="158" spans="1:6">
      <c r="B158" s="272"/>
      <c r="C158" s="272" t="str">
        <f>IF($D$4&lt;=C154,"1", "0")</f>
        <v>0</v>
      </c>
      <c r="D158" s="431">
        <f>D154</f>
        <v>5.3600000000000002E-2</v>
      </c>
      <c r="E158" s="431">
        <f>E154</f>
        <v>5.6599999999999998E-2</v>
      </c>
      <c r="F158" s="272"/>
    </row>
    <row r="159" spans="1:6">
      <c r="B159" s="272"/>
      <c r="C159" s="272" t="str">
        <f>IF(AND($D$4&gt;C154, $D$4&lt;=C155),"1", "0")</f>
        <v>0</v>
      </c>
      <c r="D159" s="431">
        <f>D155</f>
        <v>5.6599999999999998E-2</v>
      </c>
      <c r="E159" s="431">
        <f>E155</f>
        <v>5.96E-2</v>
      </c>
      <c r="F159" s="431"/>
    </row>
    <row r="160" spans="1:6">
      <c r="B160" s="272"/>
      <c r="C160" s="272"/>
      <c r="D160" s="272"/>
      <c r="E160" s="272"/>
      <c r="F160" s="431"/>
    </row>
    <row r="161" spans="1:6">
      <c r="A161" s="421" t="s">
        <v>372</v>
      </c>
      <c r="B161" s="272" t="s">
        <v>375</v>
      </c>
      <c r="C161" s="272" t="s">
        <v>378</v>
      </c>
      <c r="D161" s="272"/>
      <c r="E161" s="272"/>
      <c r="F161" s="431"/>
    </row>
    <row r="162" spans="1:6">
      <c r="B162" s="275">
        <v>5.0000000000000001E-3</v>
      </c>
      <c r="C162" s="431">
        <v>0</v>
      </c>
      <c r="D162" s="431"/>
      <c r="E162" s="272"/>
      <c r="F162" s="272"/>
    </row>
    <row r="163" spans="1:6">
      <c r="B163" s="272"/>
      <c r="C163" s="431"/>
      <c r="D163" s="272"/>
      <c r="E163" s="272"/>
      <c r="F163" s="272"/>
    </row>
    <row r="164" spans="1:6" ht="28.5">
      <c r="A164" s="421" t="s">
        <v>473</v>
      </c>
      <c r="B164" s="435" t="e">
        <f>VLOOKUP("1",C158:E159,(MATCH("1",C157:E157,0)),FALSE)</f>
        <v>#N/A</v>
      </c>
      <c r="C164" s="435" t="e">
        <f>IF(AND($D$7="IO",$D$8&gt;0),B164+$B$162,B164)</f>
        <v>#N/A</v>
      </c>
      <c r="D164" s="435"/>
      <c r="E164" s="427"/>
      <c r="F164" s="427"/>
    </row>
    <row r="165" spans="1:6" ht="28.5">
      <c r="A165" s="421" t="s">
        <v>474</v>
      </c>
      <c r="B165" s="435" t="e">
        <f>B164</f>
        <v>#N/A</v>
      </c>
      <c r="C165" s="435" t="e">
        <f>IF(AND($D$7="IO",$D$8&gt;1),B165+$B$162,B165)</f>
        <v>#N/A</v>
      </c>
      <c r="D165" s="435"/>
      <c r="E165" s="427"/>
      <c r="F165" s="427"/>
    </row>
    <row r="166" spans="1:6" ht="28.5">
      <c r="A166" s="421" t="s">
        <v>475</v>
      </c>
      <c r="B166" s="435" t="e">
        <f t="shared" ref="B166:B168" si="12">B165</f>
        <v>#N/A</v>
      </c>
      <c r="C166" s="435" t="e">
        <f>IF(AND($D$7="IO",$D$8&gt;2),B166+$B$162,B166)</f>
        <v>#N/A</v>
      </c>
      <c r="D166" s="435"/>
      <c r="E166" s="427"/>
      <c r="F166" s="427"/>
    </row>
    <row r="167" spans="1:6">
      <c r="A167" s="421" t="s">
        <v>476</v>
      </c>
      <c r="B167" s="435" t="e">
        <f t="shared" si="12"/>
        <v>#N/A</v>
      </c>
      <c r="C167" s="435" t="e">
        <f>IF(AND($D$7="IO",$D$8&gt;3),B167+$B$162,B167)</f>
        <v>#N/A</v>
      </c>
      <c r="D167" s="435"/>
      <c r="E167" s="436"/>
      <c r="F167" s="436"/>
    </row>
    <row r="168" spans="1:6" ht="28.5">
      <c r="A168" s="421" t="s">
        <v>477</v>
      </c>
      <c r="B168" s="435" t="e">
        <f t="shared" si="12"/>
        <v>#N/A</v>
      </c>
      <c r="C168" s="435" t="e">
        <f>IF(AND($D$7="IO",$D$8&gt;4),B168+$B$162,B168)</f>
        <v>#N/A</v>
      </c>
      <c r="D168" s="435"/>
      <c r="E168" s="427"/>
      <c r="F168" s="427"/>
    </row>
  </sheetData>
  <mergeCells count="30">
    <mergeCell ref="A153:B153"/>
    <mergeCell ref="A11:B11"/>
    <mergeCell ref="I11:J11"/>
    <mergeCell ref="A30:B30"/>
    <mergeCell ref="I30:J30"/>
    <mergeCell ref="A51:B51"/>
    <mergeCell ref="I51:J51"/>
    <mergeCell ref="A74:B74"/>
    <mergeCell ref="H74:I74"/>
    <mergeCell ref="A93:B93"/>
    <mergeCell ref="A112:B112"/>
    <mergeCell ref="A133:B133"/>
    <mergeCell ref="A7:C7"/>
    <mergeCell ref="D7:G7"/>
    <mergeCell ref="A8:C8"/>
    <mergeCell ref="D8:G8"/>
    <mergeCell ref="A9:C9"/>
    <mergeCell ref="D9:G9"/>
    <mergeCell ref="A4:C4"/>
    <mergeCell ref="D4:G4"/>
    <mergeCell ref="A5:C5"/>
    <mergeCell ref="D5:G5"/>
    <mergeCell ref="A6:C6"/>
    <mergeCell ref="D6:G6"/>
    <mergeCell ref="A1:C1"/>
    <mergeCell ref="D1:G1"/>
    <mergeCell ref="A2:C2"/>
    <mergeCell ref="D2:G2"/>
    <mergeCell ref="A3:C3"/>
    <mergeCell ref="D3:G3"/>
  </mergeCells>
  <dataValidations count="1">
    <dataValidation type="custom" allowBlank="1" showInputMessage="1" showErrorMessage="1" errorTitle="Credit Policy" error="Minimum Loan $150,000.00_x000a_Maximum Loan $2,000,000.00" sqref="B4:C4" xr:uid="{B253BA66-9B7C-4DCB-887B-2821B2BC621B}">
      <formula1>AND(B4&lt;=2000000, B4&gt;=150000)</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79F02-9836-4E69-9210-F1A0BA77315B}">
  <sheetPr codeName="Sheet8"/>
  <dimension ref="A1:Q168"/>
  <sheetViews>
    <sheetView workbookViewId="0">
      <selection sqref="A1:C1"/>
    </sheetView>
  </sheetViews>
  <sheetFormatPr defaultColWidth="10" defaultRowHeight="15.5"/>
  <cols>
    <col min="1" max="1" width="23.7265625" style="421" customWidth="1"/>
    <col min="2" max="2" width="17.1796875" style="421" customWidth="1"/>
    <col min="3" max="3" width="17.7265625" style="485" customWidth="1"/>
    <col min="4" max="4" width="16.54296875" style="421" customWidth="1"/>
    <col min="5" max="5" width="14.81640625" style="421" customWidth="1"/>
    <col min="6" max="6" width="14" style="421" customWidth="1"/>
    <col min="7" max="7" width="10" style="421"/>
    <col min="8" max="8" width="14" style="421" customWidth="1"/>
    <col min="9" max="9" width="10" style="421" customWidth="1"/>
    <col min="10" max="10" width="20.81640625" style="421" customWidth="1"/>
    <col min="11" max="11" width="15.7265625" style="421" customWidth="1"/>
    <col min="12" max="12" width="17.26953125" style="421" customWidth="1"/>
    <col min="13" max="13" width="15.1796875" style="421" customWidth="1"/>
    <col min="14" max="14" width="10.26953125" style="421" customWidth="1"/>
    <col min="15" max="15" width="14" style="421" bestFit="1" customWidth="1"/>
    <col min="16" max="16" width="11.26953125" style="421" customWidth="1"/>
    <col min="17" max="17" width="15.26953125" style="421" customWidth="1"/>
    <col min="18" max="18" width="11.1796875" style="421" customWidth="1"/>
    <col min="19" max="19" width="14.54296875" style="421" customWidth="1"/>
    <col min="20" max="20" width="8.26953125" style="421" customWidth="1"/>
    <col min="21" max="16384" width="10" style="421"/>
  </cols>
  <sheetData>
    <row r="1" spans="1:15">
      <c r="A1" s="1311" t="s">
        <v>17</v>
      </c>
      <c r="B1" s="1311"/>
      <c r="C1" s="1311"/>
      <c r="D1" s="1312" t="str">
        <f>'Comparison Calculator'!$E$4</f>
        <v>Non Resi</v>
      </c>
      <c r="E1" s="1312"/>
      <c r="F1" s="1312"/>
      <c r="G1" s="1312"/>
    </row>
    <row r="2" spans="1:15">
      <c r="A2" s="1311" t="s">
        <v>369</v>
      </c>
      <c r="B2" s="1311"/>
      <c r="C2" s="1311"/>
      <c r="D2" s="1312" t="str">
        <f>'Comparison Calculator'!$E$5</f>
        <v>No</v>
      </c>
      <c r="E2" s="1312"/>
      <c r="F2" s="1312"/>
      <c r="G2" s="1312"/>
      <c r="H2" s="422"/>
      <c r="I2" s="422"/>
      <c r="J2" s="422"/>
      <c r="K2" s="422"/>
      <c r="L2" s="422"/>
      <c r="M2" s="422"/>
      <c r="N2" s="422"/>
      <c r="O2" s="422"/>
    </row>
    <row r="3" spans="1:15">
      <c r="A3" s="1311" t="s">
        <v>370</v>
      </c>
      <c r="B3" s="1311"/>
      <c r="C3" s="1311"/>
      <c r="D3" s="1312" t="str">
        <f>'Comparison Calculator'!$E$6</f>
        <v>Yes</v>
      </c>
      <c r="E3" s="1312"/>
      <c r="F3" s="1312"/>
      <c r="G3" s="1312"/>
      <c r="H3" s="422"/>
      <c r="I3" s="422"/>
      <c r="J3" s="422"/>
      <c r="K3" s="422"/>
      <c r="L3" s="422"/>
      <c r="M3" s="422"/>
      <c r="N3" s="422"/>
      <c r="O3" s="422"/>
    </row>
    <row r="4" spans="1:15">
      <c r="A4" s="1311" t="s">
        <v>55</v>
      </c>
      <c r="B4" s="1311"/>
      <c r="C4" s="1311"/>
      <c r="D4" s="1312">
        <f>'Comparison Calculator'!$E$7</f>
        <v>1800000</v>
      </c>
      <c r="E4" s="1312"/>
      <c r="F4" s="1312"/>
      <c r="G4" s="1312"/>
      <c r="H4" s="422"/>
      <c r="I4" s="422"/>
      <c r="J4" s="422"/>
      <c r="K4" s="422"/>
      <c r="L4" s="422"/>
      <c r="M4" s="422"/>
      <c r="N4" s="422"/>
      <c r="O4" s="422"/>
    </row>
    <row r="5" spans="1:15">
      <c r="A5" s="1311" t="s">
        <v>371</v>
      </c>
      <c r="B5" s="1311"/>
      <c r="C5" s="1311"/>
      <c r="D5" s="1312">
        <f>'Comparison Calculator'!$E$8</f>
        <v>3000000</v>
      </c>
      <c r="E5" s="1312"/>
      <c r="F5" s="1312"/>
      <c r="G5" s="1312"/>
      <c r="H5" s="422"/>
      <c r="I5" s="422"/>
      <c r="J5" s="422"/>
      <c r="K5" s="422"/>
      <c r="L5" s="422"/>
      <c r="M5" s="422"/>
      <c r="N5" s="422"/>
      <c r="O5" s="422"/>
    </row>
    <row r="6" spans="1:15">
      <c r="A6" s="1311" t="s">
        <v>68</v>
      </c>
      <c r="B6" s="1311"/>
      <c r="C6" s="1311"/>
      <c r="D6" s="1313">
        <f>'Comparison Calculator'!$E$9</f>
        <v>0.6</v>
      </c>
      <c r="E6" s="1313"/>
      <c r="F6" s="1313"/>
      <c r="G6" s="1313"/>
      <c r="H6" s="422"/>
      <c r="I6" s="422"/>
      <c r="J6" s="422"/>
      <c r="K6" s="422"/>
      <c r="L6" s="422"/>
      <c r="M6" s="422"/>
      <c r="N6" s="422"/>
      <c r="O6" s="422"/>
    </row>
    <row r="7" spans="1:15">
      <c r="A7" s="1311" t="s">
        <v>373</v>
      </c>
      <c r="B7" s="1311"/>
      <c r="C7" s="1311"/>
      <c r="D7" s="1312" t="str">
        <f>'Comparison Calculator'!$E$10</f>
        <v>P&amp;I</v>
      </c>
      <c r="E7" s="1312"/>
      <c r="F7" s="1312"/>
      <c r="G7" s="1312"/>
      <c r="H7" s="422"/>
      <c r="I7" s="422"/>
      <c r="J7" s="422"/>
      <c r="K7" s="422"/>
      <c r="L7" s="422"/>
      <c r="M7" s="422"/>
      <c r="N7" s="422"/>
      <c r="O7" s="422"/>
    </row>
    <row r="8" spans="1:15">
      <c r="A8" s="1311" t="s">
        <v>470</v>
      </c>
      <c r="B8" s="1311"/>
      <c r="C8" s="1311"/>
      <c r="D8" s="1312">
        <f>'Comparison Calculator'!$E$11</f>
        <v>5</v>
      </c>
      <c r="E8" s="1312"/>
      <c r="F8" s="1312"/>
      <c r="G8" s="1312"/>
      <c r="H8" s="422"/>
      <c r="I8" s="422"/>
      <c r="J8" s="422"/>
      <c r="K8" s="422"/>
      <c r="L8" s="422"/>
      <c r="M8" s="422"/>
      <c r="N8" s="422"/>
      <c r="O8" s="422"/>
    </row>
    <row r="9" spans="1:15">
      <c r="A9" s="1311" t="s">
        <v>379</v>
      </c>
      <c r="B9" s="1311"/>
      <c r="C9" s="1311"/>
      <c r="D9" s="1312">
        <f>'Comparison Calculator'!$E$12</f>
        <v>0</v>
      </c>
      <c r="E9" s="1312"/>
      <c r="F9" s="1312"/>
      <c r="G9" s="1312"/>
      <c r="H9" s="422"/>
      <c r="I9" s="422"/>
      <c r="J9" s="422"/>
      <c r="K9" s="422"/>
      <c r="L9" s="422"/>
      <c r="M9" s="422"/>
      <c r="N9" s="422"/>
      <c r="O9" s="422"/>
    </row>
    <row r="10" spans="1:15">
      <c r="A10" s="423"/>
      <c r="B10" s="423"/>
      <c r="C10" s="423"/>
      <c r="D10" s="424"/>
      <c r="E10" s="424"/>
      <c r="F10" s="424"/>
      <c r="G10" s="424"/>
      <c r="H10" s="422"/>
      <c r="I10" s="422"/>
      <c r="J10" s="422"/>
      <c r="K10" s="422"/>
      <c r="L10" s="422"/>
      <c r="M10" s="422"/>
      <c r="N10" s="422"/>
      <c r="O10" s="422"/>
    </row>
    <row r="11" spans="1:15" s="427" customFormat="1" ht="28.15" customHeight="1">
      <c r="A11" s="1314" t="s">
        <v>471</v>
      </c>
      <c r="B11" s="1314"/>
      <c r="C11" s="425"/>
      <c r="D11" s="426">
        <v>0.65</v>
      </c>
      <c r="E11" s="426">
        <v>0.75</v>
      </c>
      <c r="F11" s="425"/>
      <c r="I11" s="1314" t="s">
        <v>472</v>
      </c>
      <c r="J11" s="1314"/>
      <c r="K11" s="425"/>
      <c r="L11" s="426">
        <v>0.65</v>
      </c>
      <c r="M11" s="426">
        <v>0.75</v>
      </c>
      <c r="N11" s="425"/>
    </row>
    <row r="12" spans="1:15" s="427" customFormat="1" ht="16.149999999999999" customHeight="1">
      <c r="A12" s="428"/>
      <c r="B12" s="425"/>
      <c r="C12" s="429">
        <v>600000</v>
      </c>
      <c r="D12" s="426">
        <f>'Comparison Calculator'!$W$6</f>
        <v>4.48E-2</v>
      </c>
      <c r="E12" s="426">
        <f>'Comparison Calculator'!$Y$6</f>
        <v>6.4799999999999996E-2</v>
      </c>
      <c r="F12" s="425"/>
      <c r="I12" s="428"/>
      <c r="J12" s="425"/>
      <c r="K12" s="429">
        <v>600000</v>
      </c>
      <c r="L12" s="426">
        <f>'Comparison Calculator'!$W$6</f>
        <v>4.48E-2</v>
      </c>
      <c r="M12" s="426">
        <f>'Comparison Calculator'!$Y$6</f>
        <v>6.4799999999999996E-2</v>
      </c>
      <c r="N12" s="425"/>
    </row>
    <row r="13" spans="1:15" s="427" customFormat="1" ht="16.149999999999999" customHeight="1">
      <c r="A13" s="421"/>
      <c r="B13" s="272"/>
      <c r="C13" s="430">
        <v>1500000</v>
      </c>
      <c r="D13" s="431">
        <f>'Comparison Calculator'!$W$7</f>
        <v>6.4799999999999996E-2</v>
      </c>
      <c r="E13" s="431">
        <f>'Comparison Calculator'!$Y$7</f>
        <v>6.4799999999999996E-2</v>
      </c>
      <c r="F13" s="272"/>
      <c r="I13" s="421"/>
      <c r="J13" s="272"/>
      <c r="K13" s="430">
        <v>1500000</v>
      </c>
      <c r="L13" s="431">
        <f>'Comparison Calculator'!$W$7</f>
        <v>6.4799999999999996E-2</v>
      </c>
      <c r="M13" s="431">
        <f>'Comparison Calculator'!$Y$7</f>
        <v>6.4799999999999996E-2</v>
      </c>
      <c r="N13" s="272"/>
    </row>
    <row r="14" spans="1:15" s="427" customFormat="1" ht="16.149999999999999" customHeight="1">
      <c r="A14" s="421"/>
      <c r="B14" s="272"/>
      <c r="C14" s="432"/>
      <c r="D14" s="272"/>
      <c r="E14" s="272"/>
      <c r="F14" s="272"/>
      <c r="I14" s="421"/>
      <c r="J14" s="272"/>
      <c r="K14" s="432"/>
      <c r="L14" s="272"/>
      <c r="M14" s="272"/>
      <c r="N14" s="272"/>
    </row>
    <row r="15" spans="1:15" s="427" customFormat="1" ht="16.149999999999999" customHeight="1">
      <c r="A15" s="421"/>
      <c r="B15" s="272"/>
      <c r="C15" s="433"/>
      <c r="D15" s="434" t="str">
        <f>IF($D$6&lt;=D11, "1", "0")</f>
        <v>1</v>
      </c>
      <c r="E15" s="434" t="str">
        <f>IF(AND(D11&lt;$D$6,$D$6&lt;=E11), "1", "0")</f>
        <v>0</v>
      </c>
      <c r="F15" s="272"/>
      <c r="I15" s="421"/>
      <c r="J15" s="272"/>
      <c r="K15" s="433"/>
      <c r="L15" s="434" t="str">
        <f>IF($D$6&lt;L11, "1", "0")</f>
        <v>1</v>
      </c>
      <c r="M15" s="434" t="str">
        <f>IF(AND(L11&lt;=$D$6,$D$6&lt;=M11), "1", "0")</f>
        <v>0</v>
      </c>
      <c r="N15" s="272"/>
    </row>
    <row r="16" spans="1:15" s="427" customFormat="1" ht="15" customHeight="1">
      <c r="A16" s="421"/>
      <c r="B16" s="272"/>
      <c r="C16" s="272" t="str">
        <f>IF($D$4&lt;=C12,"1", "0")</f>
        <v>0</v>
      </c>
      <c r="D16" s="431">
        <f>$D$12</f>
        <v>4.48E-2</v>
      </c>
      <c r="E16" s="431">
        <f>$E$12</f>
        <v>6.4799999999999996E-2</v>
      </c>
      <c r="F16" s="272"/>
      <c r="I16" s="421"/>
      <c r="J16" s="272"/>
      <c r="K16" s="272" t="str">
        <f>IF($D$4&lt;K12,"1", "0")</f>
        <v>0</v>
      </c>
      <c r="L16" s="431">
        <f>$D$12</f>
        <v>4.48E-2</v>
      </c>
      <c r="M16" s="431">
        <f>$E$12</f>
        <v>6.4799999999999996E-2</v>
      </c>
      <c r="N16" s="272"/>
    </row>
    <row r="17" spans="1:14" s="427" customFormat="1" ht="16.149999999999999" customHeight="1">
      <c r="A17" s="421"/>
      <c r="B17" s="272"/>
      <c r="C17" s="272" t="str">
        <f>IF(AND($D$4&gt;C12, $D$4&lt;=C13),"1", "0")</f>
        <v>0</v>
      </c>
      <c r="D17" s="431">
        <f>$D$13</f>
        <v>6.4799999999999996E-2</v>
      </c>
      <c r="E17" s="431">
        <f>$E$13</f>
        <v>6.4799999999999996E-2</v>
      </c>
      <c r="F17" s="431"/>
      <c r="I17" s="421"/>
      <c r="J17" s="272"/>
      <c r="K17" s="272" t="str">
        <f>IF(AND($D$4&gt;=K12, $D$4&lt;=K13),"1", "0")</f>
        <v>0</v>
      </c>
      <c r="L17" s="431">
        <f>$D$13</f>
        <v>6.4799999999999996E-2</v>
      </c>
      <c r="M17" s="431">
        <f>$E$13</f>
        <v>6.4799999999999996E-2</v>
      </c>
      <c r="N17" s="431"/>
    </row>
    <row r="18" spans="1:14" s="427" customFormat="1" ht="16.149999999999999" customHeight="1">
      <c r="A18" s="421"/>
      <c r="B18" s="272"/>
      <c r="C18" s="272"/>
      <c r="D18" s="272"/>
      <c r="E18" s="272"/>
      <c r="F18" s="431"/>
      <c r="I18" s="421"/>
      <c r="J18" s="272"/>
      <c r="K18" s="272"/>
      <c r="L18" s="272"/>
      <c r="M18" s="272"/>
      <c r="N18" s="431"/>
    </row>
    <row r="19" spans="1:14" s="427" customFormat="1" ht="16.149999999999999" customHeight="1">
      <c r="A19" s="421" t="s">
        <v>372</v>
      </c>
      <c r="B19" s="272" t="s">
        <v>375</v>
      </c>
      <c r="C19" s="272" t="s">
        <v>378</v>
      </c>
      <c r="D19" s="272"/>
      <c r="E19" s="272"/>
      <c r="F19" s="431"/>
      <c r="I19" s="421" t="s">
        <v>372</v>
      </c>
      <c r="J19" s="272" t="s">
        <v>375</v>
      </c>
      <c r="K19" s="272" t="s">
        <v>378</v>
      </c>
      <c r="L19" s="272"/>
      <c r="M19" s="272"/>
      <c r="N19" s="431"/>
    </row>
    <row r="20" spans="1:14" s="427" customFormat="1" ht="16.149999999999999" customHeight="1">
      <c r="A20" s="421"/>
      <c r="B20" s="275">
        <f>'Comparison Calculator'!X10</f>
        <v>3.0000000000000001E-3</v>
      </c>
      <c r="C20" s="431">
        <v>3.0000000000000001E-3</v>
      </c>
      <c r="D20" s="431"/>
      <c r="E20" s="272"/>
      <c r="F20" s="272"/>
      <c r="I20" s="421"/>
      <c r="J20" s="275">
        <v>3.0000000000000001E-3</v>
      </c>
      <c r="K20" s="431">
        <v>0</v>
      </c>
      <c r="L20" s="431"/>
      <c r="M20" s="272"/>
      <c r="N20" s="272"/>
    </row>
    <row r="21" spans="1:14" s="427" customFormat="1" ht="16.149999999999999" customHeight="1">
      <c r="A21" s="421"/>
      <c r="B21" s="272"/>
      <c r="C21" s="431"/>
      <c r="D21" s="272"/>
      <c r="E21" s="272"/>
      <c r="F21" s="272"/>
      <c r="I21" s="421"/>
      <c r="J21" s="272"/>
      <c r="K21" s="431"/>
      <c r="L21" s="272"/>
      <c r="M21" s="272"/>
      <c r="N21" s="272"/>
    </row>
    <row r="22" spans="1:14" s="427" customFormat="1" ht="16.149999999999999" customHeight="1">
      <c r="A22" s="421" t="s">
        <v>473</v>
      </c>
      <c r="B22" s="435" t="e">
        <f>VLOOKUP("1",C16:E17,(MATCH("1",C15:E15,0)),FALSE)</f>
        <v>#N/A</v>
      </c>
      <c r="C22" s="435" t="e">
        <f>IF(AND($D$7="IO",$D$8&gt;0),$B$22+$B$20,$B$22)</f>
        <v>#N/A</v>
      </c>
      <c r="D22" s="435" t="e">
        <f>IF($D$2="YES", $C$22+$C$20, $C$22)</f>
        <v>#N/A</v>
      </c>
      <c r="G22" s="272"/>
      <c r="I22" s="421" t="s">
        <v>473</v>
      </c>
      <c r="J22" s="435" t="e">
        <f>VLOOKUP("1",K16:M17,(MATCH("1",K15:M15,0)),FALSE)</f>
        <v>#N/A</v>
      </c>
      <c r="K22" s="435" t="e">
        <f>IF(AND($D$7="IO",$D$8&gt;0),$B$22+$B$20,$B$22)</f>
        <v>#N/A</v>
      </c>
      <c r="L22" s="435" t="e">
        <f>IF($D$2="YES", $C$22+$C$20, $C$22)</f>
        <v>#N/A</v>
      </c>
    </row>
    <row r="23" spans="1:14" s="427" customFormat="1" ht="16.149999999999999" customHeight="1">
      <c r="A23" s="421" t="s">
        <v>474</v>
      </c>
      <c r="B23" s="435">
        <v>6.4799999999999996E-2</v>
      </c>
      <c r="C23" s="435">
        <f>IF(AND($D$7="IO",$D$8&gt;1),$B$23+$B$20,$B$23)</f>
        <v>6.4799999999999996E-2</v>
      </c>
      <c r="D23" s="435">
        <f>IF($D$2="YES", $C$23+$C$20, $C$23)</f>
        <v>6.4799999999999996E-2</v>
      </c>
      <c r="G23" s="272"/>
      <c r="I23" s="421" t="s">
        <v>474</v>
      </c>
      <c r="J23" s="435">
        <v>6.4799999999999996E-2</v>
      </c>
      <c r="K23" s="435">
        <f>IF(AND($D$7="IO",$D$8&gt;1),$B$23+$B$20,$B$23)</f>
        <v>6.4799999999999996E-2</v>
      </c>
      <c r="L23" s="435">
        <f>IF($D$2="YES", $C$23+$C$20, $C$23)</f>
        <v>6.4799999999999996E-2</v>
      </c>
    </row>
    <row r="24" spans="1:14" s="427" customFormat="1" ht="16.149999999999999" customHeight="1">
      <c r="A24" s="421" t="s">
        <v>475</v>
      </c>
      <c r="B24" s="435">
        <v>6.4799999999999996E-2</v>
      </c>
      <c r="C24" s="435">
        <f>IF(AND($D$7="IO",$D$8&gt;2),$B$24+$B$20,$B$24)</f>
        <v>6.4799999999999996E-2</v>
      </c>
      <c r="D24" s="435">
        <f>IF($D$2="YES", $C$24+$C$20, $C$24)</f>
        <v>6.4799999999999996E-2</v>
      </c>
      <c r="G24" s="272"/>
      <c r="I24" s="421" t="s">
        <v>475</v>
      </c>
      <c r="J24" s="435">
        <v>6.4799999999999996E-2</v>
      </c>
      <c r="K24" s="435">
        <f>IF(AND($D$7="IO",$D$8&gt;2),$B$24+$B$20,$B$24)</f>
        <v>6.4799999999999996E-2</v>
      </c>
      <c r="L24" s="435">
        <f>IF($D$2="YES", $C$24+$C$20, $C$24)</f>
        <v>6.4799999999999996E-2</v>
      </c>
    </row>
    <row r="25" spans="1:14" s="427" customFormat="1" ht="16.149999999999999" customHeight="1">
      <c r="A25" s="421" t="s">
        <v>476</v>
      </c>
      <c r="B25" s="435">
        <v>6.4799999999999996E-2</v>
      </c>
      <c r="C25" s="435">
        <f>IF(AND($D$7="IO",$D$8&gt;3),$B$25+$B$20,$B$25)</f>
        <v>6.4799999999999996E-2</v>
      </c>
      <c r="D25" s="435">
        <f>IF($D$2="YES", $C$25+$C$20, $C$25)</f>
        <v>6.4799999999999996E-2</v>
      </c>
      <c r="E25" s="436"/>
      <c r="F25" s="436"/>
      <c r="G25" s="436"/>
      <c r="I25" s="421" t="s">
        <v>476</v>
      </c>
      <c r="J25" s="435">
        <v>6.4799999999999996E-2</v>
      </c>
      <c r="K25" s="435">
        <f>IF(AND($D$7="IO",$D$8&gt;3),$B$25+$B$20,$B$25)</f>
        <v>6.4799999999999996E-2</v>
      </c>
      <c r="L25" s="435">
        <f>IF($D$2="YES", $C$25+$C$20, $C$25)</f>
        <v>6.4799999999999996E-2</v>
      </c>
      <c r="M25" s="436"/>
      <c r="N25" s="436"/>
    </row>
    <row r="26" spans="1:14" s="427" customFormat="1" ht="16.149999999999999" customHeight="1">
      <c r="A26" s="421" t="s">
        <v>477</v>
      </c>
      <c r="B26" s="435">
        <v>6.4799999999999996E-2</v>
      </c>
      <c r="C26" s="435">
        <f>IF(AND($D$7="IO",$D$8&gt;4),$B$26+$B$20,$B$26)</f>
        <v>6.4799999999999996E-2</v>
      </c>
      <c r="D26" s="435">
        <f>IF($D$2="YES", $C$26+$C$20, $C$26)</f>
        <v>6.4799999999999996E-2</v>
      </c>
      <c r="I26" s="421" t="s">
        <v>477</v>
      </c>
      <c r="J26" s="435">
        <v>6.4799999999999996E-2</v>
      </c>
      <c r="K26" s="435">
        <f>IF(AND($D$7="IO",$D$8&gt;4),$B$26+$B$20,$B$26)</f>
        <v>6.4799999999999996E-2</v>
      </c>
      <c r="L26" s="435">
        <f>IF($D$2="YES", $C$26+$C$20, $C$26)</f>
        <v>6.4799999999999996E-2</v>
      </c>
    </row>
    <row r="27" spans="1:14" s="427" customFormat="1" ht="16.149999999999999" customHeight="1"/>
    <row r="28" spans="1:14" s="427" customFormat="1" ht="16.149999999999999" customHeight="1"/>
    <row r="29" spans="1:14" s="427" customFormat="1" ht="31.9" customHeight="1">
      <c r="A29" s="427" t="s">
        <v>478</v>
      </c>
    </row>
    <row r="30" spans="1:14" s="427" customFormat="1" ht="16.149999999999999" customHeight="1" thickBot="1">
      <c r="A30" s="1315" t="s">
        <v>488</v>
      </c>
      <c r="B30" s="1315"/>
      <c r="C30" s="437"/>
      <c r="D30" s="438">
        <v>0.65</v>
      </c>
      <c r="E30" s="439">
        <v>0.65</v>
      </c>
      <c r="F30" s="439">
        <v>0.75</v>
      </c>
      <c r="G30" s="437"/>
      <c r="H30" s="421"/>
      <c r="I30" s="1315" t="s">
        <v>489</v>
      </c>
      <c r="J30" s="1315"/>
      <c r="K30" s="440"/>
      <c r="L30" s="438">
        <v>0.65</v>
      </c>
      <c r="M30" s="441">
        <v>0.75</v>
      </c>
      <c r="N30" s="440"/>
    </row>
    <row r="31" spans="1:14" s="427" customFormat="1" ht="16.149999999999999" customHeight="1">
      <c r="A31" s="442"/>
      <c r="B31" s="440"/>
      <c r="C31" s="443">
        <v>600000</v>
      </c>
      <c r="D31" s="444">
        <v>6.3799999999999996E-2</v>
      </c>
      <c r="E31" s="445">
        <v>6.3799999999999996E-2</v>
      </c>
      <c r="F31" s="446">
        <v>6.4799999999999996E-2</v>
      </c>
      <c r="G31" s="437"/>
      <c r="H31" s="421"/>
      <c r="I31" s="442"/>
      <c r="J31" s="440"/>
      <c r="K31" s="429">
        <v>600000</v>
      </c>
      <c r="L31" s="447">
        <f>'Comparison Calculator'!Q6</f>
        <v>6.2799999999999995E-2</v>
      </c>
      <c r="M31" s="448">
        <f>'Comparison Calculator'!S6</f>
        <v>6.4799999999999996E-2</v>
      </c>
      <c r="N31" s="440"/>
    </row>
    <row r="32" spans="1:14" s="427" customFormat="1" ht="21" customHeight="1" thickBot="1">
      <c r="A32" s="442"/>
      <c r="B32" s="440"/>
      <c r="C32" s="443">
        <v>1500000</v>
      </c>
      <c r="D32" s="449">
        <v>6.5799999999999997E-2</v>
      </c>
      <c r="E32" s="450">
        <v>6.5799999999999997E-2</v>
      </c>
      <c r="F32" s="451">
        <v>6.5799999999999997E-2</v>
      </c>
      <c r="G32" s="437"/>
      <c r="H32" s="421"/>
      <c r="I32" s="442"/>
      <c r="J32" s="440"/>
      <c r="K32" s="429">
        <v>1500000</v>
      </c>
      <c r="L32" s="452">
        <f>'Comparison Calculator'!Q7</f>
        <v>6.4799999999999996E-2</v>
      </c>
      <c r="M32" s="453">
        <f>'Comparison Calculator'!S7</f>
        <v>6.6799999999999998E-2</v>
      </c>
      <c r="N32" s="440"/>
    </row>
    <row r="33" spans="1:15" s="427" customFormat="1" ht="16.149999999999999" customHeight="1">
      <c r="A33" s="442"/>
      <c r="B33" s="440"/>
      <c r="C33" s="454"/>
      <c r="D33" s="437"/>
      <c r="E33" s="437"/>
      <c r="F33" s="437"/>
      <c r="G33" s="437"/>
      <c r="H33" s="421"/>
      <c r="I33" s="442"/>
      <c r="J33" s="440"/>
      <c r="K33" s="455"/>
      <c r="L33" s="440"/>
      <c r="M33" s="440"/>
      <c r="N33" s="440"/>
    </row>
    <row r="34" spans="1:15" s="427" customFormat="1" ht="16.149999999999999" customHeight="1" thickBot="1">
      <c r="A34" s="442"/>
      <c r="B34" s="440"/>
      <c r="C34" s="456"/>
      <c r="D34" s="457" t="str">
        <f>IF($D$6&lt;=D30, "1", "0")</f>
        <v>1</v>
      </c>
      <c r="E34" s="457" t="str">
        <f>IF(AND(D30&lt;$D$6,$D$6&lt;=E30), "1", "0")</f>
        <v>0</v>
      </c>
      <c r="F34" s="457" t="str">
        <f>IF(AND(E30&lt;$D$6,$D$6&lt;=F30), "1", "0")</f>
        <v>0</v>
      </c>
      <c r="G34" s="439"/>
      <c r="H34" s="421"/>
      <c r="I34" s="442"/>
      <c r="J34" s="440"/>
      <c r="K34" s="458"/>
      <c r="L34" s="1021" t="str">
        <f>IF($D$6&lt;=L30, "1", "0")</f>
        <v>1</v>
      </c>
      <c r="M34" s="1021" t="str">
        <f>IF(AND(L30&lt;$D$6,$D$6&lt;=M30), "1", "0")</f>
        <v>0</v>
      </c>
      <c r="N34" s="441"/>
    </row>
    <row r="35" spans="1:15" s="427" customFormat="1" ht="17.25" customHeight="1">
      <c r="A35" s="442"/>
      <c r="B35" s="440"/>
      <c r="C35" s="437" t="str">
        <f>IF($D$4&lt;=C31,"1", "0")</f>
        <v>0</v>
      </c>
      <c r="D35" s="444">
        <f>D31</f>
        <v>6.3799999999999996E-2</v>
      </c>
      <c r="E35" s="445">
        <f>E31</f>
        <v>6.3799999999999996E-2</v>
      </c>
      <c r="F35" s="446">
        <f>F31</f>
        <v>6.4799999999999996E-2</v>
      </c>
      <c r="G35" s="439"/>
      <c r="H35" s="421"/>
      <c r="I35" s="442"/>
      <c r="J35" s="440"/>
      <c r="K35" s="440" t="str">
        <f>IF($D$4&lt;=K31,"1", "0")</f>
        <v>0</v>
      </c>
      <c r="L35" s="447">
        <f>L31</f>
        <v>6.2799999999999995E-2</v>
      </c>
      <c r="M35" s="448">
        <f>M31</f>
        <v>6.4799999999999996E-2</v>
      </c>
      <c r="N35" s="441"/>
    </row>
    <row r="36" spans="1:15" s="427" customFormat="1" ht="16.149999999999999" customHeight="1" thickBot="1">
      <c r="A36" s="442"/>
      <c r="B36" s="440"/>
      <c r="C36" s="437" t="str">
        <f>IF(AND($D$4&gt;C31, $D$4&lt;=C32),"1", "0")</f>
        <v>0</v>
      </c>
      <c r="D36" s="449">
        <f t="shared" ref="D36:F36" si="0">D32</f>
        <v>6.5799999999999997E-2</v>
      </c>
      <c r="E36" s="450">
        <f t="shared" si="0"/>
        <v>6.5799999999999997E-2</v>
      </c>
      <c r="F36" s="451">
        <f t="shared" si="0"/>
        <v>6.5799999999999997E-2</v>
      </c>
      <c r="G36" s="437"/>
      <c r="H36" s="421"/>
      <c r="I36" s="442"/>
      <c r="J36" s="440"/>
      <c r="K36" s="440" t="str">
        <f>IF(AND($D$4&gt;K31, $D$4&lt;=K32),"1", "0")</f>
        <v>0</v>
      </c>
      <c r="L36" s="452">
        <f>L32</f>
        <v>6.4799999999999996E-2</v>
      </c>
      <c r="M36" s="453">
        <f>M32</f>
        <v>6.6799999999999998E-2</v>
      </c>
      <c r="N36" s="440"/>
    </row>
    <row r="37" spans="1:15" s="427" customFormat="1" ht="16.149999999999999" customHeight="1">
      <c r="A37" s="442"/>
      <c r="B37" s="442"/>
      <c r="C37" s="437"/>
      <c r="D37" s="437"/>
      <c r="E37" s="437"/>
      <c r="F37" s="437"/>
      <c r="G37" s="437"/>
      <c r="H37" s="421"/>
      <c r="I37" s="442"/>
      <c r="J37" s="442"/>
      <c r="K37" s="440"/>
      <c r="L37" s="440"/>
      <c r="M37" s="440"/>
      <c r="N37" s="440"/>
      <c r="O37" s="272"/>
    </row>
    <row r="38" spans="1:15" s="427" customFormat="1" ht="16.149999999999999" customHeight="1">
      <c r="A38" s="442"/>
      <c r="B38" s="442"/>
      <c r="C38" s="437" t="s">
        <v>235</v>
      </c>
      <c r="D38" s="437" t="s">
        <v>270</v>
      </c>
      <c r="E38" s="437" t="s">
        <v>481</v>
      </c>
      <c r="F38" s="437" t="s">
        <v>490</v>
      </c>
      <c r="H38" s="421"/>
      <c r="I38" s="442"/>
      <c r="J38" s="442"/>
      <c r="K38" s="440" t="s">
        <v>235</v>
      </c>
      <c r="L38" s="440" t="s">
        <v>270</v>
      </c>
      <c r="M38" s="440" t="s">
        <v>481</v>
      </c>
      <c r="N38" s="440" t="s">
        <v>490</v>
      </c>
    </row>
    <row r="39" spans="1:15" s="427" customFormat="1" ht="16.149999999999999" customHeight="1">
      <c r="A39" s="442"/>
      <c r="B39" s="441"/>
      <c r="C39" s="439" t="e">
        <f>VLOOKUP("1",C35:F36,(MATCH("1",C34:F34,0)),FALSE)</f>
        <v>#N/A</v>
      </c>
      <c r="D39" s="439">
        <v>3.0000000000000001E-3</v>
      </c>
      <c r="E39" s="459">
        <v>4.0000000000000001E-3</v>
      </c>
      <c r="F39" s="459">
        <v>1E-3</v>
      </c>
      <c r="H39" s="421"/>
      <c r="I39" s="442"/>
      <c r="J39" s="441"/>
      <c r="K39" s="441" t="e">
        <f>VLOOKUP("1",K35:M36,(MATCH("1",K34:M34,0)),FALSE)</f>
        <v>#N/A</v>
      </c>
      <c r="L39" s="441">
        <f>'Comparison Calculator'!R10</f>
        <v>3.0000000000000001E-3</v>
      </c>
      <c r="M39" s="460">
        <f>'Comparison Calculator'!R11</f>
        <v>3.0000000000000001E-3</v>
      </c>
      <c r="N39" s="460">
        <f>'Comparison Calculator'!R12</f>
        <v>2E-3</v>
      </c>
    </row>
    <row r="40" spans="1:15" s="427" customFormat="1" ht="16.149999999999999" customHeight="1">
      <c r="A40" s="442"/>
      <c r="B40" s="441"/>
      <c r="C40" s="439"/>
      <c r="D40" s="437"/>
      <c r="E40" s="437"/>
      <c r="F40" s="437"/>
      <c r="G40" s="437"/>
      <c r="H40" s="421"/>
      <c r="I40" s="442"/>
      <c r="J40" s="441"/>
      <c r="K40" s="441"/>
      <c r="L40" s="440"/>
      <c r="M40" s="440"/>
      <c r="N40" s="440"/>
      <c r="O40" s="272"/>
    </row>
    <row r="41" spans="1:15" s="427" customFormat="1" ht="16.149999999999999" customHeight="1">
      <c r="A41" s="442" t="s">
        <v>422</v>
      </c>
      <c r="B41" s="441"/>
      <c r="C41" s="441" t="e">
        <f>C39</f>
        <v>#N/A</v>
      </c>
      <c r="D41" s="440"/>
      <c r="E41" s="440"/>
      <c r="F41" s="440"/>
      <c r="G41" s="440"/>
      <c r="H41" s="421"/>
      <c r="I41" s="442" t="s">
        <v>422</v>
      </c>
      <c r="J41" s="441"/>
      <c r="K41" s="441" t="e">
        <f>K39</f>
        <v>#N/A</v>
      </c>
      <c r="L41" s="440"/>
      <c r="M41" s="440"/>
      <c r="N41" s="440"/>
      <c r="O41" s="272"/>
    </row>
    <row r="42" spans="1:15" s="427" customFormat="1" ht="16.149999999999999" customHeight="1">
      <c r="A42" s="421"/>
      <c r="B42" s="421"/>
      <c r="C42" s="431"/>
      <c r="D42" s="272"/>
      <c r="E42" s="272"/>
      <c r="F42" s="272"/>
      <c r="G42" s="272"/>
      <c r="H42" s="421"/>
      <c r="I42" s="421"/>
      <c r="J42" s="421"/>
      <c r="K42" s="431"/>
      <c r="L42" s="272"/>
      <c r="M42" s="272"/>
      <c r="N42" s="272"/>
      <c r="O42" s="272"/>
    </row>
    <row r="43" spans="1:15" s="427" customFormat="1" ht="28.15" customHeight="1">
      <c r="A43" s="421" t="s">
        <v>473</v>
      </c>
      <c r="B43" s="435" t="e">
        <f>$C$41</f>
        <v>#N/A</v>
      </c>
      <c r="C43" s="435" t="e">
        <f>IF(AND($D$7="IO",$D$8&gt;0),B43+$D$39,B43)</f>
        <v>#N/A</v>
      </c>
      <c r="D43" s="435" t="e">
        <f>IF($D$2="YES", C43+$E$39,C43)</f>
        <v>#N/A</v>
      </c>
      <c r="E43" s="435" t="e">
        <f>IF($D$3="yes",D43+$F$39,D43)</f>
        <v>#N/A</v>
      </c>
      <c r="H43" s="421"/>
      <c r="I43" s="421" t="s">
        <v>473</v>
      </c>
      <c r="J43" s="435" t="e">
        <f>$K$41</f>
        <v>#N/A</v>
      </c>
      <c r="K43" s="435" t="e">
        <f>IF(AND($D$7="IO",$D$8&gt;0),J43+$L$39,J43)</f>
        <v>#N/A</v>
      </c>
      <c r="L43" s="435" t="e">
        <f>IF($D$2="YES", K43+$M$39,K43)</f>
        <v>#N/A</v>
      </c>
      <c r="M43" s="435" t="e">
        <f>IF($D$3="yes",L43+$N$39,L43)</f>
        <v>#N/A</v>
      </c>
    </row>
    <row r="44" spans="1:15" s="427" customFormat="1" ht="16.149999999999999" customHeight="1">
      <c r="A44" s="421" t="s">
        <v>474</v>
      </c>
      <c r="B44" s="435" t="e">
        <f>$C$41</f>
        <v>#N/A</v>
      </c>
      <c r="C44" s="435" t="e">
        <f>IF(AND($D$7="IO",$D$8&gt;1),B44+$D$39,B44)</f>
        <v>#N/A</v>
      </c>
      <c r="D44" s="435" t="e">
        <f>IF($D$2="YES", C44+$E$39,C44)</f>
        <v>#N/A</v>
      </c>
      <c r="E44" s="435" t="e">
        <f>IF($D$3="yes",D44+$F$39,D44)</f>
        <v>#N/A</v>
      </c>
      <c r="H44" s="421"/>
      <c r="I44" s="421" t="s">
        <v>474</v>
      </c>
      <c r="J44" s="435" t="e">
        <f t="shared" ref="J44:J47" si="1">$K$41</f>
        <v>#N/A</v>
      </c>
      <c r="K44" s="435" t="e">
        <f>IF(AND($D$7="IO",$D$8&gt;1),J44+$L$39,J44)</f>
        <v>#N/A</v>
      </c>
      <c r="L44" s="435" t="e">
        <f>IF($D$2="YES", K44+$M$39,K44)</f>
        <v>#N/A</v>
      </c>
      <c r="M44" s="435" t="e">
        <f t="shared" ref="M44:M47" si="2">IF($D$3="yes",L44+$N$39,L44)</f>
        <v>#N/A</v>
      </c>
    </row>
    <row r="45" spans="1:15" s="427" customFormat="1" ht="16.149999999999999" customHeight="1">
      <c r="A45" s="421" t="s">
        <v>475</v>
      </c>
      <c r="B45" s="435" t="e">
        <f>$C$41</f>
        <v>#N/A</v>
      </c>
      <c r="C45" s="435" t="e">
        <f>IF(AND($D$7="IO",$D$8&gt;2),B45+$D$39,B45)</f>
        <v>#N/A</v>
      </c>
      <c r="D45" s="435" t="e">
        <f>IF($D$2="YES", C45+$E$39,C45)</f>
        <v>#N/A</v>
      </c>
      <c r="E45" s="435" t="e">
        <f>IF($D$3="yes",D45+$F$39,D45)</f>
        <v>#N/A</v>
      </c>
      <c r="H45" s="421"/>
      <c r="I45" s="421" t="s">
        <v>475</v>
      </c>
      <c r="J45" s="435" t="e">
        <f t="shared" si="1"/>
        <v>#N/A</v>
      </c>
      <c r="K45" s="435" t="e">
        <f>IF(AND($D$7="IO",$D$8&gt;2),J45+$L$39,J45)</f>
        <v>#N/A</v>
      </c>
      <c r="L45" s="435" t="e">
        <f t="shared" ref="L45:L47" si="3">IF($D$2="YES", K45+$M$39,K45)</f>
        <v>#N/A</v>
      </c>
      <c r="M45" s="435" t="e">
        <f t="shared" si="2"/>
        <v>#N/A</v>
      </c>
    </row>
    <row r="46" spans="1:15" s="427" customFormat="1" ht="16.149999999999999" customHeight="1">
      <c r="A46" s="421" t="s">
        <v>476</v>
      </c>
      <c r="B46" s="435" t="e">
        <f>$C$41</f>
        <v>#N/A</v>
      </c>
      <c r="C46" s="435" t="e">
        <f>IF(AND($D$7="IO",$D$8&gt;3),B46+$D$39,B46)</f>
        <v>#N/A</v>
      </c>
      <c r="D46" s="435" t="e">
        <f>IF($D$2="YES", C46+$E$39,C46)</f>
        <v>#N/A</v>
      </c>
      <c r="E46" s="435" t="e">
        <f>IF($D$3="yes",D46+$F$39,D46)</f>
        <v>#N/A</v>
      </c>
      <c r="H46" s="272"/>
      <c r="I46" s="421" t="s">
        <v>476</v>
      </c>
      <c r="J46" s="435" t="e">
        <f t="shared" si="1"/>
        <v>#N/A</v>
      </c>
      <c r="K46" s="435" t="e">
        <f>IF(AND($D$7="IO",$D$8&gt;3),J46+$L$39,J46)</f>
        <v>#N/A</v>
      </c>
      <c r="L46" s="435" t="e">
        <f t="shared" si="3"/>
        <v>#N/A</v>
      </c>
      <c r="M46" s="435" t="e">
        <f t="shared" si="2"/>
        <v>#N/A</v>
      </c>
    </row>
    <row r="47" spans="1:15" s="427" customFormat="1" ht="16.149999999999999" customHeight="1">
      <c r="A47" s="421" t="s">
        <v>477</v>
      </c>
      <c r="B47" s="435" t="e">
        <f>$C$41</f>
        <v>#N/A</v>
      </c>
      <c r="C47" s="435" t="e">
        <f>IF(AND($D$7="IO",$D$8&gt;4),B47+$D$39,B47)</f>
        <v>#N/A</v>
      </c>
      <c r="D47" s="435" t="e">
        <f>IF($D$2="YES", C47+$E$39,C47)</f>
        <v>#N/A</v>
      </c>
      <c r="E47" s="435" t="e">
        <f>IF($D$3="yes",D47+$F$39,D47)</f>
        <v>#N/A</v>
      </c>
      <c r="I47" s="421" t="s">
        <v>477</v>
      </c>
      <c r="J47" s="435" t="e">
        <f t="shared" si="1"/>
        <v>#N/A</v>
      </c>
      <c r="K47" s="435" t="e">
        <f>IF(AND($D$7="IO",$D$8&gt;4),J47+$L$39,J47)</f>
        <v>#N/A</v>
      </c>
      <c r="L47" s="435" t="e">
        <f t="shared" si="3"/>
        <v>#N/A</v>
      </c>
      <c r="M47" s="435" t="e">
        <f t="shared" si="2"/>
        <v>#N/A</v>
      </c>
    </row>
    <row r="48" spans="1:15" s="427" customFormat="1" ht="16.149999999999999" customHeight="1"/>
    <row r="49" spans="1:17" s="427" customFormat="1" ht="16.149999999999999" customHeight="1"/>
    <row r="50" spans="1:17" s="427" customFormat="1" ht="16.149999999999999" customHeight="1"/>
    <row r="51" spans="1:17" s="427" customFormat="1" ht="54" customHeight="1" thickBot="1">
      <c r="A51" s="1314" t="s">
        <v>483</v>
      </c>
      <c r="B51" s="1314"/>
      <c r="C51" s="425"/>
      <c r="D51" s="426">
        <v>0.65</v>
      </c>
      <c r="E51" s="426">
        <v>0.7</v>
      </c>
      <c r="F51" s="426">
        <v>0.75</v>
      </c>
      <c r="G51" s="425"/>
      <c r="I51" s="1314" t="s">
        <v>484</v>
      </c>
      <c r="J51" s="1314"/>
      <c r="K51" s="461"/>
      <c r="L51" s="462">
        <v>0.7</v>
      </c>
      <c r="M51" s="462">
        <v>0.75</v>
      </c>
      <c r="N51" s="462">
        <v>0.8</v>
      </c>
    </row>
    <row r="52" spans="1:17" s="427" customFormat="1" ht="16.149999999999999" customHeight="1">
      <c r="A52" s="428"/>
      <c r="B52" s="425"/>
      <c r="C52" s="429">
        <v>600000</v>
      </c>
      <c r="D52" s="463">
        <v>5.3600000000000002E-2</v>
      </c>
      <c r="E52" s="464">
        <v>5.6800000000000003E-2</v>
      </c>
      <c r="F52" s="465">
        <v>6.4799999999999996E-2</v>
      </c>
      <c r="G52" s="425"/>
      <c r="I52" s="428"/>
      <c r="J52" s="425"/>
      <c r="K52" s="466"/>
      <c r="L52" s="294">
        <f>'Comparison Calculator'!K6</f>
        <v>5.3600000000000002E-2</v>
      </c>
      <c r="M52" s="296">
        <f>'Comparison Calculator'!M6</f>
        <v>5.96E-2</v>
      </c>
      <c r="N52" s="425"/>
    </row>
    <row r="53" spans="1:17" s="427" customFormat="1" ht="16.149999999999999" customHeight="1">
      <c r="A53" s="428"/>
      <c r="B53" s="425"/>
      <c r="C53" s="429">
        <v>1500000</v>
      </c>
      <c r="D53" s="467">
        <v>5.6800000000000003E-2</v>
      </c>
      <c r="E53" s="468">
        <v>5.6800000000000003E-2</v>
      </c>
      <c r="F53" s="469">
        <v>6.4799999999999996E-2</v>
      </c>
      <c r="G53" s="425"/>
      <c r="I53" s="428"/>
      <c r="J53" s="425"/>
      <c r="K53" s="443"/>
      <c r="L53" s="301">
        <f>'Comparison Calculator'!K7</f>
        <v>5.96E-2</v>
      </c>
      <c r="M53" s="303">
        <f>'Comparison Calculator'!M7</f>
        <v>5.96E-2</v>
      </c>
      <c r="N53" s="425"/>
    </row>
    <row r="54" spans="1:17" s="427" customFormat="1" ht="16.149999999999999" customHeight="1" thickBot="1">
      <c r="A54" s="428"/>
      <c r="B54" s="425"/>
      <c r="C54" s="429">
        <v>2000000</v>
      </c>
      <c r="D54" s="470">
        <v>6.9800000000000001E-2</v>
      </c>
      <c r="E54" s="471">
        <v>6.9800000000000001E-2</v>
      </c>
      <c r="F54" s="472">
        <v>6.9800000000000001E-2</v>
      </c>
      <c r="G54" s="425"/>
      <c r="I54" s="428"/>
      <c r="J54" s="425"/>
      <c r="K54" s="443"/>
      <c r="L54" s="304">
        <f>'Comparison Calculator'!K8</f>
        <v>6.9599999999999995E-2</v>
      </c>
      <c r="M54" s="306">
        <f>'Comparison Calculator'!M8</f>
        <v>6.9599999999999995E-2</v>
      </c>
      <c r="N54" s="425"/>
    </row>
    <row r="55" spans="1:17" s="427" customFormat="1" ht="16.149999999999999" customHeight="1">
      <c r="A55" s="428"/>
      <c r="B55" s="425"/>
      <c r="C55" s="473"/>
      <c r="D55" s="425"/>
      <c r="E55" s="425"/>
      <c r="F55" s="425"/>
      <c r="G55" s="425"/>
      <c r="I55" s="428"/>
      <c r="J55" s="425"/>
      <c r="K55" s="474"/>
      <c r="L55" s="461"/>
      <c r="M55" s="461"/>
      <c r="N55" s="425"/>
    </row>
    <row r="56" spans="1:17" s="427" customFormat="1" ht="16.149999999999999" customHeight="1" thickBot="1">
      <c r="A56" s="428"/>
      <c r="B56" s="425"/>
      <c r="C56" s="475"/>
      <c r="D56" s="476" t="str">
        <f>IF(D6&lt;=D51, "1", "0")</f>
        <v>1</v>
      </c>
      <c r="E56" s="476" t="str">
        <f>IF(AND(D51&lt;$D$6,$D$6&lt;=E51), "1", "0")</f>
        <v>0</v>
      </c>
      <c r="F56" s="476" t="str">
        <f>IF(AND(E51&lt;$D$6,$D$6&lt;=F51), "1", "0")</f>
        <v>0</v>
      </c>
      <c r="G56" s="425"/>
      <c r="I56" s="428"/>
      <c r="J56" s="425"/>
      <c r="K56" s="477"/>
      <c r="L56" s="478" t="str">
        <f>IF(D6&lt;=L51, "1", "0")</f>
        <v>1</v>
      </c>
      <c r="M56" s="478" t="str">
        <f>IF(AND(L51&lt;$D$6,$D$6&lt;=M51), "1", "0")</f>
        <v>0</v>
      </c>
      <c r="N56" s="425"/>
    </row>
    <row r="57" spans="1:17">
      <c r="A57" s="428"/>
      <c r="B57" s="425"/>
      <c r="C57" s="425" t="str">
        <f>IF($C$1&lt;=C52,"1", "0")</f>
        <v>1</v>
      </c>
      <c r="D57" s="463">
        <f>D52</f>
        <v>5.3600000000000002E-2</v>
      </c>
      <c r="E57" s="464">
        <f t="shared" ref="E57:F57" si="4">E52</f>
        <v>5.6800000000000003E-2</v>
      </c>
      <c r="F57" s="465">
        <f t="shared" si="4"/>
        <v>6.4799999999999996E-2</v>
      </c>
      <c r="G57" s="426"/>
      <c r="I57" s="428"/>
      <c r="J57" s="425" t="s">
        <v>491</v>
      </c>
      <c r="K57" s="461" t="str">
        <f>IF(D4&lt;=K52,"1", "0")</f>
        <v>0</v>
      </c>
      <c r="L57" s="479">
        <f>L52</f>
        <v>5.3600000000000002E-2</v>
      </c>
      <c r="M57" s="480">
        <f>M52</f>
        <v>5.96E-2</v>
      </c>
      <c r="N57" s="426"/>
    </row>
    <row r="58" spans="1:17">
      <c r="A58" s="428"/>
      <c r="B58" s="425"/>
      <c r="C58" s="425" t="str">
        <f>IF(AND($C$1&gt;C52, $C$1&lt;=C53),"1", "0")</f>
        <v>0</v>
      </c>
      <c r="D58" s="467">
        <f t="shared" ref="D58:F59" si="5">D53</f>
        <v>5.6800000000000003E-2</v>
      </c>
      <c r="E58" s="426">
        <f t="shared" si="5"/>
        <v>5.6800000000000003E-2</v>
      </c>
      <c r="F58" s="469">
        <f t="shared" si="5"/>
        <v>6.4799999999999996E-2</v>
      </c>
      <c r="G58" s="426"/>
      <c r="I58" s="428"/>
      <c r="J58" s="481">
        <f>IF('Comparison Calculator'!E5="Yes",5.58%,5.28%)</f>
        <v>5.28E-2</v>
      </c>
      <c r="K58" s="425" t="str">
        <f>IF(AND($D$4&gt;K52, $D$4&lt;=K53),"1", "0")</f>
        <v>0</v>
      </c>
      <c r="L58" s="467">
        <f t="shared" ref="L58:M59" si="6">L53</f>
        <v>5.96E-2</v>
      </c>
      <c r="M58" s="469">
        <f t="shared" si="6"/>
        <v>5.96E-2</v>
      </c>
      <c r="N58" s="426"/>
    </row>
    <row r="59" spans="1:17" ht="16" thickBot="1">
      <c r="A59" s="428"/>
      <c r="B59" s="425"/>
      <c r="C59" s="425" t="str">
        <f>IF(AND($C$1&gt;C53, $C$1&lt;=C54),"1", "0")</f>
        <v>0</v>
      </c>
      <c r="D59" s="470">
        <f t="shared" si="5"/>
        <v>6.9800000000000001E-2</v>
      </c>
      <c r="E59" s="471">
        <f t="shared" si="5"/>
        <v>6.9800000000000001E-2</v>
      </c>
      <c r="F59" s="472">
        <f t="shared" si="5"/>
        <v>6.9800000000000001E-2</v>
      </c>
      <c r="G59" s="426"/>
      <c r="I59" s="428"/>
      <c r="J59" s="425"/>
      <c r="K59" s="425" t="str">
        <f>IF(AND($D$4&gt;K53, $D$4&lt;=K54),"1", "0")</f>
        <v>0</v>
      </c>
      <c r="L59" s="470">
        <f t="shared" si="6"/>
        <v>6.9599999999999995E-2</v>
      </c>
      <c r="M59" s="472">
        <f t="shared" si="6"/>
        <v>6.9599999999999995E-2</v>
      </c>
      <c r="N59" s="426"/>
    </row>
    <row r="60" spans="1:17">
      <c r="A60" s="428"/>
      <c r="B60" s="425"/>
      <c r="C60" s="425"/>
      <c r="D60" s="425"/>
      <c r="E60" s="425"/>
      <c r="F60" s="425"/>
      <c r="G60" s="425"/>
      <c r="I60" s="428"/>
      <c r="J60" s="425"/>
      <c r="K60" s="425"/>
      <c r="L60" s="425"/>
      <c r="M60" s="425"/>
      <c r="N60" s="425"/>
    </row>
    <row r="61" spans="1:17">
      <c r="A61" s="428"/>
      <c r="B61" s="425"/>
      <c r="C61" s="425"/>
      <c r="D61" s="425" t="s">
        <v>270</v>
      </c>
      <c r="E61" s="425"/>
      <c r="F61" s="425"/>
      <c r="G61" s="425"/>
      <c r="I61" s="428"/>
      <c r="J61" s="425"/>
      <c r="K61" s="425"/>
      <c r="L61" s="425" t="s">
        <v>375</v>
      </c>
      <c r="M61" s="425" t="s">
        <v>378</v>
      </c>
      <c r="N61" s="425" t="s">
        <v>492</v>
      </c>
      <c r="O61" s="421" t="s">
        <v>68</v>
      </c>
      <c r="P61" s="421" t="s">
        <v>493</v>
      </c>
    </row>
    <row r="62" spans="1:17">
      <c r="A62" s="428"/>
      <c r="B62" s="425"/>
      <c r="C62" s="426"/>
      <c r="D62" s="426">
        <v>3.0000000000000001E-3</v>
      </c>
      <c r="E62" s="425"/>
      <c r="F62" s="425"/>
      <c r="G62" s="425"/>
      <c r="I62" s="428"/>
      <c r="J62" s="425" t="s">
        <v>491</v>
      </c>
      <c r="K62" s="426"/>
      <c r="L62" s="481">
        <f>'Comparison Calculator'!K11</f>
        <v>3.0000000000000001E-3</v>
      </c>
      <c r="M62" s="481">
        <f>'Comparison Calculator'!K12</f>
        <v>3.0000000000000001E-3</v>
      </c>
      <c r="N62" s="777">
        <v>0.02</v>
      </c>
      <c r="O62" s="776">
        <v>3.0000000000000001E-3</v>
      </c>
      <c r="P62" s="421" t="str">
        <f>IF('Comparison Calculator'!E12=1,"12",IF('Comparison Calculator'!E12=2,"24",IF('Comparison Calculator'!E12=3,"36","0")))</f>
        <v>0</v>
      </c>
      <c r="Q62" s="421">
        <f>_xlfn.NUMBERVALUE(J63)</f>
        <v>7.2800000000000004E-2</v>
      </c>
    </row>
    <row r="63" spans="1:17">
      <c r="A63" s="428"/>
      <c r="B63" s="425"/>
      <c r="C63" s="482">
        <f>VLOOKUP("1",C57:F59,(MATCH("1",C56:F56,0)),FALSE)</f>
        <v>5.3600000000000002E-2</v>
      </c>
      <c r="D63" s="425"/>
      <c r="E63" s="425"/>
      <c r="F63" s="425"/>
      <c r="G63" s="425"/>
      <c r="I63" s="428">
        <f>(_xlfn.NUMBERVALUE(J63)/12)</f>
        <v>6.0666666666666673E-3</v>
      </c>
      <c r="J63" s="481">
        <f>IF('Comparison Calculator'!E10="I/O",J58+L62,J58)+IF('Comparison Calculator'!E9&gt;65%,+O62)+IF('Comparison Calculator'!E7&gt;1500000,+Rates!N62)</f>
        <v>7.2800000000000004E-2</v>
      </c>
      <c r="K63" s="482" t="e">
        <f>VLOOKUP("1",K57:M59,(MATCH("1",K56:M56,0)),FALSE)</f>
        <v>#N/A</v>
      </c>
      <c r="L63" s="425"/>
      <c r="M63" s="425"/>
      <c r="N63" s="425"/>
    </row>
    <row r="65" spans="1:15">
      <c r="A65" s="421" t="s">
        <v>473</v>
      </c>
      <c r="B65" s="435">
        <f>IF($D$7="IO", 5.68%, $C$63)</f>
        <v>5.3600000000000002E-2</v>
      </c>
      <c r="C65" s="435">
        <f>IF(AND($D$7="IO",$D$8&gt;0),B65+$D$62,B65)</f>
        <v>5.3600000000000002E-2</v>
      </c>
      <c r="H65" s="775">
        <v>1</v>
      </c>
      <c r="I65" s="421" t="s">
        <v>473</v>
      </c>
      <c r="J65" s="435" t="e">
        <f>IF(AND($D$2="No",$D$7="P&amp;I", $D$6&lt;=65%,$D$4&lt;=600000), 4.98%, $K$63)</f>
        <v>#N/A</v>
      </c>
      <c r="K65" s="435" t="e">
        <f>IF(AND($D$7="I/O",$D$8&gt;0),J65+$L$62,J65)</f>
        <v>#N/A</v>
      </c>
      <c r="L65" s="435" t="e">
        <f>IF($D$2="yes",K65+$M$62,K65)</f>
        <v>#N/A</v>
      </c>
      <c r="M65" s="421" t="s">
        <v>494</v>
      </c>
      <c r="O65" s="782" t="e">
        <f>('Comparison Calculator'!E7*(I63*POWER((1+I63),P62)))/(POWER((1+I63),P62)-1)</f>
        <v>#DIV/0!</v>
      </c>
    </row>
    <row r="66" spans="1:15">
      <c r="A66" s="421" t="s">
        <v>474</v>
      </c>
      <c r="B66" s="435">
        <f t="shared" ref="B66:B69" si="7">IF($D$7="IO", 5.68%, $C$63)</f>
        <v>5.3600000000000002E-2</v>
      </c>
      <c r="C66" s="435">
        <f>IF(AND($D$7="IO",$D$8&gt;1),B66+$D$62,B66)</f>
        <v>5.3600000000000002E-2</v>
      </c>
      <c r="H66" s="775">
        <v>2</v>
      </c>
      <c r="I66" s="421" t="s">
        <v>474</v>
      </c>
      <c r="J66" s="435" t="e">
        <f>IF(AND($D$2="No",$D$7="P&amp;I", $D$6&lt;=65%,$D$4&lt;=600000), 4.98%, $K$63)</f>
        <v>#N/A</v>
      </c>
      <c r="K66" s="435" t="e">
        <f>IF(AND($D$7="I/O",$D$8&gt;1),J66+$L$62,J66)</f>
        <v>#N/A</v>
      </c>
      <c r="L66" s="435" t="e">
        <f>IF($D$2="yes",K66+$M$62,K66)</f>
        <v>#N/A</v>
      </c>
    </row>
    <row r="67" spans="1:15">
      <c r="A67" s="421" t="s">
        <v>475</v>
      </c>
      <c r="B67" s="435">
        <f t="shared" si="7"/>
        <v>5.3600000000000002E-2</v>
      </c>
      <c r="C67" s="435">
        <f>IF(AND($D$7="IO",$D$8&gt;2),B67+$D$62,B67)</f>
        <v>5.3600000000000002E-2</v>
      </c>
      <c r="H67" s="775">
        <v>3</v>
      </c>
      <c r="I67" s="421" t="s">
        <v>475</v>
      </c>
      <c r="J67" s="435" t="e">
        <f>IF(AND($D$2="No",$D$7="P&amp;I", $D$6&lt;=65%,$D$4&lt;=600000), 4.98%, $K$63)</f>
        <v>#N/A</v>
      </c>
      <c r="K67" s="435" t="e">
        <f>IF(AND($D$7="I/O",$D$8&gt;2),J67+$L$62,J67)</f>
        <v>#N/A</v>
      </c>
      <c r="L67" s="435" t="e">
        <f>IF($D$2="yes",K67+$M$62,K67)</f>
        <v>#N/A</v>
      </c>
    </row>
    <row r="68" spans="1:15">
      <c r="A68" s="421" t="s">
        <v>476</v>
      </c>
      <c r="B68" s="435">
        <f t="shared" si="7"/>
        <v>5.3600000000000002E-2</v>
      </c>
      <c r="C68" s="435">
        <f>IF(AND($D$7="IO",$D$8&gt;3),B68+$D$62,B68)</f>
        <v>5.3600000000000002E-2</v>
      </c>
      <c r="H68" s="775">
        <v>4</v>
      </c>
      <c r="I68" s="421" t="s">
        <v>476</v>
      </c>
      <c r="J68" s="435" t="e">
        <f>IF(AND($D$2="No",$D$7="P&amp;I", $D$6&lt;=65%,$D$4&lt;=600000), 4.98%, $K$63)</f>
        <v>#N/A</v>
      </c>
      <c r="K68" s="435" t="e">
        <f>IF(AND($D$7="I/O",$D$8&gt;3),J68+$L$62,J68)</f>
        <v>#N/A</v>
      </c>
      <c r="L68" s="435" t="e">
        <f t="shared" ref="L68:L69" si="8">IF($D$2="yes",K68+$M$62,K68)</f>
        <v>#N/A</v>
      </c>
    </row>
    <row r="69" spans="1:15">
      <c r="A69" s="421" t="s">
        <v>477</v>
      </c>
      <c r="B69" s="435">
        <f t="shared" si="7"/>
        <v>5.3600000000000002E-2</v>
      </c>
      <c r="C69" s="435">
        <f>IF(AND($D$7="IO",$D$8&gt;4),B69+$D$62,B69)</f>
        <v>5.3600000000000002E-2</v>
      </c>
      <c r="H69" s="775">
        <v>5</v>
      </c>
      <c r="I69" s="421" t="s">
        <v>477</v>
      </c>
      <c r="J69" s="435" t="e">
        <f>IF(AND($D$2="No",$D$7="P&amp;I", $D$6&lt;=65%,$D$4&lt;=600000), 4.98%, $K$63)</f>
        <v>#N/A</v>
      </c>
      <c r="K69" s="435" t="e">
        <f>IF(AND($D$7="I/O",$D$8&gt;4),J69+$L$62,J69)</f>
        <v>#N/A</v>
      </c>
      <c r="L69" s="435" t="e">
        <f t="shared" si="8"/>
        <v>#N/A</v>
      </c>
    </row>
    <row r="74" spans="1:15" ht="28.15" customHeight="1">
      <c r="A74" s="1314" t="s">
        <v>485</v>
      </c>
      <c r="B74" s="1314"/>
      <c r="C74" s="425"/>
      <c r="D74" s="426">
        <v>0.65</v>
      </c>
      <c r="E74" s="426">
        <v>0.7</v>
      </c>
      <c r="F74" s="425"/>
      <c r="H74" s="1314" t="s">
        <v>486</v>
      </c>
      <c r="I74" s="1314"/>
      <c r="J74" s="425"/>
      <c r="K74" s="426">
        <v>0.65</v>
      </c>
      <c r="L74" s="426">
        <v>0.7</v>
      </c>
    </row>
    <row r="75" spans="1:15">
      <c r="A75" s="428"/>
      <c r="B75" s="425"/>
      <c r="C75" s="429">
        <v>600000</v>
      </c>
      <c r="D75" s="426">
        <f>'Comparison Calculator'!$W$6</f>
        <v>4.48E-2</v>
      </c>
      <c r="E75" s="426">
        <f>'Comparison Calculator'!$Y$6</f>
        <v>6.4799999999999996E-2</v>
      </c>
      <c r="F75" s="425"/>
      <c r="H75" s="428"/>
      <c r="I75" s="425"/>
      <c r="J75" s="429">
        <v>600000</v>
      </c>
      <c r="K75" s="426">
        <f>'Comparison Calculator'!AC6</f>
        <v>4.48E-2</v>
      </c>
      <c r="L75" s="426">
        <f>'Comparison Calculator'!AD6</f>
        <v>6.4799999999999996E-2</v>
      </c>
    </row>
    <row r="76" spans="1:15">
      <c r="B76" s="272"/>
      <c r="C76" s="483">
        <v>2000000</v>
      </c>
      <c r="D76" s="431">
        <f>'Comparison Calculator'!$W$7</f>
        <v>6.4799999999999996E-2</v>
      </c>
      <c r="E76" s="431">
        <f>'Comparison Calculator'!$Y$7</f>
        <v>6.4799999999999996E-2</v>
      </c>
      <c r="F76" s="272"/>
      <c r="I76" s="272"/>
      <c r="J76" s="483">
        <v>2000000</v>
      </c>
      <c r="K76" s="431">
        <f>'Comparison Calculator'!AC7</f>
        <v>6.4799999999999996E-2</v>
      </c>
      <c r="L76" s="431">
        <f>'Comparison Calculator'!AD7</f>
        <v>6.4799999999999996E-2</v>
      </c>
    </row>
    <row r="77" spans="1:15">
      <c r="B77" s="272"/>
      <c r="C77" s="432"/>
      <c r="D77" s="272"/>
      <c r="E77" s="272"/>
      <c r="F77" s="272"/>
      <c r="I77" s="272"/>
      <c r="J77" s="432"/>
      <c r="K77" s="272"/>
      <c r="L77" s="272"/>
    </row>
    <row r="78" spans="1:15">
      <c r="B78" s="272"/>
      <c r="C78" s="433"/>
      <c r="D78" s="434" t="str">
        <f>IF($D$6&lt;=D74, "1", "0")</f>
        <v>1</v>
      </c>
      <c r="E78" s="434" t="str">
        <f>IF(AND(D74&lt;$D$6,$D$6&lt;=E74), "1", "0")</f>
        <v>0</v>
      </c>
      <c r="F78" s="272"/>
      <c r="I78" s="272"/>
      <c r="J78" s="433"/>
      <c r="K78" s="434" t="str">
        <f>IF($D$6&lt;=K74, "1", "0")</f>
        <v>1</v>
      </c>
      <c r="L78" s="434" t="str">
        <f>IF(AND(K74&lt;$D$6,$D$6&lt;=L74), "1", "0")</f>
        <v>0</v>
      </c>
    </row>
    <row r="79" spans="1:15">
      <c r="B79" s="272"/>
      <c r="C79" s="272" t="str">
        <f>IF($D$4&lt;=C75,"1", "0")</f>
        <v>0</v>
      </c>
      <c r="D79" s="431">
        <f>$D$12</f>
        <v>4.48E-2</v>
      </c>
      <c r="E79" s="431">
        <f>$E$12</f>
        <v>6.4799999999999996E-2</v>
      </c>
      <c r="F79" s="272"/>
      <c r="I79" s="272"/>
      <c r="J79" s="272" t="str">
        <f>IF($D$4&lt;=J75,"1", "0")</f>
        <v>0</v>
      </c>
      <c r="K79" s="431">
        <f>$D$12</f>
        <v>4.48E-2</v>
      </c>
      <c r="L79" s="431">
        <f>$E$12</f>
        <v>6.4799999999999996E-2</v>
      </c>
    </row>
    <row r="80" spans="1:15">
      <c r="B80" s="272"/>
      <c r="C80" s="272" t="str">
        <f>IF(AND($D$4&gt;C75, $D$4&lt;=C76),"1", "0")</f>
        <v>1</v>
      </c>
      <c r="D80" s="431">
        <f>$D$13</f>
        <v>6.4799999999999996E-2</v>
      </c>
      <c r="E80" s="431">
        <f>$E$13</f>
        <v>6.4799999999999996E-2</v>
      </c>
      <c r="F80" s="431"/>
      <c r="I80" s="272"/>
      <c r="J80" s="272" t="str">
        <f>IF(AND($D$4&gt;J75, $D$4&lt;=J76),"1", "0")</f>
        <v>1</v>
      </c>
      <c r="K80" s="431">
        <f>$D$13</f>
        <v>6.4799999999999996E-2</v>
      </c>
      <c r="L80" s="431">
        <f>$E$13</f>
        <v>6.4799999999999996E-2</v>
      </c>
    </row>
    <row r="81" spans="1:12">
      <c r="B81" s="272"/>
      <c r="C81" s="272"/>
      <c r="D81" s="272"/>
      <c r="E81" s="272"/>
      <c r="F81" s="431"/>
      <c r="I81" s="272"/>
      <c r="J81" s="272"/>
      <c r="K81" s="272"/>
      <c r="L81" s="272"/>
    </row>
    <row r="82" spans="1:12">
      <c r="A82" s="421" t="s">
        <v>372</v>
      </c>
      <c r="B82" s="272" t="s">
        <v>375</v>
      </c>
      <c r="C82" s="272"/>
      <c r="D82" s="272"/>
      <c r="E82" s="272"/>
      <c r="F82" s="431"/>
      <c r="H82" s="421" t="s">
        <v>372</v>
      </c>
      <c r="I82" s="272" t="s">
        <v>375</v>
      </c>
      <c r="J82" s="272"/>
      <c r="K82" s="272" t="s">
        <v>378</v>
      </c>
      <c r="L82" s="272"/>
    </row>
    <row r="83" spans="1:12">
      <c r="B83" s="275">
        <v>3.0000000000000001E-3</v>
      </c>
      <c r="C83" s="431"/>
      <c r="D83" s="431"/>
      <c r="E83" s="272"/>
      <c r="F83" s="272"/>
      <c r="I83" s="275">
        <v>3.0000000000000001E-3</v>
      </c>
      <c r="J83" s="431"/>
      <c r="K83" s="431">
        <v>3.0000000000000001E-3</v>
      </c>
      <c r="L83" s="272"/>
    </row>
    <row r="84" spans="1:12" ht="16" thickBot="1">
      <c r="B84" s="272"/>
      <c r="C84" s="431"/>
      <c r="D84" s="272"/>
      <c r="E84" s="272"/>
      <c r="F84" s="272"/>
      <c r="I84" s="272"/>
      <c r="J84" s="431"/>
      <c r="K84" s="272"/>
      <c r="L84" s="272"/>
    </row>
    <row r="85" spans="1:12" ht="29" thickBot="1">
      <c r="A85" s="421" t="s">
        <v>473</v>
      </c>
      <c r="B85" s="484">
        <f>VLOOKUP("1",C79:E80,(MATCH("1",C78:E78,0)),FALSE)</f>
        <v>6.4799999999999996E-2</v>
      </c>
      <c r="C85" s="435">
        <f>IF(AND($D$7="IO",$D$8&gt;0),B85+$B$83,B85)</f>
        <v>6.4799999999999996E-2</v>
      </c>
      <c r="D85" s="435"/>
      <c r="E85" s="427"/>
      <c r="F85" s="427"/>
      <c r="H85" s="421" t="s">
        <v>473</v>
      </c>
      <c r="I85" s="484">
        <f>VLOOKUP("1",J79:L80,(MATCH("1",J78:L78,0)),FALSE)</f>
        <v>6.4799999999999996E-2</v>
      </c>
      <c r="J85" s="435">
        <f>IF(AND($D$7="IO",$D$8&gt;0),I85+$I$83,I85)</f>
        <v>6.4799999999999996E-2</v>
      </c>
      <c r="K85" s="435">
        <f>IF($D$2="YES", J85+$K$83, J85)</f>
        <v>6.4799999999999996E-2</v>
      </c>
      <c r="L85" s="427"/>
    </row>
    <row r="86" spans="1:12" ht="28.5">
      <c r="A86" s="421" t="s">
        <v>474</v>
      </c>
      <c r="B86" s="435">
        <v>6.4799999999999996E-2</v>
      </c>
      <c r="C86" s="435">
        <f>IF(AND($D$7="IO",$D$8&gt;1),B86+$B$83,B86)</f>
        <v>6.4799999999999996E-2</v>
      </c>
      <c r="D86" s="435"/>
      <c r="E86" s="427"/>
      <c r="F86" s="427"/>
      <c r="H86" s="421" t="s">
        <v>474</v>
      </c>
      <c r="I86" s="435">
        <v>6.4799999999999996E-2</v>
      </c>
      <c r="J86" s="435">
        <f>IF(AND($D$7="IO",$D$8&gt;1),I86+$I$83,I86)</f>
        <v>6.4799999999999996E-2</v>
      </c>
      <c r="K86" s="435">
        <f t="shared" ref="K86:K89" si="9">IF($D$2="YES", J86+$K$83, J86)</f>
        <v>6.4799999999999996E-2</v>
      </c>
      <c r="L86" s="427"/>
    </row>
    <row r="87" spans="1:12" ht="28.5">
      <c r="A87" s="421" t="s">
        <v>475</v>
      </c>
      <c r="B87" s="435">
        <v>6.4799999999999996E-2</v>
      </c>
      <c r="C87" s="435">
        <f>IF(AND($D$7="IO",$D$8&gt;2),B87+$B$83,B87)</f>
        <v>6.4799999999999996E-2</v>
      </c>
      <c r="D87" s="435"/>
      <c r="E87" s="427"/>
      <c r="F87" s="427"/>
      <c r="H87" s="421" t="s">
        <v>475</v>
      </c>
      <c r="I87" s="435">
        <v>6.4799999999999996E-2</v>
      </c>
      <c r="J87" s="435">
        <f>IF(AND($D$7="IO",$D$8&gt;2),I87+$I$83,I87)</f>
        <v>6.4799999999999996E-2</v>
      </c>
      <c r="K87" s="435">
        <f t="shared" si="9"/>
        <v>6.4799999999999996E-2</v>
      </c>
      <c r="L87" s="427"/>
    </row>
    <row r="88" spans="1:12">
      <c r="A88" s="421" t="s">
        <v>476</v>
      </c>
      <c r="B88" s="435">
        <v>6.4799999999999996E-2</v>
      </c>
      <c r="C88" s="435">
        <f>IF(AND($D$7="IO",$D$8&gt;3),B88+$B$83,B88)</f>
        <v>6.4799999999999996E-2</v>
      </c>
      <c r="D88" s="435"/>
      <c r="E88" s="436"/>
      <c r="F88" s="436"/>
      <c r="H88" s="421" t="s">
        <v>476</v>
      </c>
      <c r="I88" s="435">
        <v>6.4799999999999996E-2</v>
      </c>
      <c r="J88" s="435">
        <f>IF(AND($D$7="IO",$D$8&gt;3),I88+$I$83,I88)</f>
        <v>6.4799999999999996E-2</v>
      </c>
      <c r="K88" s="435">
        <f t="shared" si="9"/>
        <v>6.4799999999999996E-2</v>
      </c>
      <c r="L88" s="436"/>
    </row>
    <row r="89" spans="1:12" ht="28.5">
      <c r="A89" s="421" t="s">
        <v>477</v>
      </c>
      <c r="B89" s="435">
        <v>6.4799999999999996E-2</v>
      </c>
      <c r="C89" s="435">
        <f>IF(AND($D$7="IO",$D$8&gt;4),B89+$B$83,B89)</f>
        <v>6.4799999999999996E-2</v>
      </c>
      <c r="D89" s="435"/>
      <c r="E89" s="427"/>
      <c r="F89" s="427"/>
      <c r="H89" s="421" t="s">
        <v>477</v>
      </c>
      <c r="I89" s="435">
        <v>6.4799999999999996E-2</v>
      </c>
      <c r="J89" s="435">
        <f>IF(AND($D$7="IO",$D$8&gt;4),I89+$I$83,I89)</f>
        <v>6.4799999999999996E-2</v>
      </c>
      <c r="K89" s="435">
        <f t="shared" si="9"/>
        <v>6.4799999999999996E-2</v>
      </c>
      <c r="L89" s="427"/>
    </row>
    <row r="90" spans="1:12">
      <c r="J90" s="485"/>
    </row>
    <row r="93" spans="1:12" ht="28.5">
      <c r="A93" s="1314" t="s">
        <v>338</v>
      </c>
      <c r="B93" s="1314"/>
      <c r="C93" s="425"/>
      <c r="D93" s="426">
        <v>0.65</v>
      </c>
      <c r="E93" s="426">
        <v>0.75</v>
      </c>
      <c r="F93" s="425"/>
    </row>
    <row r="94" spans="1:12">
      <c r="A94" s="428"/>
      <c r="B94" s="425"/>
      <c r="C94" s="429">
        <v>600000</v>
      </c>
      <c r="D94" s="426">
        <f>'Comparison Calculator'!$W$6</f>
        <v>4.48E-2</v>
      </c>
      <c r="E94" s="426">
        <v>6.3799999999999996E-2</v>
      </c>
      <c r="F94" s="425"/>
    </row>
    <row r="95" spans="1:12">
      <c r="B95" s="272"/>
      <c r="C95" s="430">
        <v>1500000</v>
      </c>
      <c r="D95" s="431">
        <v>6.3799999999999996E-2</v>
      </c>
      <c r="E95" s="431">
        <v>6.3799999999999996E-2</v>
      </c>
      <c r="F95" s="272"/>
    </row>
    <row r="96" spans="1:12">
      <c r="B96" s="272"/>
      <c r="C96" s="432"/>
      <c r="D96" s="272"/>
      <c r="E96" s="272"/>
      <c r="F96" s="272"/>
    </row>
    <row r="97" spans="1:6">
      <c r="B97" s="272"/>
      <c r="C97" s="433"/>
      <c r="D97" s="434" t="str">
        <f>IF($D$6&lt;=D93, "1", "0")</f>
        <v>1</v>
      </c>
      <c r="E97" s="434" t="str">
        <f>IF(AND(D93&lt;$D$6,$D$6&lt;=E93), "1", "0")</f>
        <v>0</v>
      </c>
      <c r="F97" s="272"/>
    </row>
    <row r="98" spans="1:6">
      <c r="B98" s="272"/>
      <c r="C98" s="272" t="str">
        <f>IF($D$4&lt;=C94,"1", "0")</f>
        <v>0</v>
      </c>
      <c r="D98" s="431">
        <f>D94</f>
        <v>4.48E-2</v>
      </c>
      <c r="E98" s="431">
        <f>E94</f>
        <v>6.3799999999999996E-2</v>
      </c>
      <c r="F98" s="272"/>
    </row>
    <row r="99" spans="1:6">
      <c r="B99" s="272"/>
      <c r="C99" s="272" t="str">
        <f>IF(AND($D$4&gt;C94, $D$4&lt;=C95),"1", "0")</f>
        <v>0</v>
      </c>
      <c r="D99" s="431">
        <f>D95</f>
        <v>6.3799999999999996E-2</v>
      </c>
      <c r="E99" s="431">
        <f>E95</f>
        <v>6.3799999999999996E-2</v>
      </c>
      <c r="F99" s="431"/>
    </row>
    <row r="100" spans="1:6">
      <c r="B100" s="272"/>
      <c r="C100" s="272"/>
      <c r="D100" s="272"/>
      <c r="E100" s="272"/>
      <c r="F100" s="431"/>
    </row>
    <row r="101" spans="1:6">
      <c r="A101" s="421" t="s">
        <v>372</v>
      </c>
      <c r="B101" s="272" t="s">
        <v>375</v>
      </c>
      <c r="C101" s="272" t="s">
        <v>378</v>
      </c>
      <c r="D101" s="272"/>
      <c r="E101" s="272"/>
      <c r="F101" s="431"/>
    </row>
    <row r="102" spans="1:6">
      <c r="B102" s="275">
        <v>3.0000000000000001E-3</v>
      </c>
      <c r="C102" s="431">
        <v>0</v>
      </c>
      <c r="D102" s="431"/>
      <c r="E102" s="272"/>
      <c r="F102" s="272"/>
    </row>
    <row r="103" spans="1:6">
      <c r="B103" s="272"/>
      <c r="C103" s="431"/>
      <c r="D103" s="272"/>
      <c r="E103" s="272"/>
      <c r="F103" s="272"/>
    </row>
    <row r="104" spans="1:6" ht="28.5">
      <c r="A104" s="421" t="s">
        <v>473</v>
      </c>
      <c r="B104" s="435" t="e">
        <f>VLOOKUP("1",C98:E99,(MATCH("1",C97:E97,0)),FALSE)</f>
        <v>#N/A</v>
      </c>
      <c r="C104" s="435" t="e">
        <f>IF(AND($D$7="IO",$D$8&gt;0),B104+$B$102,B104)</f>
        <v>#N/A</v>
      </c>
      <c r="D104" s="435"/>
      <c r="E104" s="427"/>
      <c r="F104" s="427"/>
    </row>
    <row r="105" spans="1:6" ht="28.5">
      <c r="A105" s="421" t="s">
        <v>474</v>
      </c>
      <c r="B105" s="435">
        <v>6.3799999999999996E-2</v>
      </c>
      <c r="C105" s="435">
        <f>IF(AND($D$7="IO",$D$8&gt;1),B105+$B$102,B105)</f>
        <v>6.3799999999999996E-2</v>
      </c>
      <c r="D105" s="435"/>
      <c r="E105" s="427"/>
      <c r="F105" s="427"/>
    </row>
    <row r="106" spans="1:6" ht="28.5">
      <c r="A106" s="421" t="s">
        <v>475</v>
      </c>
      <c r="B106" s="435">
        <v>6.3799999999999996E-2</v>
      </c>
      <c r="C106" s="435">
        <f>IF(AND($D$7="IO",$D$8&gt;2),B106+$B$102,B106)</f>
        <v>6.3799999999999996E-2</v>
      </c>
      <c r="D106" s="435"/>
      <c r="E106" s="427"/>
      <c r="F106" s="427"/>
    </row>
    <row r="107" spans="1:6">
      <c r="A107" s="421" t="s">
        <v>476</v>
      </c>
      <c r="B107" s="435">
        <v>6.3799999999999996E-2</v>
      </c>
      <c r="C107" s="435">
        <f>IF(AND($D$7="IO",$D$8&gt;3),B107+$B$102,B107)</f>
        <v>6.3799999999999996E-2</v>
      </c>
      <c r="D107" s="435"/>
      <c r="E107" s="436"/>
      <c r="F107" s="436"/>
    </row>
    <row r="108" spans="1:6" ht="28.5">
      <c r="A108" s="421" t="s">
        <v>477</v>
      </c>
      <c r="B108" s="435">
        <v>6.3799999999999996E-2</v>
      </c>
      <c r="C108" s="435">
        <f>IF(AND($D$7="IO",$D$8&gt;4),B108+$B$102,B108)</f>
        <v>6.3799999999999996E-2</v>
      </c>
      <c r="D108" s="435"/>
      <c r="E108" s="427"/>
      <c r="F108" s="427"/>
    </row>
    <row r="112" spans="1:6" ht="16" thickBot="1">
      <c r="A112" s="1315" t="s">
        <v>339</v>
      </c>
      <c r="B112" s="1315"/>
      <c r="C112" s="440"/>
      <c r="D112" s="486">
        <v>0.65</v>
      </c>
      <c r="E112" s="441">
        <v>0.75</v>
      </c>
      <c r="F112" s="440"/>
    </row>
    <row r="113" spans="1:6">
      <c r="A113" s="442"/>
      <c r="B113" s="440"/>
      <c r="C113" s="429">
        <v>600000</v>
      </c>
      <c r="D113" s="447">
        <v>6.3799999999999996E-2</v>
      </c>
      <c r="E113" s="448">
        <v>6.5799999999999997E-2</v>
      </c>
      <c r="F113" s="440"/>
    </row>
    <row r="114" spans="1:6" ht="16" thickBot="1">
      <c r="A114" s="442"/>
      <c r="B114" s="440"/>
      <c r="C114" s="429">
        <v>1500000</v>
      </c>
      <c r="D114" s="452">
        <v>6.5799999999999997E-2</v>
      </c>
      <c r="E114" s="453">
        <v>6.7799999999999999E-2</v>
      </c>
      <c r="F114" s="440"/>
    </row>
    <row r="115" spans="1:6">
      <c r="A115" s="442"/>
      <c r="B115" s="440"/>
      <c r="C115" s="455"/>
      <c r="D115" s="440"/>
      <c r="E115" s="440"/>
      <c r="F115" s="440"/>
    </row>
    <row r="116" spans="1:6" ht="16" thickBot="1">
      <c r="A116" s="442"/>
      <c r="B116" s="440"/>
      <c r="C116" s="458"/>
      <c r="D116" s="1021" t="str">
        <f>IF($D$6&lt;=D112, "1", "0")</f>
        <v>1</v>
      </c>
      <c r="E116" s="1021" t="str">
        <f>IF(AND(D112&lt;$D$6,$D$6&lt;=E112), "1", "0")</f>
        <v>0</v>
      </c>
      <c r="F116" s="441"/>
    </row>
    <row r="117" spans="1:6">
      <c r="A117" s="442"/>
      <c r="B117" s="440"/>
      <c r="C117" s="440" t="str">
        <f>IF($D$4&lt;=C113,"1", "0")</f>
        <v>0</v>
      </c>
      <c r="D117" s="447">
        <f>D113</f>
        <v>6.3799999999999996E-2</v>
      </c>
      <c r="E117" s="448">
        <f>E113</f>
        <v>6.5799999999999997E-2</v>
      </c>
      <c r="F117" s="441"/>
    </row>
    <row r="118" spans="1:6" ht="16" thickBot="1">
      <c r="A118" s="442"/>
      <c r="B118" s="440"/>
      <c r="C118" s="440" t="str">
        <f>IF(AND($D$4&gt;C113, $D$4&lt;=C114),"1", "0")</f>
        <v>0</v>
      </c>
      <c r="D118" s="452">
        <f>D114</f>
        <v>6.5799999999999997E-2</v>
      </c>
      <c r="E118" s="453">
        <f>E114</f>
        <v>6.7799999999999999E-2</v>
      </c>
      <c r="F118" s="440"/>
    </row>
    <row r="119" spans="1:6">
      <c r="A119" s="442"/>
      <c r="B119" s="442"/>
      <c r="C119" s="440"/>
      <c r="D119" s="440"/>
      <c r="E119" s="440"/>
      <c r="F119" s="440"/>
    </row>
    <row r="120" spans="1:6">
      <c r="A120" s="442"/>
      <c r="B120" s="442"/>
      <c r="C120" s="440" t="s">
        <v>235</v>
      </c>
      <c r="D120" s="440" t="s">
        <v>270</v>
      </c>
      <c r="E120" s="440" t="s">
        <v>481</v>
      </c>
      <c r="F120" s="440" t="s">
        <v>490</v>
      </c>
    </row>
    <row r="121" spans="1:6">
      <c r="A121" s="442"/>
      <c r="B121" s="441"/>
      <c r="C121" s="441" t="e">
        <f>VLOOKUP("1",C117:E118,(MATCH("1",C116:E116,0)),FALSE)</f>
        <v>#N/A</v>
      </c>
      <c r="D121" s="441">
        <v>0</v>
      </c>
      <c r="E121" s="460">
        <f>'Comparison Calculator'!J86</f>
        <v>0</v>
      </c>
      <c r="F121" s="460">
        <f>'Comparison Calculator'!J87</f>
        <v>0</v>
      </c>
    </row>
    <row r="122" spans="1:6">
      <c r="A122" s="442"/>
      <c r="B122" s="441"/>
      <c r="C122" s="441"/>
      <c r="D122" s="440"/>
      <c r="E122" s="440"/>
      <c r="F122" s="440"/>
    </row>
    <row r="123" spans="1:6">
      <c r="A123" s="442" t="s">
        <v>422</v>
      </c>
      <c r="B123" s="441"/>
      <c r="C123" s="441" t="e">
        <f>C121</f>
        <v>#N/A</v>
      </c>
      <c r="D123" s="440"/>
      <c r="E123" s="440"/>
      <c r="F123" s="440"/>
    </row>
    <row r="124" spans="1:6">
      <c r="C124" s="431"/>
      <c r="D124" s="272"/>
      <c r="E124" s="272"/>
      <c r="F124" s="272"/>
    </row>
    <row r="125" spans="1:6" ht="28.5">
      <c r="A125" s="421" t="s">
        <v>473</v>
      </c>
      <c r="B125" s="435" t="e">
        <f>$C$123</f>
        <v>#N/A</v>
      </c>
      <c r="C125" s="435"/>
      <c r="D125" s="435"/>
      <c r="E125" s="435"/>
      <c r="F125" s="427"/>
    </row>
    <row r="126" spans="1:6" ht="28.5">
      <c r="A126" s="421" t="s">
        <v>474</v>
      </c>
      <c r="B126" s="435" t="e">
        <f t="shared" ref="B126:B129" si="10">$C$123</f>
        <v>#N/A</v>
      </c>
      <c r="C126" s="435"/>
      <c r="D126" s="435"/>
      <c r="E126" s="435"/>
      <c r="F126" s="427"/>
    </row>
    <row r="127" spans="1:6" ht="28.5">
      <c r="A127" s="421" t="s">
        <v>475</v>
      </c>
      <c r="B127" s="435" t="e">
        <f t="shared" si="10"/>
        <v>#N/A</v>
      </c>
      <c r="C127" s="435"/>
      <c r="D127" s="435"/>
      <c r="E127" s="435"/>
      <c r="F127" s="427"/>
    </row>
    <row r="128" spans="1:6" ht="28.5">
      <c r="A128" s="421" t="s">
        <v>476</v>
      </c>
      <c r="B128" s="435" t="e">
        <f t="shared" si="10"/>
        <v>#N/A</v>
      </c>
      <c r="C128" s="435"/>
      <c r="D128" s="435"/>
      <c r="E128" s="435"/>
      <c r="F128" s="427"/>
    </row>
    <row r="129" spans="1:6" ht="28.5">
      <c r="A129" s="421" t="s">
        <v>477</v>
      </c>
      <c r="B129" s="435" t="e">
        <f t="shared" si="10"/>
        <v>#N/A</v>
      </c>
      <c r="C129" s="435"/>
      <c r="D129" s="435"/>
      <c r="E129" s="435"/>
      <c r="F129" s="427"/>
    </row>
    <row r="133" spans="1:6" ht="28.5">
      <c r="A133" s="1314" t="s">
        <v>340</v>
      </c>
      <c r="B133" s="1314"/>
      <c r="C133" s="425"/>
      <c r="D133" s="426">
        <v>0.65</v>
      </c>
      <c r="E133" s="426">
        <v>0.75</v>
      </c>
      <c r="F133" s="425"/>
    </row>
    <row r="134" spans="1:6">
      <c r="A134" s="428"/>
      <c r="B134" s="425"/>
      <c r="C134" s="429">
        <v>600000</v>
      </c>
      <c r="D134" s="426">
        <v>4.9799999999999997E-2</v>
      </c>
      <c r="E134" s="426">
        <v>5.28E-2</v>
      </c>
      <c r="F134" s="425"/>
    </row>
    <row r="135" spans="1:6">
      <c r="B135" s="272"/>
      <c r="C135" s="430">
        <v>1500000</v>
      </c>
      <c r="D135" s="431">
        <v>4.9799999999999997E-2</v>
      </c>
      <c r="E135" s="431">
        <v>5.28E-2</v>
      </c>
      <c r="F135" s="272"/>
    </row>
    <row r="136" spans="1:6">
      <c r="B136" s="272"/>
      <c r="C136" s="432"/>
      <c r="D136" s="272"/>
      <c r="E136" s="272"/>
      <c r="F136" s="272"/>
    </row>
    <row r="137" spans="1:6">
      <c r="B137" s="272"/>
      <c r="C137" s="433"/>
      <c r="D137" s="434" t="str">
        <f>IF($D$6&lt;=D133, "1", "0")</f>
        <v>1</v>
      </c>
      <c r="E137" s="434" t="str">
        <f>IF(AND(D133&lt;$D$6,$D$6&lt;=E133), "1", "0")</f>
        <v>0</v>
      </c>
      <c r="F137" s="272"/>
    </row>
    <row r="138" spans="1:6">
      <c r="B138" s="272"/>
      <c r="C138" s="272" t="str">
        <f>IF($D$4&lt;=C134,"1", "0")</f>
        <v>0</v>
      </c>
      <c r="D138" s="431">
        <f>D134</f>
        <v>4.9799999999999997E-2</v>
      </c>
      <c r="E138" s="431">
        <f>E134</f>
        <v>5.28E-2</v>
      </c>
      <c r="F138" s="272"/>
    </row>
    <row r="139" spans="1:6">
      <c r="B139" s="272"/>
      <c r="C139" s="272" t="str">
        <f>IF(AND($D$4&gt;C134, $D$4&lt;=C135),"1", "0")</f>
        <v>0</v>
      </c>
      <c r="D139" s="431">
        <f>D135</f>
        <v>4.9799999999999997E-2</v>
      </c>
      <c r="E139" s="431">
        <f>E135</f>
        <v>5.28E-2</v>
      </c>
      <c r="F139" s="431"/>
    </row>
    <row r="140" spans="1:6">
      <c r="B140" s="272"/>
      <c r="C140" s="272"/>
      <c r="D140" s="272"/>
      <c r="E140" s="272"/>
      <c r="F140" s="431"/>
    </row>
    <row r="141" spans="1:6">
      <c r="A141" s="421" t="s">
        <v>372</v>
      </c>
      <c r="B141" s="272" t="s">
        <v>375</v>
      </c>
      <c r="C141" s="272" t="s">
        <v>378</v>
      </c>
      <c r="D141" s="272"/>
      <c r="E141" s="272"/>
      <c r="F141" s="431"/>
    </row>
    <row r="142" spans="1:6">
      <c r="B142" s="275">
        <v>5.0000000000000001E-3</v>
      </c>
      <c r="C142" s="431">
        <v>0</v>
      </c>
      <c r="D142" s="431"/>
      <c r="E142" s="272"/>
      <c r="F142" s="272"/>
    </row>
    <row r="143" spans="1:6">
      <c r="B143" s="272"/>
      <c r="C143" s="431"/>
      <c r="D143" s="272"/>
      <c r="E143" s="272"/>
      <c r="F143" s="272"/>
    </row>
    <row r="144" spans="1:6" ht="28.5">
      <c r="A144" s="421" t="s">
        <v>473</v>
      </c>
      <c r="B144" s="435" t="e">
        <f>VLOOKUP("1",C138:E139,(MATCH("1",C137:E137,0)),FALSE)</f>
        <v>#N/A</v>
      </c>
      <c r="C144" s="435" t="e">
        <f>IF(AND($D$7="IO",$D$8&gt;0),B144+$B$142,B144)</f>
        <v>#N/A</v>
      </c>
      <c r="D144" s="435"/>
      <c r="E144" s="427"/>
      <c r="F144" s="427"/>
    </row>
    <row r="145" spans="1:6" ht="28.5">
      <c r="A145" s="421" t="s">
        <v>474</v>
      </c>
      <c r="B145" s="435" t="e">
        <f>B144</f>
        <v>#N/A</v>
      </c>
      <c r="C145" s="435" t="e">
        <f>IF(AND($D$7="IO",$D$8&gt;1),B145+$B$142,B145)</f>
        <v>#N/A</v>
      </c>
      <c r="D145" s="435"/>
      <c r="E145" s="427"/>
      <c r="F145" s="427"/>
    </row>
    <row r="146" spans="1:6" ht="28.5">
      <c r="A146" s="421" t="s">
        <v>475</v>
      </c>
      <c r="B146" s="435" t="e">
        <f t="shared" ref="B146:B148" si="11">B145</f>
        <v>#N/A</v>
      </c>
      <c r="C146" s="435" t="e">
        <f>IF(AND($D$7="IO",$D$8&gt;2),B146+$B$142,B146)</f>
        <v>#N/A</v>
      </c>
      <c r="D146" s="435"/>
      <c r="E146" s="427"/>
      <c r="F146" s="427"/>
    </row>
    <row r="147" spans="1:6">
      <c r="A147" s="421" t="s">
        <v>476</v>
      </c>
      <c r="B147" s="435" t="e">
        <f t="shared" si="11"/>
        <v>#N/A</v>
      </c>
      <c r="C147" s="435" t="e">
        <f>IF(AND($D$7="IO",$D$8&gt;3),B147+$B$142,B147)</f>
        <v>#N/A</v>
      </c>
      <c r="D147" s="435"/>
      <c r="E147" s="436"/>
      <c r="F147" s="436"/>
    </row>
    <row r="148" spans="1:6" ht="28.5">
      <c r="A148" s="421" t="s">
        <v>477</v>
      </c>
      <c r="B148" s="435" t="e">
        <f t="shared" si="11"/>
        <v>#N/A</v>
      </c>
      <c r="C148" s="435" t="e">
        <f>IF(AND($D$7="IO",$D$8&gt;4),B148+$B$142,B148)</f>
        <v>#N/A</v>
      </c>
      <c r="D148" s="435"/>
      <c r="E148" s="427"/>
      <c r="F148" s="427"/>
    </row>
    <row r="153" spans="1:6" ht="28.5">
      <c r="A153" s="1314" t="s">
        <v>487</v>
      </c>
      <c r="B153" s="1314"/>
      <c r="C153" s="425"/>
      <c r="D153" s="426">
        <v>0.65</v>
      </c>
      <c r="E153" s="426">
        <v>0.75</v>
      </c>
      <c r="F153" s="425"/>
    </row>
    <row r="154" spans="1:6">
      <c r="A154" s="428"/>
      <c r="B154" s="425"/>
      <c r="C154" s="429">
        <v>600000</v>
      </c>
      <c r="D154" s="426">
        <v>5.3600000000000002E-2</v>
      </c>
      <c r="E154" s="426">
        <v>5.6599999999999998E-2</v>
      </c>
      <c r="F154" s="425"/>
    </row>
    <row r="155" spans="1:6">
      <c r="B155" s="272"/>
      <c r="C155" s="430">
        <v>1500000</v>
      </c>
      <c r="D155" s="431">
        <v>5.6599999999999998E-2</v>
      </c>
      <c r="E155" s="431">
        <v>5.96E-2</v>
      </c>
      <c r="F155" s="272"/>
    </row>
    <row r="156" spans="1:6">
      <c r="B156" s="272"/>
      <c r="C156" s="432"/>
      <c r="D156" s="272"/>
      <c r="E156" s="272"/>
      <c r="F156" s="272"/>
    </row>
    <row r="157" spans="1:6">
      <c r="B157" s="272"/>
      <c r="C157" s="433"/>
      <c r="D157" s="434" t="str">
        <f>IF($D$6&lt;=D153, "1", "0")</f>
        <v>1</v>
      </c>
      <c r="E157" s="434" t="str">
        <f>IF(AND(D153&lt;$D$6,$D$6&lt;=E153), "1", "0")</f>
        <v>0</v>
      </c>
      <c r="F157" s="272"/>
    </row>
    <row r="158" spans="1:6">
      <c r="B158" s="272"/>
      <c r="C158" s="272" t="str">
        <f>IF($D$4&lt;=C154,"1", "0")</f>
        <v>0</v>
      </c>
      <c r="D158" s="431">
        <f>D154</f>
        <v>5.3600000000000002E-2</v>
      </c>
      <c r="E158" s="431">
        <f>E154</f>
        <v>5.6599999999999998E-2</v>
      </c>
      <c r="F158" s="272"/>
    </row>
    <row r="159" spans="1:6">
      <c r="B159" s="272"/>
      <c r="C159" s="272" t="str">
        <f>IF(AND($D$4&gt;C154, $D$4&lt;=C155),"1", "0")</f>
        <v>0</v>
      </c>
      <c r="D159" s="431">
        <f>D155</f>
        <v>5.6599999999999998E-2</v>
      </c>
      <c r="E159" s="431">
        <f>E155</f>
        <v>5.96E-2</v>
      </c>
      <c r="F159" s="431"/>
    </row>
    <row r="160" spans="1:6">
      <c r="B160" s="272"/>
      <c r="C160" s="272"/>
      <c r="D160" s="272"/>
      <c r="E160" s="272"/>
      <c r="F160" s="431"/>
    </row>
    <row r="161" spans="1:6">
      <c r="A161" s="421" t="s">
        <v>372</v>
      </c>
      <c r="B161" s="272" t="s">
        <v>375</v>
      </c>
      <c r="C161" s="272" t="s">
        <v>378</v>
      </c>
      <c r="D161" s="272"/>
      <c r="E161" s="272"/>
      <c r="F161" s="431"/>
    </row>
    <row r="162" spans="1:6">
      <c r="B162" s="275">
        <v>5.0000000000000001E-3</v>
      </c>
      <c r="C162" s="431">
        <v>0</v>
      </c>
      <c r="D162" s="431"/>
      <c r="E162" s="272"/>
      <c r="F162" s="272"/>
    </row>
    <row r="163" spans="1:6">
      <c r="B163" s="272"/>
      <c r="C163" s="431"/>
      <c r="D163" s="272"/>
      <c r="E163" s="272"/>
      <c r="F163" s="272"/>
    </row>
    <row r="164" spans="1:6" ht="28.5">
      <c r="A164" s="421" t="s">
        <v>473</v>
      </c>
      <c r="B164" s="435" t="e">
        <f>VLOOKUP("1",C158:E159,(MATCH("1",C157:E157,0)),FALSE)</f>
        <v>#N/A</v>
      </c>
      <c r="C164" s="435" t="e">
        <f>IF(AND($D$7="IO",$D$8&gt;0),B164+$B$162,B164)</f>
        <v>#N/A</v>
      </c>
      <c r="D164" s="435"/>
      <c r="E164" s="427"/>
      <c r="F164" s="427"/>
    </row>
    <row r="165" spans="1:6" ht="28.5">
      <c r="A165" s="421" t="s">
        <v>474</v>
      </c>
      <c r="B165" s="435" t="e">
        <f>B164</f>
        <v>#N/A</v>
      </c>
      <c r="C165" s="435" t="e">
        <f>IF(AND($D$7="IO",$D$8&gt;1),B165+$B$162,B165)</f>
        <v>#N/A</v>
      </c>
      <c r="D165" s="435"/>
      <c r="E165" s="427"/>
      <c r="F165" s="427"/>
    </row>
    <row r="166" spans="1:6" ht="28.5">
      <c r="A166" s="421" t="s">
        <v>475</v>
      </c>
      <c r="B166" s="435" t="e">
        <f t="shared" ref="B166:B168" si="12">B165</f>
        <v>#N/A</v>
      </c>
      <c r="C166" s="435" t="e">
        <f>IF(AND($D$7="IO",$D$8&gt;2),B166+$B$162,B166)</f>
        <v>#N/A</v>
      </c>
      <c r="D166" s="435"/>
      <c r="E166" s="427"/>
      <c r="F166" s="427"/>
    </row>
    <row r="167" spans="1:6">
      <c r="A167" s="421" t="s">
        <v>476</v>
      </c>
      <c r="B167" s="435" t="e">
        <f t="shared" si="12"/>
        <v>#N/A</v>
      </c>
      <c r="C167" s="435" t="e">
        <f>IF(AND($D$7="IO",$D$8&gt;3),B167+$B$162,B167)</f>
        <v>#N/A</v>
      </c>
      <c r="D167" s="435"/>
      <c r="E167" s="436"/>
      <c r="F167" s="436"/>
    </row>
    <row r="168" spans="1:6" ht="28.5">
      <c r="A168" s="421" t="s">
        <v>477</v>
      </c>
      <c r="B168" s="435" t="e">
        <f t="shared" si="12"/>
        <v>#N/A</v>
      </c>
      <c r="C168" s="435" t="e">
        <f>IF(AND($D$7="IO",$D$8&gt;4),B168+$B$162,B168)</f>
        <v>#N/A</v>
      </c>
      <c r="D168" s="435"/>
      <c r="E168" s="427"/>
      <c r="F168" s="427"/>
    </row>
  </sheetData>
  <mergeCells count="30">
    <mergeCell ref="A1:C1"/>
    <mergeCell ref="D1:G1"/>
    <mergeCell ref="A2:C2"/>
    <mergeCell ref="D2:G2"/>
    <mergeCell ref="A3:C3"/>
    <mergeCell ref="D3:G3"/>
    <mergeCell ref="A4:C4"/>
    <mergeCell ref="D4:G4"/>
    <mergeCell ref="A5:C5"/>
    <mergeCell ref="D5:G5"/>
    <mergeCell ref="A6:C6"/>
    <mergeCell ref="D6:G6"/>
    <mergeCell ref="A7:C7"/>
    <mergeCell ref="D7:G7"/>
    <mergeCell ref="A8:C8"/>
    <mergeCell ref="D8:G8"/>
    <mergeCell ref="A9:C9"/>
    <mergeCell ref="D9:G9"/>
    <mergeCell ref="A153:B153"/>
    <mergeCell ref="A11:B11"/>
    <mergeCell ref="I11:J11"/>
    <mergeCell ref="A30:B30"/>
    <mergeCell ref="I30:J30"/>
    <mergeCell ref="A51:B51"/>
    <mergeCell ref="I51:J51"/>
    <mergeCell ref="A74:B74"/>
    <mergeCell ref="H74:I74"/>
    <mergeCell ref="A93:B93"/>
    <mergeCell ref="A112:B112"/>
    <mergeCell ref="A133:B133"/>
  </mergeCells>
  <dataValidations disablePrompts="1" count="1">
    <dataValidation type="custom" allowBlank="1" showInputMessage="1" showErrorMessage="1" errorTitle="Credit Policy" error="Minimum Loan $150,000.00_x000a_Maximum Loan $2,000,000.00" sqref="B4:C4" xr:uid="{720AB85B-A1FF-4A87-ADF0-5E113CEF10C9}">
      <formula1>AND(B4&lt;=2000000, B4&gt;=150000)</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33432-2d6f-447a-844b-304c80f5c3c3">
      <Terms xmlns="http://schemas.microsoft.com/office/infopath/2007/PartnerControls"/>
    </lcf76f155ced4ddcb4097134ff3c332f>
    <TaxCatchAll xmlns="c5ba7b95-c55a-4d53-84ed-df88f6befaa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84CCFA-CAA7-4DFA-94C1-D12137035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108048-6315-459D-A62C-1E553804D6BD}">
  <ds:schemaRefs>
    <ds:schemaRef ds:uri="http://schemas.microsoft.com/office/2006/metadata/properties"/>
    <ds:schemaRef ds:uri="http://schemas.microsoft.com/office/infopath/2007/PartnerControls"/>
    <ds:schemaRef ds:uri="85633432-2d6f-447a-844b-304c80f5c3c3"/>
    <ds:schemaRef ds:uri="c5ba7b95-c55a-4d53-84ed-df88f6befaa9"/>
  </ds:schemaRefs>
</ds:datastoreItem>
</file>

<file path=customXml/itemProps3.xml><?xml version="1.0" encoding="utf-8"?>
<ds:datastoreItem xmlns:ds="http://schemas.openxmlformats.org/officeDocument/2006/customXml" ds:itemID="{E065F6C7-5608-4838-99C7-2FB74A3CB0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Servicing Calc</vt:lpstr>
      <vt:lpstr>Additional Borrowers</vt:lpstr>
      <vt:lpstr>GL&amp;EE TOOL</vt:lpstr>
      <vt:lpstr>Loan Fees Calculator</vt:lpstr>
      <vt:lpstr>Exchange Rates</vt:lpstr>
      <vt:lpstr>Assessment Rate Table</vt:lpstr>
      <vt:lpstr>LVR Calc</vt:lpstr>
      <vt:lpstr>repayment</vt:lpstr>
      <vt:lpstr>INDEX</vt:lpstr>
      <vt:lpstr>Comparison Calculator</vt:lpstr>
      <vt:lpstr>Risk Fee Matrix2</vt:lpstr>
      <vt:lpstr>Brighten Product</vt:lpstr>
      <vt:lpstr>Risk Fee Matrix</vt:lpstr>
      <vt:lpstr>Rates (2)</vt:lpstr>
      <vt:lpstr>Rates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Doris Arvisu</cp:lastModifiedBy>
  <cp:revision/>
  <dcterms:created xsi:type="dcterms:W3CDTF">2020-05-04T11:53:56Z</dcterms:created>
  <dcterms:modified xsi:type="dcterms:W3CDTF">2026-05-11T07:11:02Z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0x01010034C5DCEDE9D60B418D233825C93E979D</vt:lpwstr>
  </property>
  <property fmtid="{D5CDD505-2E9C-101B-9397-08002B2CF9AE}" pid="3" name="MediaServiceImageTags">
    <vt:lpwstr/>
  </property>
</Properties>
</file>